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inojosa\Desktop\_2018\_PORTAL WEB 2018\CONSULTAS\TARIFARIAS\LAP_FACTOR\"/>
    </mc:Choice>
  </mc:AlternateContent>
  <bookViews>
    <workbookView xWindow="9495" yWindow="-15" windowWidth="5865" windowHeight="7500" tabRatio="691"/>
  </bookViews>
  <sheets>
    <sheet name="X RESULTADO" sheetId="14" r:id="rId1"/>
    <sheet name="FACTOR X" sheetId="9" r:id="rId2"/>
    <sheet name="OUTPUT" sheetId="1" r:id="rId3"/>
    <sheet name="INDICE OUTPUT" sheetId="2" r:id="rId4"/>
    <sheet name="INPUT MO" sheetId="5" r:id="rId5"/>
    <sheet name="INDICE MO" sheetId="32" r:id="rId6"/>
    <sheet name="INPUT K" sheetId="34" r:id="rId7"/>
    <sheet name="Depreciaciones" sheetId="35" r:id="rId8"/>
    <sheet name="INDICE K" sheetId="36" r:id="rId9"/>
    <sheet name="INPUT MAT" sheetId="7" r:id="rId10"/>
    <sheet name="INDICE MAT" sheetId="8" r:id="rId11"/>
    <sheet name="WACC" sheetId="31" r:id="rId12"/>
    <sheet name="ECO" sheetId="18" r:id="rId13"/>
    <sheet name="BK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_0_S" hidden="1">#REF!</definedName>
    <definedName name="_2_2_0OPTI">[1]Sheet1!#REF!</definedName>
    <definedName name="_Fill" hidden="1">#REF!</definedName>
    <definedName name="_Key1" hidden="1">'[2]Pax ,ATM and seats'!#REF!</definedName>
    <definedName name="_Order1" hidden="1">255</definedName>
    <definedName name="_Order2" hidden="1">255</definedName>
    <definedName name="_Sort" hidden="1">'[3]Output Page'!#REF!</definedName>
    <definedName name="aaaaa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irport_Area_Growth_Factor">'[4]1. Time &amp; Esc'!$B$72:$AR$72</definedName>
    <definedName name="Area_Airline_Baggage_Claim">'[5]Time Inp'!$B$251:$Y$251</definedName>
    <definedName name="Area_Airline_Check_In">'[5]Time Inp'!$B$249:$Y$249</definedName>
    <definedName name="Area_Airline_Holdrooms">'[5]Time Inp'!$B$250:$Y$250</definedName>
    <definedName name="Area_Airline_Offices">'[5]Time Inp'!$B$253:$Y$253</definedName>
    <definedName name="Area_Airline_Operations_Support">'[5]Time Inp'!$B$252:$Y$252</definedName>
    <definedName name="Area_Circ_Airline">'[5]Time Inp'!$B$266:$Y$266</definedName>
    <definedName name="_xlnm.Print_Area">#REF!</definedName>
    <definedName name="Area_Old_Airline_Operations">'[5]Time Inp'!$B$283:$Y$283</definedName>
    <definedName name="Area_Old_Airline_Tickets">'[5]Time Inp'!$B$282:$Y$282</definedName>
    <definedName name="Area_Old_Board_Circulation">'[5]Time Inp'!$B$294:$Y$294</definedName>
    <definedName name="Area_Old_Board_Holdrooms">'[5]Time Inp'!$B$293:$Y$293</definedName>
    <definedName name="Area_Old_Circulation">'[5]Time Inp'!$B$287:$Y$287</definedName>
    <definedName name="Area_Old_E_M">'[5]Time Inp'!$B$290:$Y$290</definedName>
    <definedName name="Area_Old_Holdrooms">'[5]Time Inp'!$B$284:$Y$284</definedName>
    <definedName name="AREAS">[6]WEEKBASE!$A$14:$B$19</definedName>
    <definedName name="a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sets__Inflationary_Gains_for_Income_Taxes">'[7]10. Assets'!$B$204:$AR$204</definedName>
    <definedName name="Avg_annual_FX">'[4]1. Time &amp; Esc'!$C$16:$AR$16</definedName>
    <definedName name="B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alance_Sheet_Control">'[8]Balance Sheet'!$AE$1:$BT$1</definedName>
    <definedName name="Balance_Sheet_Goal">'[8]Balance Sheet'!$BV$1</definedName>
    <definedName name="_xlnm.Database">#REF!</definedName>
    <definedName name="bbbb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illy2">[9]BACKUP!$A$8:$L$87</definedName>
    <definedName name="BS_Dividends">[7]Bal!$C$70:$AR$70</definedName>
    <definedName name="BS_Retained_Earnings_at_BOY">[7]Bal!$C$67:$AR$67</definedName>
    <definedName name="Calc__Cargo_Tonnage_Growth_Rate">[7]Input!$B$258:$AR$258</definedName>
    <definedName name="Calc__Dom_PAX_Tariff_wo_IGV_1">[7]Input!$C$59</definedName>
    <definedName name="Calc__Dom_PAX_Tariff_wo_IGV_2">[7]Input!$D$59</definedName>
    <definedName name="Calc__Dom_PAX_Tariff_wo_IGV_3">[7]Input!$E$59</definedName>
    <definedName name="Calc__Employee_Profit_Sharing__S\._Millions">[7]Input!$B$452:$AR$452</definedName>
    <definedName name="Calc__Initial_Dom_Tariff_Soles_wo_IGV">[7]Input!$C$62</definedName>
    <definedName name="Calc__Intl_PAX_Tariff_wo_IGV_1">[7]Input!$C$53</definedName>
    <definedName name="Calc__Intl_PAX_Tariff_wo_IGV_2">[7]Input!$D$53</definedName>
    <definedName name="Calc__Intl_PAX_Tariff_wo_IGV_3">[7]Input!$E$53</definedName>
    <definedName name="Calc__Max_Cargo_Tariff_USD_per_kilo">[4]Input!$C$97</definedName>
    <definedName name="Calc_Bond1_Converge">[7]Input!$C$786:$BL$786</definedName>
    <definedName name="Calc_Bond1_Last_RePay_Date">[7]Input!$D$713</definedName>
    <definedName name="Calc_Bond1_RePay1_Month">[7]Input!$E$713</definedName>
    <definedName name="Calc_Bond1_RePay2_Month">[7]Input!$F$713</definedName>
    <definedName name="Calc_Debt_Converge">[7]Input!$D$640:$D$643</definedName>
    <definedName name="Calc_Funds_Drawdown_Start_Date">[7]Input!$D$628:$D$631</definedName>
    <definedName name="Calc_Ongoing_CapEx_FXDC">[7]Input!$B$809:$AR$809</definedName>
    <definedName name="Calc_Ongoing_CapEx_IDC">[7]Input!$B$805:$AR$805</definedName>
    <definedName name="Calc_Sub_Debt_1st_RePay_Date">[7]Input!$C$714</definedName>
    <definedName name="Calc_Sub_Debt_Last_RePay_Date">[7]Input!$D$714</definedName>
    <definedName name="Calc_Sub_Debt_RePay1_Month">[7]Input!$E$714</definedName>
    <definedName name="Calc_Sub_Debt_RePay2_Month">[7]Input!$F$714</definedName>
    <definedName name="Calc_Tax_Converge">[7]Input!$C$876:$AR$876</definedName>
    <definedName name="Calc_Tranche1_1st_RePay_Date">[7]Input!$C$711</definedName>
    <definedName name="Calc_Tranche1_Last_RePay_Date">[7]Input!$D$711</definedName>
    <definedName name="Calc_Tranche1_RePay1_Month">[7]Input!$E$711</definedName>
    <definedName name="Calc_Tranche1_RePay2_Month">[7]Input!$F$711</definedName>
    <definedName name="Calc_Tranche2_1st_RePay_Date">[7]Input!$C$712</definedName>
    <definedName name="Calc_Tranche2_Last_RePay_Date">[7]Input!$D$712</definedName>
    <definedName name="Calc_Tranche2_RePay1_Month">[7]Input!$E$712</definedName>
    <definedName name="Calc_Tranche2_RePay2_Month">[7]Input!$F$712</definedName>
    <definedName name="Calcs_annual_tax_charge">'[7]9&amp;11. WC&amp;Tax'!$C$120:$AR$120</definedName>
    <definedName name="Capex_annual_financing_costs">'[7]7 &amp; 8A. SandU'!$C$375:$AR$375</definedName>
    <definedName name="CAPEX_Finance_Amount">[10]CAPEXSumm!$G$40</definedName>
    <definedName name="CapEx_Sub_Debt.const.fin">'[7]7 &amp; 8A. SandU'!$C$338:$AR$338</definedName>
    <definedName name="Capex_tranche2.const.loan">'[7]7 &amp; 8A. SandU'!$C$336:$AR$336</definedName>
    <definedName name="Capex_tranche3.const.loan">'[7]7 &amp; 8A. SandU'!$C$337:$AR$337</definedName>
    <definedName name="Cargo_Tariff_Factor">'[4]1. Time &amp; Esc'!$B$55:$AR$55</definedName>
    <definedName name="CargoScen">'[11]Sensitivity Summary Page'!$C$15</definedName>
    <definedName name="Case">[12]Controls!$C$6</definedName>
    <definedName name="Cash_Balance_BOY">[7]CashF!$B$113:$AR$113</definedName>
    <definedName name="Cash_Balance_EOY">[7]CashF!$B$117:$AR$117</definedName>
    <definedName name="Cash_Flow_Dividends">[7]CashF!$B$111:$AR$111</definedName>
    <definedName name="cc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onc_Area_Food_and_Beverage">[5]Area!$B$101:$Y$101</definedName>
    <definedName name="Conc_Area_Other">[5]Area!$B$106:$Y$106</definedName>
    <definedName name="Conc_Area_Retail">[5]Area!$B$102:$Y$102</definedName>
    <definedName name="Conc_Pct_of_Rentable_Space">[5]Area!$B$97:$Y$97</definedName>
    <definedName name="Const_Equity_FC">'[7]7 &amp; 8A. SandU'!$BD$57</definedName>
    <definedName name="Const_Equity_LC">'[7]7 &amp; 8A. SandU'!$BB$57</definedName>
    <definedName name="Const_equity1_draws">'[7]7 &amp; 8A. SandU'!$C$332:$AR$332</definedName>
    <definedName name="Const_equity2_draws">'[7]7 &amp; 8A. SandU'!$C$333:$AR$333</definedName>
    <definedName name="Construction_VAT_Ongoing_CapEx">'[7]7 &amp; 8A. SandU'!$B$545:$AR$545</definedName>
    <definedName name="Construction_VAT_Phase_1_Const">'[7]7 &amp; 8A. SandU'!$B$361:$AR$361</definedName>
    <definedName name="Cont_Capital_Inflationary_Adjustment___For_BS_and_P_L">'[7]9&amp;11. WC&amp;Tax'!$B$97:$AR$97</definedName>
    <definedName name="Cost_of_OMRF_LC">[5]LCs!$B$21:$Y$21</definedName>
    <definedName name="Cost_of_WC_LC">[5]LCs!$B$14:$Y$14</definedName>
    <definedName name="Cost_Recoveries_S\.">'[7]6. OpEx'!$B$140:$AR$140</definedName>
    <definedName name="dddd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ebt_Equity_Ratio_2010">[7]Input!$D$791</definedName>
    <definedName name="Debt_Increase_DSR">'[7]8b-8e. Debt'!$C$58:$AR$58</definedName>
    <definedName name="Debt_LC_cost_DSR">'[7]8b-8e. Debt'!$C$59:$AR$59</definedName>
    <definedName name="Debt_term_loan_EOY_bal">'[7]8b-8e. Debt'!$C$39:$AR$39</definedName>
    <definedName name="Debt_total_interest_payments">'[7]8b-8e. Debt'!$C$48:$AR$48</definedName>
    <definedName name="Debt_total_realised_FX.loss">'[7]8b-8e. Debt'!$C$55:$AR$55</definedName>
    <definedName name="Debt_tranche1.DS">'[7]8b-8e. Debt'!$C$65:$AR$65</definedName>
    <definedName name="Debt_tranche1.no.payments">'[7]8b-8e. Debt'!$C$143:$AR$143</definedName>
    <definedName name="Debt_tranche1_int">'[7]8b-8e. Debt'!$C$63:$AR$63</definedName>
    <definedName name="Debt_tranche2.DS">'[7]8b-8e. Debt'!$C$73:$AR$73</definedName>
    <definedName name="Debt_tranche2.no.payments">'[7]8b-8e. Debt'!$C$207:$AR$207</definedName>
    <definedName name="Debt_tranche2_int">'[7]8b-8e. Debt'!$C$71:$AR$71</definedName>
    <definedName name="Debt_tranche3.DS">'[7]8b-8e. Debt'!$C$82:$AR$82</definedName>
    <definedName name="Debt_tranche3.no.payments">'[7]8b-8e. Debt'!$C$271:$AR$271</definedName>
    <definedName name="Debt_tranche3_int">'[7]8b-8e. Debt'!$C$80:$AR$80</definedName>
    <definedName name="Debt_unrealised.FX_losses">'[7]8b-8e. Debt'!$C$43:$AR$43</definedName>
    <definedName name="dep_12yr">'[12]OLD BS'!$E$390:$AF$390</definedName>
    <definedName name="dep_15yr">'[12]OLD BS'!$E$434:$AF$434</definedName>
    <definedName name="dep_20yr">'[12]OLD BS'!$E$479:$AF$479</definedName>
    <definedName name="dep_25yr">'[12]OLD BS'!$E$523:$AF$523</definedName>
    <definedName name="dep_5yr">'[12]OLD BS'!$E$212:$AF$212</definedName>
    <definedName name="dep_7yr">'[12]OLD BS'!$E$256:$AF$256</definedName>
    <definedName name="dep_8yr">'[12]OLD BS'!$E$301:$AF$301</definedName>
    <definedName name="d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SR___Initial_Term_Debt">'[7]8b-8e. Debt'!$B$57:$AR$57</definedName>
    <definedName name="DSR___Ongoing_CapEx">'[7]8b-8e. Debt'!$B$101:$AR$101</definedName>
    <definedName name="dvbg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BITDA_NORM">[13]DCF!$K$397</definedName>
    <definedName name="EBITDA_normalised">[14]Statements!$Q$140</definedName>
    <definedName name="ee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cst_Cargo_Landings___Category_3">[4]Fcst!$B$36:$AR$36</definedName>
    <definedName name="Fcst_Cargo_Landings___Category_4">[4]Fcst!$B$37:$AR$37</definedName>
    <definedName name="Fcst_Cargo_Landings___Category_5">[4]Fcst!$B$38:$AR$38</definedName>
    <definedName name="Fcst_Deplaned_Dom_PAX">[7]Fcst!$B$16:$AR$16</definedName>
    <definedName name="Fcst_Deplaned_Int_l_PAX">[7]Fcst!$B$15:$AR$15</definedName>
    <definedName name="Fcst_Dom_Landings___Category_1">[4]Fcst!$B$27:$AR$27</definedName>
    <definedName name="Fcst_Dom_Landings___Category_2">[4]Fcst!$B$28:$AR$28</definedName>
    <definedName name="Fcst_Dom_Landings___Category_3">[4]Fcst!$B$29:$AR$29</definedName>
    <definedName name="Fcst_Dom_Landings___Category_4">[4]Fcst!$B$30:$AR$30</definedName>
    <definedName name="Fcst_Dom_Landings___Category_5">[4]Fcst!$B$31:$AR$31</definedName>
    <definedName name="Fcst_Enplaned_Domestic_PAX">[4]Fcst!$B$11:$AR$11</definedName>
    <definedName name="Fcst_Enplaned_Int_l_PAX">[4]Fcst!$B$10:$AR$10</definedName>
    <definedName name="Fcst_Fuel_Quantity_Sold__gallons">[4]Fcst!$B$46:$AR$46</definedName>
    <definedName name="Fcst_Int_l_Landings___Category_1">[4]Fcst!$B$20:$AR$20</definedName>
    <definedName name="Fcst_Int_l_Landings___Category_2">[4]Fcst!$B$21:$AR$21</definedName>
    <definedName name="Fcst_Int_l_Landings___Category_3">[4]Fcst!$B$22:$AR$22</definedName>
    <definedName name="Fcst_Int_l_Landings___Category_4">[4]Fcst!$B$23:$AR$23</definedName>
    <definedName name="Fcst_Int_l_Landings___Category_5">[4]Fcst!$B$24:$AR$24</definedName>
    <definedName name="Fcst_Military_Landings___Category_2">[4]Fcst!$B$41:$AR$41</definedName>
    <definedName name="Fcst_Total_Admin_Local_Personnel">[4]Fcst!$B$71:$AR$71</definedName>
    <definedName name="Fcst_Total_Admin_Specialist_Expat_Personnel">[4]Fcst!$B$70:$AR$70</definedName>
    <definedName name="Fcst_Total_Admin_Specialist_Local_Personnel">[4]Fcst!$B$69:$AR$69</definedName>
    <definedName name="Fcst_Total_Administrative_Personnel">[7]Fcst!$B$92:$AR$92</definedName>
    <definedName name="Fcst_Total_Area_Managers">[7]Fcst!$B$91:$AR$91</definedName>
    <definedName name="Fcst_Total_Bus_Drivers">[7]Fcst!$B$106:$AR$106</definedName>
    <definedName name="Fcst_Total_Cleaning_Service_Personnel">[7]Fcst!$B$97:$AR$97</definedName>
    <definedName name="Fcst_Total_Craftsmen">[7]Fcst!$B$98:$AR$98</definedName>
    <definedName name="Fcst_Total_Department_Managers">[7]Fcst!$B$89:$AR$89</definedName>
    <definedName name="Fcst_Total_Executive_Expat_Personnel">[4]Fcst!$B$68:$AR$68</definedName>
    <definedName name="Fcst_Total_Executive_Local_Personnel">[4]Fcst!$B$67:$AR$67</definedName>
    <definedName name="Fcst_Total_Firemen">[7]Fcst!$B$105:$AR$105</definedName>
    <definedName name="Fcst_Total_Garbage_and_Waste_Personnel">[7]Fcst!$B$100:$AR$100</definedName>
    <definedName name="Fcst_Total_Gardens_Care_Personnel">[7]Fcst!$B$99:$AR$99</definedName>
    <definedName name="Fcst_Total_Information_Service_Personnel">[7]Fcst!$B$104:$AR$104</definedName>
    <definedName name="Fcst_Total_Manual_Labor_Local_Personnel">[4]Fcst!$B$75:$AR$75</definedName>
    <definedName name="Fcst_Total_Operations_Local_Personnel">[4]Fcst!$B$74:$AR$74</definedName>
    <definedName name="Fcst_Total_Operations_Personnel">[7]Fcst!$B$94:$AR$94</definedName>
    <definedName name="Fcst_Total_Operations_Specialist_Local_Personnel">[4]Fcst!$B$72:$AR$72</definedName>
    <definedName name="Fcst_Total_Passengers_Security_Personnel">[7]Fcst!$B$102:$AR$102</definedName>
    <definedName name="Fcst_Total_Security_Posts_Personnel">[7]Fcst!$B$101:$AR$101</definedName>
    <definedName name="Fcst_Total_Security_Posts_w__Dogs_Personnel">[7]Fcst!$B$103:$AR$103</definedName>
    <definedName name="Fcst_Total_Senior_Managers">[7]Fcst!$B$88:$AR$88</definedName>
    <definedName name="Fcst_Total_Technical_Personnel">[7]Fcst!$B$93:$AR$93</definedName>
    <definedName name="Fcst_Total_Technician_Local_Personnel">[4]Fcst!$B$73:$AR$73</definedName>
    <definedName name="fdff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uel_Tariff_For_Canon_Calc">'[7] Time &amp; Esc'!$B$94:$AR$94</definedName>
    <definedName name="GCIT">[15]Control!$A$743:$AE$752</definedName>
    <definedName name="gfdgfdg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oal_Cell">'[8]Cash Flow'!$D$141</definedName>
    <definedName name="Govt_Share_of_Int_l_TUUA">'[7]5. Govt Revs'!$B$13:$AR$13</definedName>
    <definedName name="Govt_Share_of_Total_Landing___Take_off_Revenues">'[7]5. Govt Revs'!$B$17:$AR$17</definedName>
    <definedName name="Gross_Revenue_per_International_Enplaned_Passenger">'[5]Airside Fees'!$B$203:$Y$203</definedName>
    <definedName name="Ground_Transportation_Concessions">'[7]4. Non_AeroRevs'!$B$121:$AR$121</definedName>
    <definedName name="GRUPO">[16]QURR!$D$9:$D$89</definedName>
    <definedName name="HC">'[17]HORAS CONSUMIDAS'!$B$65:$I$78</definedName>
    <definedName name="holidays">[18]WEEKBASE!$J$2:$K$92</definedName>
    <definedName name="HOLYDAYS">[19]WEEKBASE!$J$2:$K$26</definedName>
    <definedName name="HOURS_A">'[20]#REF'!$A$7:$O$227</definedName>
    <definedName name="HOURS_C">'[20]#REF'!$A$261:$O$274</definedName>
    <definedName name="HPRE">[16]QURR!$M$9:$M$89</definedName>
    <definedName name="Increase_in_DSR_provision">'[7]8b-8e. Debt'!$B$58:$AR$58</definedName>
    <definedName name="Increase_in_DSR_Provision___Ongoing_CapEx">'[7]8b-8e. Debt'!$B$102:$AR$102</definedName>
    <definedName name="Increase_in_Major_Maintenance_Reserve">'[7]6. OpEx'!$B$181:$AR$181</definedName>
    <definedName name="Increase_in_O_M_Reserve_Fund">'[7]6. OpEx'!$B$173:$AR$173</definedName>
    <definedName name="incremental">[21]jobhours!$B$2:$I$2,[21]jobhours!$B$48:$I$50</definedName>
    <definedName name="Inp__1st_Investor_Subsequent_Sell_Down_Pct">'[7]Sponsors Return'!$C$17</definedName>
    <definedName name="Inp__1st_Year_Cost_Recoveries_USD">[7]Input!$C$439</definedName>
    <definedName name="Inp__1st_Year_Lawyer_Costs_USD">[4]Input!$C$331</definedName>
    <definedName name="Inp__1st_Yr_Conferences_USD">[7]Input!$C$338</definedName>
    <definedName name="Inp__1st_Yr_EPS_Contribution_USD">[7]Input!$C$335</definedName>
    <definedName name="Inp__1st_Yr_Fuel_Consumption">[7]Input!$C$280</definedName>
    <definedName name="Inp__1st_Yr_Kindness_Personnel_USD">[7]Input!$C$339</definedName>
    <definedName name="Inp__1st_Yr_Uniforms_Personnel_Transp_USD">[7]Input!$C$336</definedName>
    <definedName name="Inp__Admin_Local_Salary">[4]Input!$F$238</definedName>
    <definedName name="Inp__Admin_Specialist_Expat_Headcount">[4]Input!$C$237</definedName>
    <definedName name="Inp__Admin_Specialist_Expat_Salary">[4]Input!$F$237</definedName>
    <definedName name="Inp__Admin_Specialist_Local_Salary">[4]Input!$F$236</definedName>
    <definedName name="Inp__Administrative_Personnel_Growth_Driver">[7]Input!$F$308</definedName>
    <definedName name="Inp__Administrative_Personnel_Growth_Elasticity">[7]Input!$E$308</definedName>
    <definedName name="Inp__Administrative_Personnel_Headcount_1st_Yr">[7]Input!$C$308</definedName>
    <definedName name="Inp__Administrative_Personnel_Headcount_Baseline">[7]Input!$D$308</definedName>
    <definedName name="Inp__Administrative_Personnel_Salary">[7]Input!$G$308</definedName>
    <definedName name="Inp__Airbridge_Fee_USD_per_Operation">[4]Input!$C$90</definedName>
    <definedName name="Inp__Airport_Liability_Ins_USD">[4]Input!$C$323</definedName>
    <definedName name="Inp__Apron_Lighting_Maint_1st_Yr_USD">[7]Input!$C$348</definedName>
    <definedName name="Inp__Apron_Lighting_Maint_Baseline_USD">[7]Input!$D$348</definedName>
    <definedName name="Inp__Area_Manager_Growth_Driver">[7]Input!$F$307</definedName>
    <definedName name="Inp__Area_Manager_Growth_Elasticity">[7]Input!$E$307</definedName>
    <definedName name="Inp__Area_Manager_Headcount_1st_Yr">[7]Input!$C$307</definedName>
    <definedName name="Inp__Area_Manager_Headcount_Baseline">[7]Input!$D$307</definedName>
    <definedName name="Inp__Area_Manager_Salary">[7]Input!$G$307</definedName>
    <definedName name="Inp__Avg_Aircraft_Maintenance_Fee__100_MTOW_USD">[4]Input!$C$118</definedName>
    <definedName name="Inp__Avg_Aircraft_Maintenance_Fee_10_35_MTOW_USD">[4]Input!$C$115</definedName>
    <definedName name="Inp__Avg_Aircraft_Maintenance_Fee_35_70_MTOW_USD">[4]Input!$C$116</definedName>
    <definedName name="Inp__Avg_Aircraft_Maintenance_Fee_70_100_MTOW_USD">[4]Input!$C$117</definedName>
    <definedName name="Inp__Avg_Bags_per_enplaned_transit_pax">[4]Input!$C$106</definedName>
    <definedName name="Inp__Avg_Time_Over_330_minutes_Hrs">[4]Input!$C$188</definedName>
    <definedName name="Inp__Bad_Debt_as_pct_total_revs">[4]Input!$C$354</definedName>
    <definedName name="Inp__Baggage_Reconciliation_Fee_USD_per_Enplaned_Transit_PAx">[4]Input!$C$111</definedName>
    <definedName name="Inp__Baggage_Reconciliation_System_Implementation_Year">[4]Input!$C$112</definedName>
    <definedName name="Inp__Baggage_Security_Fee_USD_per_enplanement_transit">[4]Input!$C$108</definedName>
    <definedName name="Inp__Baggage_Security_System_Implementation_Year">[4]Input!$C$109</definedName>
    <definedName name="Inp__Base_Salary_Adds_as_pct_base_salary">[4]Input!$C$254</definedName>
    <definedName name="Inp__Baseline_Conferences_USD">[7]Input!$D$338</definedName>
    <definedName name="Inp__Baseline_Cost_Recoveries_USD">[7]Input!$C$440</definedName>
    <definedName name="Inp__Baseline_EPS_Contribution_USD">[7]Input!$E$335</definedName>
    <definedName name="Inp__Baseline_Kindness_Personnel_USD">[7]Input!$E$339</definedName>
    <definedName name="Inp__Baseline_Uniforms_Personnel_Transp_USD">[7]Input!$E$336</definedName>
    <definedName name="Inp__Bond_Collateral_Flag">[4]Input!$C$343</definedName>
    <definedName name="Inp__Bond1_Drawdown_Schedule">[7]Input!$C$785:$BL$785</definedName>
    <definedName name="Inp__Bonus_Award_Uplift_as_pct_base_salary">[4]Input!$C$255</definedName>
    <definedName name="Inp__Bus_Drivers_Growth_Driver">[7]Input!$F$324</definedName>
    <definedName name="Inp__Bus_Drivers_Growth_Elasticity">[7]Input!$E$324</definedName>
    <definedName name="Inp__Bus_Drivers_Headcount_1st_Yr">[7]Input!$C$324</definedName>
    <definedName name="Inp__Bus_Drivers_Headcount_Baseline">[7]Input!$D$324</definedName>
    <definedName name="Inp__Bus_Drivers_Salary">[7]Input!$G$324</definedName>
    <definedName name="Inp__Bus_Fee_USD_per_Operation">[4]Input!$C$91</definedName>
    <definedName name="Inp__CapEx_Sens_Factor">[7]Input!$C$883</definedName>
    <definedName name="Inp__Cargo_Aircraft_Weight__tonnes____Category_2">[4]Input!$B$174:$AR$174</definedName>
    <definedName name="Inp__Cargo_Aircraft_Weight__tonnes____Category_3">[4]Input!$B$175:$AR$175</definedName>
    <definedName name="Inp__Cargo_Aircraft_Weight__tonnes____Category_4">[4]Input!$B$176:$AR$176</definedName>
    <definedName name="Inp__Cargo_Aircraft_Weight__tonnes____Category_5">[4]Input!$B$177:$AR$177</definedName>
    <definedName name="Inp__Cargo_Fleet_Mix___Category_1">[7]Input!$B$212:$AR$212</definedName>
    <definedName name="Inp__Cargo_Fleet_Mix___Category_2">[7]Input!$B$213:$AR$213</definedName>
    <definedName name="Inp__Cargo_Fleet_Mix___Category_3">[7]Input!$B$214:$AR$214</definedName>
    <definedName name="Inp__Cargo_Fleet_Mix___Category_4">[7]Input!$B$215:$AR$215</definedName>
    <definedName name="Inp__Cargo_Fleet_Mix___Category_5">[7]Input!$B$216:$AR$216</definedName>
    <definedName name="Inp__Cargo_Tariff_USD_per_kilo">[4]Input!$C$96:$F$96</definedName>
    <definedName name="Inp__Cargo_Tariff_Year">[7]Input!$C$95:$F$95</definedName>
    <definedName name="Inp__Carpentry_Mats_1st_Yr_USD">[7]Input!$C$366</definedName>
    <definedName name="Inp__Carpentry_Mats_Baseline_USD">[7]Input!$D$366</definedName>
    <definedName name="Inp__Cleaning_Mats_1st_Yr_USD">[7]Input!$C$368</definedName>
    <definedName name="Inp__Cleaning_Mats_Baseline_USD">[7]Input!$D$368</definedName>
    <definedName name="Inp__Cleaning_Service_Cost">[7]Input!$G$315</definedName>
    <definedName name="Inp__Cleaning_Service_Growth_Driver">[7]Input!$F$315</definedName>
    <definedName name="Inp__Cleaning_Service_Growth_Elasticity">[7]Input!$E$315</definedName>
    <definedName name="Inp__Cleaning_Service_Headcount_1st_Yr">[7]Input!$C$315</definedName>
    <definedName name="Inp__Cleaning_Service_Headcount_Baseline">[7]Input!$D$315</definedName>
    <definedName name="Inp__Commercial_Regulated_Tariff_Adjustment_Year_1">[7]Input!$C$47</definedName>
    <definedName name="Inp__Commercial_Regulated_Tariff_Adjustment_Year_2">[7]Input!$D$47</definedName>
    <definedName name="Inp__Commercial_Regulated_Tariff_Adjustment_Year_3">[7]Input!$E$47</definedName>
    <definedName name="Inp__Commitment_Fees_Start_Date">[7]Input!$C$655</definedName>
    <definedName name="Inp__Const_Mats_Spare_Parts_Baseline_USD">[7]Input!$D$363</definedName>
    <definedName name="Inp__Contract_Xerox_1st_Yr_USD">[7]Input!$C$357</definedName>
    <definedName name="Inp__Contract_Xerox_Baseline_USD">[7]Input!$D$357</definedName>
    <definedName name="Inp__CORPAC_Share_Landing_Takeoff_as_pct_Total_A_D">[7]Input!$C$290</definedName>
    <definedName name="Inp__CORPAC_TUUA_Share_as_pct_of_Int_l_TUUA">[7]Input!$C$289</definedName>
    <definedName name="Inp__Craftsman_Growth_Driver">[7]Input!$F$316</definedName>
    <definedName name="Inp__Craftsman_Growth_Elasticity">[7]Input!$E$316</definedName>
    <definedName name="Inp__Craftsman_Headcount_1st_Yr">[7]Input!$C$316</definedName>
    <definedName name="Inp__Craftsman_Headcount_Baseline">[7]Input!$D$316</definedName>
    <definedName name="Inp__Department_Manager_Growth_Driver">[7]Input!$F$305</definedName>
    <definedName name="Inp__Department_Manager_Growth_Elasticity">[7]Input!$E$305</definedName>
    <definedName name="Inp__Department_Manager_Headcount_1st_Yr">[7]Input!$C$305</definedName>
    <definedName name="Inp__Department_Manager_Headcount_Baseline">[7]Input!$D$305</definedName>
    <definedName name="Inp__Department_Manager_Salary">[7]Input!$G$305</definedName>
    <definedName name="Inp__Depreciation_Start_Flag">[7]Input!$C$862</definedName>
    <definedName name="Inp__Disposable_Income_Growth_Rate">[7]Input!$B$36:$AR$36</definedName>
    <definedName name="Inp__Dividend_Restriction_DSCR">[7]Input!$C$776</definedName>
    <definedName name="Inp__Dom_Aircraft_Weight__tonnes____Category_2">[4]Input!$B$168:$AR$168</definedName>
    <definedName name="Inp__Dom_Aircraft_Weight__tonnes____Category_3">[4]Input!$B$169:$AR$169</definedName>
    <definedName name="Inp__Dom_Aircraft_Weight__tonnes____Category_4">[4]Input!$B$170:$AR$170</definedName>
    <definedName name="Inp__Dom_Aircraft_Weight__tonnes____Category_5">[4]Input!$B$171:$AR$171</definedName>
    <definedName name="Inp__Dom_Fleet_Mix___Category_2">[7]Input!$B$207:$AR$207</definedName>
    <definedName name="Inp__Dom_Fleet_Mix___Category_3">[7]Input!$B$208:$AR$208</definedName>
    <definedName name="Inp__Dom_Fleet_Mix___Category_4">[7]Input!$B$209:$AR$209</definedName>
    <definedName name="Inp__Dom_Fleet_Mix___Category_5">[7]Input!$B$210:$AR$210</definedName>
    <definedName name="Inp__Dom_GA_L_T_Tariff_USD_1">[7]Input!$C$83</definedName>
    <definedName name="Inp__Dom_GA_L_T_Tariff_USD_2">[7]Input!$D$83</definedName>
    <definedName name="Inp__Dom_GA_L_T_Tariff_USD_3">[7]Input!$E$83</definedName>
    <definedName name="Inp__Dom_GA_L_T_Tariff_USD_4">[7]Input!$F$83</definedName>
    <definedName name="Inp__Dom_GA_L_T_Tariff_USD_5">[7]Input!$G$83</definedName>
    <definedName name="Inp__Dom_GA_L_T_Tariff_USD_6">[7]Input!$H$83</definedName>
    <definedName name="Inp__Dom_GA_L_T_Tariff_USD_7">[7]Input!$I$83</definedName>
    <definedName name="Inp__Dom_GA_L_T_Tariff_USD_8">[7]Input!$J$83</definedName>
    <definedName name="Inp__Dom_GA_L_T_Tariff_USD_9">[7]Input!$K$83</definedName>
    <definedName name="Inp__Dom_GH_Tariff_USD__100MT">[4]Input!$C$84</definedName>
    <definedName name="Inp__Dom_GH_Tariff_USD_10_35MT">[4]Input!$C$81</definedName>
    <definedName name="Inp__Dom_GH_Tariff_USD_35_70MT">[4]Input!$C$82</definedName>
    <definedName name="Inp__Dom_GH_Tariff_USD_70_100MT">[4]Input!$C$83</definedName>
    <definedName name="Inp__Dom_L_T__10_35MT_USD_1">[7]Input!$C$77</definedName>
    <definedName name="Inp__Dom_L_T__10_35MT_USD_2">[7]Input!$D$77</definedName>
    <definedName name="Inp__Dom_L_T__10_35MT_USD_3">[7]Input!$E$77</definedName>
    <definedName name="Inp__Dom_L_T__100MT_USD_1">[7]Input!$C$80</definedName>
    <definedName name="Inp__Dom_L_T__100MT_USD_2">[7]Input!$D$80</definedName>
    <definedName name="Inp__Dom_L_T__100MT_USD_3">[7]Input!$E$80</definedName>
    <definedName name="Inp__Dom_L_T__35_70MT_USD_1">[7]Input!$C$78</definedName>
    <definedName name="Inp__Dom_L_T__35_70MT_USD_2">[7]Input!$D$78</definedName>
    <definedName name="Inp__Dom_L_T__35_70MT_USD_3">[7]Input!$E$78</definedName>
    <definedName name="Inp__Dom_L_T__70_100MT_USD_1">[7]Input!$C$79</definedName>
    <definedName name="Inp__Dom_L_T__70_100MT_USD_2">[7]Input!$D$79</definedName>
    <definedName name="Inp__Dom_L_T__70_100MT_USD_3">[7]Input!$E$79</definedName>
    <definedName name="Inp__Dom_PAX_Tariff_wo_IGV">[7]Input!$C$59</definedName>
    <definedName name="Inp__EBL_Interest">[7]Input!$C$815</definedName>
    <definedName name="Inp__EBL_LC_Interest">[7]Input!$C$816</definedName>
    <definedName name="Inp__Elec_Tools_1st_Yr_USD">[7]Input!$C$375</definedName>
    <definedName name="Inp__Elec_Tools_Baseline_USD">[7]Input!$D$375</definedName>
    <definedName name="Inp__Electrical_Mats_1st_Yr_USD">[7]Input!$C$367</definedName>
    <definedName name="Inp__Electrical_Mats_Baseline_USD">[7]Input!$D$367</definedName>
    <definedName name="Inp__Electricity_Soles_MIllions_Post_Peru_Plaza">[4]Input!$C$315</definedName>
    <definedName name="Inp__Electronic_Data_Processing_Maintenance_Soles_Millions">[4]Input!$C$299</definedName>
    <definedName name="Inp__Employee_Profit_Sharing__S\._Millions">[4]Input!$B$362:$AR$362</definedName>
    <definedName name="Inp__Employee_Profit_Sharing_as_pct_net_income">[7]Input!$C$450</definedName>
    <definedName name="Inp__Employee_Travel__Entertainment_as_pct_base_personnel">[4]Input!$C$251</definedName>
    <definedName name="Inp__Employee_Travel__Entertainment_Cost_Cap_Soles_Millions">[4]Input!$C$252</definedName>
    <definedName name="Inp__EPS_Contribution_USD">[7]Input!$C$335</definedName>
    <definedName name="Inp__Equipment_Maintenance_Soles_Millions">[4]Input!$C$300</definedName>
    <definedName name="Inp__Equity_Bridge_Loan_Flag_Y_1_N_2">[7]Input!$C$814</definedName>
    <definedName name="Inp__Executive_Expat_Salary">[4]Input!$F$235</definedName>
    <definedName name="Inp__Executive_Headcount_Expat">[4]Input!$C$235</definedName>
    <definedName name="Inp__Executive_Local_Salary">[4]Input!$F$234</definedName>
    <definedName name="Inp__Expat_Executive_Phaseout_Year">[4]Input!$C$246</definedName>
    <definedName name="Inp__Expat_Relocation_Move_USD">[4]Input!$C$257</definedName>
    <definedName name="Inp__FBC_Consortium_Retribution_Offer">[7]Input!$C$293</definedName>
    <definedName name="Inp__Firemen_Growth_Driver">[7]Input!$F$323</definedName>
    <definedName name="Inp__Firemen_Growth_Elasticity">[7]Input!$E$323</definedName>
    <definedName name="Inp__Firemen_Headcount_1st_Yr">[7]Input!$C$323</definedName>
    <definedName name="Inp__Firemen_Headcount_Baseline">[7]Input!$D$323</definedName>
    <definedName name="Inp__Firemen_Salary">[7]Input!$G$323</definedName>
    <definedName name="Inp__First_Aid_Mats_1st_Yr_USD">[7]Input!$C$377</definedName>
    <definedName name="Inp__First_Aid_Mats_Baseline_USD">[7]Input!$D$377</definedName>
    <definedName name="Inp__FOPRI_pmt_as_pct_Cannon">[7]Input!$C$297</definedName>
    <definedName name="Inp__Foreign_Sourced_Equity_Tenor">[7]Input!$P$672</definedName>
    <definedName name="Inp__Fraport_Senior_Mgr_Cost_Ongoing_USD">[7]Input!$C$328</definedName>
    <definedName name="Inp__Fraport_Senior_Mgr_Cost_Yr_1_USD">[7]Input!$C$327</definedName>
    <definedName name="Inp__Fringe_Benefits_as_pct_base_salary">[7]Input!$C$342</definedName>
    <definedName name="Inp__Fuel_Adj_Project_Year_1">[7]Input!$C$102</definedName>
    <definedName name="Inp__Fuel_Adj_Project_Year_2">[7]Input!$D$102</definedName>
    <definedName name="Inp__Fuel_Consumption_Growth_Method">[7]Input!$C$276</definedName>
    <definedName name="Inp__Fuel_Consumption_Growth_Rate">[7]Input!$B$281:$AR$281</definedName>
    <definedName name="Inp__Fuel_Diesel_Mats_1st_Yr_USD">[7]Input!$C$370</definedName>
    <definedName name="Inp__Fuel_Diesel_Mats_Baseline_USD">[7]Input!$D$370</definedName>
    <definedName name="Inp__Fuel_Tariff_1">[4]Input!$C$102</definedName>
    <definedName name="Inp__Fuel_Tariff_2">[7]Input!$D$103</definedName>
    <definedName name="Inp__Fuel_Tariff_For_Canon_Calc_USD_gallon">[7]Input!$C$106</definedName>
    <definedName name="Inp__Fuel_Tariff_Regulation_End_Year">[7]Input!$C$104</definedName>
    <definedName name="Inp__Furnishing_Maint_1st_Yr_USD">[7]Input!$C$347</definedName>
    <definedName name="Inp__Furnishing_Maint_Baseline_USD">[7]Input!$D$347</definedName>
    <definedName name="Inp__GA_3rd_Party_Cost_1st_Yr_USD">[7]Input!$C$399</definedName>
    <definedName name="Inp__GA_3rd_Party_Cost_Baseline_USD">[7]Input!$D$399</definedName>
    <definedName name="Inp__GA_Audit_Cost_1st_Yr_USD">[7]Input!$C$398</definedName>
    <definedName name="Inp__GA_Audit_Cost_Baseline_USD">[7]Input!$D$398</definedName>
    <definedName name="Inp__GA_Awards_Prizes_Presents_1st_Yr_USD">[7]Input!$C$412</definedName>
    <definedName name="Inp__GA_Awards_Prizes_Presents_Baseline_USD">[7]Input!$D$412</definedName>
    <definedName name="Inp__GA_Bank_Charge_TUUA_1st_Yr_USD">[7]Input!$C$411</definedName>
    <definedName name="Inp__GA_Bank_Charge_TUUA_Baseline_USD">[7]Input!$D$411</definedName>
    <definedName name="Inp__GA_Busdriver_and_Transport_Cont_1st_Yr_USD">[7]Input!$C$402</definedName>
    <definedName name="Inp__GA_Busdriver_and_Transport_Cont_Baseline_USD">[7]Input!$D$402</definedName>
    <definedName name="Inp__GA_Comm_Confs_1st_Yr_USD">[7]Input!$C$414</definedName>
    <definedName name="Inp__GA_Comm_Confs_Baseline_USD">[7]Input!$D$414</definedName>
    <definedName name="Inp__GA_Equip_Vehic_Mach_Rent_Baseline_USD">[7]Input!$D$404</definedName>
    <definedName name="Inp__GA_External_Photocopies_1st_Yr_USD">[7]Input!$C$408</definedName>
    <definedName name="Inp__GA_External_Photocopies_Baseline_USD">[7]Input!$D$408</definedName>
    <definedName name="Inp__GA_Insurance_Baseline_USD">[7]Input!$D$405</definedName>
    <definedName name="Inp__GA_Local_Legal_1st_Yr_USD">[7]Input!$C$397</definedName>
    <definedName name="Inp__GA_Local_Legal_Baseline_USD">[7]Input!$D$397</definedName>
    <definedName name="Inp__GA_Medical_Svcs_1st_Yr_USD">[7]Input!$C$401</definedName>
    <definedName name="Inp__GA_Medical_Svcs_Baseline_USD">[7]Input!$D$401</definedName>
    <definedName name="Inp__GA_Memberships_1st_Yr_USD">[7]Input!$C$413</definedName>
    <definedName name="Inp__GA_Memberships_Baseline_USD">[7]Input!$D$413</definedName>
    <definedName name="Inp__GA_news_Mags_Books_1st_Yr_USD">[7]Input!$C$409</definedName>
    <definedName name="Inp__GA_news_Mags_Books_Baseline_USD">[7]Input!$D$409</definedName>
    <definedName name="Inp__GA_Notary_1st_Yr_USD">[7]Input!$C$396</definedName>
    <definedName name="Inp__GA_Notary_Baseline_USD">[7]Input!$D$396</definedName>
    <definedName name="Inp__GA_Office_Rent_1st_Yr_USD">[7]Input!$C$403</definedName>
    <definedName name="Inp__GA_Office_Rent_Baseline_USD">[7]Input!$D$403</definedName>
    <definedName name="Inp__GA_Other_Exp_Baseline_USD">[7]Input!$D$417</definedName>
    <definedName name="Inp__GA_Outsourcing_1st_Yr_USD">[7]Input!$C$400</definedName>
    <definedName name="Inp__GA_Outsourcing_Baseline_USD">[7]Input!$D$400</definedName>
    <definedName name="Inp__GA_Postage_Freight_1st_Yr_USD">[7]Input!$C$407</definedName>
    <definedName name="Inp__GA_Postage_Freight_Baseline_USD">[7]Input!$D$407</definedName>
    <definedName name="Inp__GA_Publicity_Baseline_USD">[7]Input!$D$416</definedName>
    <definedName name="Inp__GA_Regulated_Tariff_Adj_Year_1">[7]Input!$C$48</definedName>
    <definedName name="Inp__GA_Regulated_Tariff_Adj_Year_2">[7]Input!$D$48</definedName>
    <definedName name="Inp__GA_Regulated_Tariff_Adj_Year_3">[7]Input!$E$48</definedName>
    <definedName name="Inp__GA_Regulated_Tariff_Adj_Year_4">[7]Input!$F$48</definedName>
    <definedName name="Inp__GA_Regulated_Tariff_Adj_Year_5">[7]Input!$G$48</definedName>
    <definedName name="Inp__GA_Regulated_Tariff_Adj_Year_6">[7]Input!$H$48</definedName>
    <definedName name="Inp__GA_Regulated_Tariff_Adj_Year_7">[7]Input!$I$48</definedName>
    <definedName name="Inp__GA_Regulated_Tariff_Adj_Year_8">[7]Input!$J$48</definedName>
    <definedName name="Inp__GA_Regulated_Tariff_Adj_Year_9">[7]Input!$K$48</definedName>
    <definedName name="Inp__GA_Representation_Exp_1st_Yr_USD">[7]Input!$C$415</definedName>
    <definedName name="Inp__GA_Representation_Exp_Baseline_USD">[7]Input!$D$415</definedName>
    <definedName name="Inp__GA_Translation_Svcs_Baseline_USD">[7]Input!$D$410</definedName>
    <definedName name="Inp__GA_Travel_Accomodation_1st_Yr_USD">[7]Input!$C$406</definedName>
    <definedName name="Inp__GA_Travel_Accomodation_Baseline_USD">[7]Input!$D$406</definedName>
    <definedName name="Inp__Garbage_and_Waste_Growth_Elasticity">[7]Input!$E$318</definedName>
    <definedName name="Inp__Garbage_and_Waste_Headcount_1st_Yr">[7]Input!$C$318</definedName>
    <definedName name="Inp__Garbage_and_Waste_Headcount_Baseline">[7]Input!$D$318</definedName>
    <definedName name="Inp__Garbage_and_Waste_Salary">[7]Input!$G$318</definedName>
    <definedName name="Inp__Gardens_Growth_Driver">[7]Input!$F$317</definedName>
    <definedName name="Inp__Gardens_Growth_Elasticity">[7]Input!$E$317</definedName>
    <definedName name="Inp__Gardens_Headcount_1st_Yr">[7]Input!$C$317</definedName>
    <definedName name="Inp__Gardens_Headcount_Baseline">[7]Input!$D$317</definedName>
    <definedName name="Inp__Gardens_Salary">[7]Input!$G$317</definedName>
    <definedName name="Inp__Hardware_Mats_Baseline_USD">[7]Input!$D$365</definedName>
    <definedName name="Inp__ID_Photo_Mats_1st_Yr_USD">[7]Input!$C$378</definedName>
    <definedName name="Inp__ID_Photo_Mats_Baseline_USD">[7]Input!$D$378</definedName>
    <definedName name="Inp__Impuesto_Predial_S.\_million">[4]Input!$C$667</definedName>
    <definedName name="Inp__Information_Service_Growth_Driver">[7]Input!$F$322</definedName>
    <definedName name="Inp__Information_Service_Growth_Elasticity">[7]Input!$E$322</definedName>
    <definedName name="Inp__Information_Service_Headcount_1st_Yr">[7]Input!$C$322</definedName>
    <definedName name="Inp__Information_Service_Headcount_Baseline">[7]Input!$D$322</definedName>
    <definedName name="Inp__Information_Service_Salary">[7]Input!$G$322</definedName>
    <definedName name="Inp__Initial_Assesed_Airport_Value">[7]Input!$C$874</definedName>
    <definedName name="Inp__Initial_Dom_L_T_Tariff__100MT_USD">[7]Input!$C$74</definedName>
    <definedName name="Inp__Initial_Dom_PAX_Tariff_End_Month">[7]Input!$C$63</definedName>
    <definedName name="Inp__Initial_Dom_Tariff_End_Date">[7]Input!$C$75</definedName>
    <definedName name="Inp__Initial_L_T_Tariff_10_35_MT_USD">[7]Input!$C$71</definedName>
    <definedName name="Inp__Initial_L_T_Tariff_35_70_MT_USD">[7]Input!$C$72</definedName>
    <definedName name="Inp__Initial_L_T_Tariff_70_100_MT_USD">[7]Input!$C$73</definedName>
    <definedName name="Inp__Int_l_Airbridge_Bus_Charge_USD">[7]Input!$C$92</definedName>
    <definedName name="Inp__Int_l_Aircraft_Weight__tonnes____Category_2">[4]Input!$B$162:$AR$162</definedName>
    <definedName name="Inp__Int_l_Aircraft_Weight__tonnes____Category_3">[4]Input!$B$163:$AR$163</definedName>
    <definedName name="Inp__Int_l_Aircraft_Weight__tonnes____Category_4">[4]Input!$B$164:$AR$164</definedName>
    <definedName name="Inp__Int_l_Aircraft_Weight__tonnes____Category_5">[4]Input!$B$165:$AR$165</definedName>
    <definedName name="Inp__Int_l_Fleet_Mix___Category_2">[7]Input!$B$201:$AR$201</definedName>
    <definedName name="Inp__Int_l_Fleet_Mix___Category_3">[7]Input!$B$202:$AR$202</definedName>
    <definedName name="Inp__Int_l_Fleet_Mix___Category_4">[7]Input!$B$203:$AR$203</definedName>
    <definedName name="Inp__Int_l_Fleet_Mix___Category_5">[7]Input!$B$204:$AR$204</definedName>
    <definedName name="Inp__Int_l_GH_Tariff_USD__100MT">[4]Input!$C$79</definedName>
    <definedName name="Inp__Int_l_GH_Tariff_USD_10_35MT">[4]Input!$C$76</definedName>
    <definedName name="Inp__Int_l_GH_Tariff_USD_35_70MT">[4]Input!$C$77</definedName>
    <definedName name="Inp__Int_l_GH_Tariff_USD_70_100MT">[4]Input!$C$78</definedName>
    <definedName name="Inp__International_Cargo__tonnes">[4]Input!$B$198:$AR$198</definedName>
    <definedName name="Inp__Intl_GA_L_T_Tariff_USD_1">[7]Input!$C$82</definedName>
    <definedName name="Inp__Intl_GA_L_T_Tariff_USD_2">[7]Input!$D$82</definedName>
    <definedName name="Inp__Intl_GA_L_T_Tariff_USD_3">[7]Input!$E$82</definedName>
    <definedName name="Inp__Intl_GA_L_T_Tariff_USD_4">[7]Input!$F$82</definedName>
    <definedName name="Inp__Intl_GA_L_T_Tariff_USD_5">[7]Input!$G$82</definedName>
    <definedName name="Inp__Intl_GA_L_T_Tariff_USD_6">[7]Input!$H$82</definedName>
    <definedName name="Inp__Intl_GA_L_T_Tariff_USD_7">[7]Input!$I$82</definedName>
    <definedName name="Inp__Intl_GA_L_T_Tariff_USD_8">[7]Input!$J$82</definedName>
    <definedName name="Inp__Intl_GA_L_T_Tariff_USD_9">[7]Input!$K$82</definedName>
    <definedName name="Inp__Intl_L_T__10_35_USD_1">[7]Input!$C$66</definedName>
    <definedName name="Inp__Intl_L_T__10_35_USD_2">[7]Input!$D$66</definedName>
    <definedName name="Inp__Intl_L_T__10_35_USD_3">[7]Input!$E$66</definedName>
    <definedName name="Inp__Intl_L_T__100_USD_1">[7]Input!$C$69</definedName>
    <definedName name="Inp__Intl_L_T__100_USD_2">[7]Input!$D$69</definedName>
    <definedName name="Inp__Intl_L_T__100_USD_3">[7]Input!$E$69</definedName>
    <definedName name="Inp__Intl_L_T__35_70_USD_1">[7]Input!$C$67</definedName>
    <definedName name="Inp__Intl_L_T__35_70_USD_2">[7]Input!$D$67</definedName>
    <definedName name="Inp__Intl_L_T__35_70_USD_3">[7]Input!$E$67</definedName>
    <definedName name="Inp__Intl_L_T__70_100_USD_1">[7]Input!$C$68</definedName>
    <definedName name="Inp__Intl_L_T__70_100_USD_2">[7]Input!$D$68</definedName>
    <definedName name="Inp__Intl_L_T__70_100_USD_3">[7]Input!$E$68</definedName>
    <definedName name="Inp__Intl_PAX_Tariff_wo_IGV">[7]Input!$C$53</definedName>
    <definedName name="Inp__ISO_9000_Cost_USD">[4]Input!$C$332</definedName>
    <definedName name="Inp__ISO_9000_Cost_Year">[4]Input!$C$333</definedName>
    <definedName name="Inp__Legal_Reserve_Limit__as_pct_PIC">[7]Input!$C$868</definedName>
    <definedName name="Inp__Legal_Reserve_Set_Aside__as_pct_profits">[7]Input!$C$867</definedName>
    <definedName name="Inp__Lender_Withholding_rate">[7]Input!$C$865</definedName>
    <definedName name="Inp__Local_Exec_Compensation_as_Pct_Expat">[4]Input!$C$247</definedName>
    <definedName name="Inp__Local_Sourced_Equity_Tenor">[7]Input!$P$673</definedName>
    <definedName name="Inp__Maint_Cost_Driver">[7]Input!$C$360</definedName>
    <definedName name="Inp__Maint_Electrical_Equip_1st_Yr_USD">[7]Input!$C$346</definedName>
    <definedName name="Inp__Maint_Electrical_Equip_Baseline_USD">[7]Input!$D$346</definedName>
    <definedName name="Inp__Maint_Quality_Control_Baseline_USD">[7]Input!$D$350</definedName>
    <definedName name="Inp__Maint_Security_Equip_1st_Yr_USD">[7]Input!$C$354</definedName>
    <definedName name="Inp__Maint_Security_Equip_Baseline_USD">[7]Input!$D$354</definedName>
    <definedName name="Inp__Marketing___Public_Relations__as_pct_total_revenues">[4]Input!$B$321:$AR$321</definedName>
    <definedName name="Inp__Materials_and_Supplies_S\._millions">[4]Input!$C$304</definedName>
    <definedName name="Inp__Mats_Supplies_Cost_Driver">[7]Input!$C$382</definedName>
    <definedName name="Inp__Mech_Tools_1st_Yr_USD">[7]Input!$C$374</definedName>
    <definedName name="Inp__Mech_Tools_Baseline_USD">[7]Input!$D$374</definedName>
    <definedName name="Inp__Military_Flight_L_T_Tariff_as_pct_comm_tariff">[4]Input!$C$67</definedName>
    <definedName name="Inp__Minimum_Cannon__US__millions_by_project_year">[7]Input!$B$294:$AR$294</definedName>
    <definedName name="Inp__Model_Currency">[4]Input!$C$3</definedName>
    <definedName name="Inp__Municipal_Services_Fee_Exemption_Year">[7]Input!$C$437</definedName>
    <definedName name="Inp__Network_Mats_1st_Yr_USD">[7]Input!$C$376</definedName>
    <definedName name="Inp__Network_Mats_Baseline_USD">[7]Input!$D$376</definedName>
    <definedName name="Inp__Night_Time_Tariff_Premium_as_pct_of_normal">[4]Input!$C$68</definedName>
    <definedName name="Inp__Number_of_Airbridges">[4]Input!$B$194:$AR$194</definedName>
    <definedName name="Inp__O_M_Reserve_Fund_as_pct_budget_inc">[4]Input!$C$358</definedName>
    <definedName name="Inp__Office_Maintenance_Soles_Millions">[4]Input!$C$301</definedName>
    <definedName name="Inp__Office_Supplies_Baseline_USD">[7]Input!$D$379</definedName>
    <definedName name="Inp__Oil_Lubricants_Mats_1st_Yr_USD">[7]Input!$C$371</definedName>
    <definedName name="Inp__Oil_Lubricants_Mats_Baseline_USD">[7]Input!$D$371</definedName>
    <definedName name="Inp__Ongoing_CapEx_CF_OF_Ratio1">[7]Input!$C$792</definedName>
    <definedName name="Inp__Ongoing_CapEx_CF_OF_Ratio2">[7]Input!$D$792</definedName>
    <definedName name="Inp__Ongoing_CapEx_CF_OF_Ratio3">[7]Input!$E$792</definedName>
    <definedName name="Inp__Ongoing_CapEx_DE_Ratio1">[7]Input!$C$791</definedName>
    <definedName name="Inp__Ongoing_CapEx_DE_Ratio2">[7]Input!$D$791</definedName>
    <definedName name="Inp__Ongoing_CapEx_DE_Ratio3">[7]Input!$E$791</definedName>
    <definedName name="Inp__Ongoing_CapEx_Drawdown_Currency1">[7]Input!$C$793</definedName>
    <definedName name="Inp__Ongoing_CapEx_Drawdown_Currency2">[7]Input!$D$793</definedName>
    <definedName name="Inp__Ongoing_CapEx_Drawdown_Currency3">[7]Input!$E$793</definedName>
    <definedName name="Inp__Ongoing_CapEx_Drawdown_Period1_Years">[7]Input!$C$795</definedName>
    <definedName name="Inp__Ongoing_CapEx_Drawdown_Period2_Years">[4]Input!$D$601</definedName>
    <definedName name="Inp__Ongoing_CapEx_Drawdown_Period3_Years">[4]Input!$E$601</definedName>
    <definedName name="Inp__Ongoing_CapEx_DSR2_Months">[7]Input!$D$800</definedName>
    <definedName name="Inp__Ongoing_CapEx_DSR3_Months">[7]Input!$E$800</definedName>
    <definedName name="Inp__Ongoing_CapEx_Funding_Start_Year1">[4]Input!$C$596</definedName>
    <definedName name="Inp__Ongoing_CapEx_Funding_Start_Year2">[4]Input!$D$596</definedName>
    <definedName name="Inp__Ongoing_CapEx_Funding_Start_Year3">[4]Input!$E$596</definedName>
    <definedName name="Inp__Ongoing_CapEx_FXDC">[7]Input!$B$808:$AR$808</definedName>
    <definedName name="Inp__Ongoing_CapEx_IDC">[7]Input!$B$804:$AR$804</definedName>
    <definedName name="Inp__Ongoing_CapEx_Interest_Rate1">[7]Input!$C$794</definedName>
    <definedName name="Inp__Ongoing_CapEx_Interest_Rate2">[7]Input!$D$794</definedName>
    <definedName name="Inp__Ongoing_CapEx_Interest_Rate3">[7]Input!$E$794</definedName>
    <definedName name="Inp__Ongoing_CapEx_Lender_Fees1_USD_Millions">[7]Input!$C$799</definedName>
    <definedName name="Inp__Ongoing_CapEx_Lender_Fees2_USD_Millions">[7]Input!$D$799</definedName>
    <definedName name="Inp__Ongoing_CapEx_Lender_Fees3_USD_Millions">[7]Input!$E$799</definedName>
    <definedName name="Inp__Ongoing_CapEx_OMR1_Months">[7]Input!$C$801</definedName>
    <definedName name="Inp__Ongoing_CapEx_OMR2_Months">[7]Input!$D$801</definedName>
    <definedName name="Inp__Ongoing_CapEx_OMR3_Months">[7]Input!$E$801</definedName>
    <definedName name="Inp__Ongoing_CapEx_Repmt_Style1">[7]Input!$C$797</definedName>
    <definedName name="Inp__Ongoing_CapEx_Repmt_Style2">[7]Input!$D$797</definedName>
    <definedName name="Inp__Ongoing_CapEx_Repmt_Style3">[7]Input!$E$797</definedName>
    <definedName name="Inp__Ongoing_CapEx_Tenor1">[4]Input!$C$602</definedName>
    <definedName name="Inp__Ongoing_CapEx_Tenor2">[7]Input!$D$796</definedName>
    <definedName name="Inp__Ongoing_CapEx_Tenor3">[7]Input!$E$796</definedName>
    <definedName name="Inp__Ongoing_CapEx_UpFront_Fee1">[7]Input!$C$798</definedName>
    <definedName name="Inp__Ongoing_CapEx_UpFront_Fee2">[7]Input!$D$798</definedName>
    <definedName name="Inp__Ongoing_CapEx_UpFront_Fee3">[7]Input!$E$798</definedName>
    <definedName name="Inp__Ongoing_ISO_Compliance_Soles_Millions">[4]Input!$C$334</definedName>
    <definedName name="Inp__Operation_Personnel_Growth_Driver">[7]Input!$F$311</definedName>
    <definedName name="Inp__Operation_Personnel_Growth_Elasticity">[7]Input!$E$311</definedName>
    <definedName name="Inp__Operation_Personnel_Headcount_1st_Yr">[7]Input!$C$311</definedName>
    <definedName name="Inp__Operation_Personnel_Headcount_Baseline">[7]Input!$D$311</definedName>
    <definedName name="Inp__Operation_Personnel_Salary">[7]Input!$G$311</definedName>
    <definedName name="Inp__Operations_Local_Salary">[4]Input!$F$242</definedName>
    <definedName name="Inp__Operator_Fee_as_pct_Expats_supplied">[4]Input!$C$350</definedName>
    <definedName name="Inp__OpEx_Cleaning_S\.mm">[4]Input!$C$310</definedName>
    <definedName name="Inp__OpEx_Contingency_Pct">[4]Input!$C$353</definedName>
    <definedName name="Inp__OpEx_Contingency_Pct_OpEx">[7]Input!$C$432</definedName>
    <definedName name="Inp__OpEx_Electricity_S\.mm">[4]Input!$C$314</definedName>
    <definedName name="Inp__OpEx_External_Consult_USDmm">[4]Input!$C$309</definedName>
    <definedName name="Inp__OpEx_General_Sensitivity_Factor">[4]Input!$B$673:$AR$673</definedName>
    <definedName name="Inp__OpEx_Internet_USDmm">[4]Input!$C$329</definedName>
    <definedName name="Inp__OpEx_IT_Supplies_USDmm">[4]Input!$C$328</definedName>
    <definedName name="Inp__OpEx_Office_Rent_USDmm">[4]Input!$C$312</definedName>
    <definedName name="Inp__OpEx_Other_Utilities_S\.mm">[4]Input!$C$317</definedName>
    <definedName name="Inp__OpEx_Security_S\.mm">[4]Input!$C$311</definedName>
    <definedName name="Inp__OpEx_Server_Lease_Install_USDmm">[4]Input!$C$330</definedName>
    <definedName name="Inp__OpEx_Telephone_S\.mm">[4]Input!$C$313</definedName>
    <definedName name="Inp__OpEx_Wastewater_S\.mm">[4]Input!$C$316</definedName>
    <definedName name="Inp__OpEx_Water_S\.mm">[4]Input!$C$308</definedName>
    <definedName name="Inp__Ops_Specialist_Local_Salary">[4]Input!$F$240</definedName>
    <definedName name="Inp__OSITRAN_Regulatory_Fee_as_pct_revs">[4]Input!$C$355</definedName>
    <definedName name="Inp__Painting_Varnishing_Overcoating_1st_Yr_USD">[7]Input!$C$369</definedName>
    <definedName name="Inp__Painting_Varnishing_Overcoating_Baseline_USD">[7]Input!$D$369</definedName>
    <definedName name="Inp__Parking_Fees_as_Pct_Total_Landing_Fees">[7]Input!$C$89</definedName>
    <definedName name="Inp__Parking_Tariff__330_Pct_L_T">[4]Input!$C$73</definedName>
    <definedName name="Inp__Parking_Tariff_90_330_Pct_L_T">[4]Input!$C$72</definedName>
    <definedName name="Inp__Passenger_Security_Growth_Driver">[7]Input!$F$320</definedName>
    <definedName name="Inp__Passenger_Security_Growth_Elasticity">[7]Input!$E$320</definedName>
    <definedName name="Inp__Passenger_Security_Headcount_1st_Yr">[7]Input!$C$320</definedName>
    <definedName name="Inp__Passenger_Security_Headcount_Baseline">[7]Input!$D$320</definedName>
    <definedName name="Inp__Passenger_Security_Salary">[7]Input!$G$320</definedName>
    <definedName name="Inp__PBX_Maint_Baseline_USD">[7]Input!$D$356</definedName>
    <definedName name="Inp__Pct_Aircraft__330_minutes">[4]Input!$C$187</definedName>
    <definedName name="Inp__Pct_Aircraft_90_330_minutes">[4]Input!$C$186</definedName>
    <definedName name="Inp__Pct_Expat_Cost_Labor">[4]Input!$C$351</definedName>
    <definedName name="Inp__Pct_GH_Revs_Shared_Domestic">[4]Input!$C$87</definedName>
    <definedName name="Inp__Pct_GH_Revs_Shared_Int_l">[4]Input!$C$86</definedName>
    <definedName name="Inp__Pct_of_Dom_Flights_at_Night_Time_Tariff_Flights">[4]Input!$B$183:$AR$183</definedName>
    <definedName name="Inp__Pct_of_Intl_Flights_at_Night_Time_Tariff_Flights">[4]Input!$B$182:$AR$182</definedName>
    <definedName name="Inp__Pct_of_Landings_Requiring_Maintenance__100_MTOW">[4]Input!$B$212:$AR$212</definedName>
    <definedName name="Inp__Pct_of_Landings_Requiring_Maintenance_10_35_MTOW">[4]Input!$B$209:$AR$209</definedName>
    <definedName name="Inp__Pct_of_Landings_Requiring_Maintenance_35_70_MTOW">[4]Input!$B$210:$AR$210</definedName>
    <definedName name="Inp__Pct_of_Landings_Requiring_Maintenance_70_100_MTOW">[4]Input!$B$211:$AR$211</definedName>
    <definedName name="Inp__Pct_of_Operations_Using_Airbridges">[4]Input!$B$195:$AR$195</definedName>
    <definedName name="Inp__Pct_of_Operations_Using_Bus_Service">[4]Input!$B$191:$AR$191</definedName>
    <definedName name="Inp__Performance_Bond_Amt_US_million_Max">[4]Input!$C$340</definedName>
    <definedName name="Inp__Performance_Bond_Amt_US_million_Min">[4]Input!$C$341</definedName>
    <definedName name="Inp__Performance_Bond_Cost_as_pct_outstanding_Perf_Bond">[4]Input!$C$342</definedName>
    <definedName name="Inp__Plumbing_Welding_Abs_Mats_Baseline_USD">[7]Input!$D$364</definedName>
    <definedName name="Inp__Presentation_Mats_1st_Yr_USD">[7]Input!$C$380</definedName>
    <definedName name="Inp__Presentation_Mats_Baseline_USD">[7]Input!$D$380</definedName>
    <definedName name="Inp__Real_Estate_Tax_Pct_Property_Value">[7]Input!$C$872</definedName>
    <definedName name="Inp__Real_State_Tax_Exemption_Year">[7]Input!$C$873</definedName>
    <definedName name="Inp__Real_Wage_Increase_rate_pa">[7]Input!$B$35:$AR$35</definedName>
    <definedName name="Inp__Replacement_Value_2000_2014_USD">[4]Input!$C$325</definedName>
    <definedName name="Inp__Replacement_Value_2015_2040_USD">[4]Input!$C$326</definedName>
    <definedName name="Inp__Road_Maint_Baseline_USD">[7]Input!$D$349</definedName>
    <definedName name="Inp__Security_Posts_Dogs_Growth_Driver">[7]Input!$F$321</definedName>
    <definedName name="Inp__Security_Posts_Dogs_Growth_Elasticity">[7]Input!$E$321</definedName>
    <definedName name="Inp__Security_Posts_Dogs_Headcount_1st_Yr">[7]Input!$C$321</definedName>
    <definedName name="Inp__Security_Posts_Dogs_Headcount_Baseline">[7]Input!$D$321</definedName>
    <definedName name="Inp__Security_Posts_Dogs_Salary">[7]Input!$G$321</definedName>
    <definedName name="Inp__Security_Posts_Growth_Driver">[7]Input!$F$319</definedName>
    <definedName name="Inp__Security_Posts_Growth_Elasticity">[7]Input!$E$319</definedName>
    <definedName name="Inp__Security_Posts_Headcount_1st_Yr">[7]Input!$C$319</definedName>
    <definedName name="Inp__Security_Posts_Headcount_Baseline">[7]Input!$D$319</definedName>
    <definedName name="Inp__Security_Posts_Salary">[7]Input!$G$319</definedName>
    <definedName name="Inp__Sell_Down_1_Discount_Rate">[22]Input!$C$898</definedName>
    <definedName name="Inp__Sell_Down_1_Pct">[22]Input!$C$895</definedName>
    <definedName name="Inp__Sell_Down_1_Year">'[7]Sponsors Return'!$C$13</definedName>
    <definedName name="Inp__Sell_Down_2_Discount_Rate">[22]Input!$C$899</definedName>
    <definedName name="Inp__Sell_Down_2_Pct">[22]Input!$C$896</definedName>
    <definedName name="Inp__Sell_Down_2_Year">[22]Input!$C$894</definedName>
    <definedName name="Inp__Senior_Manager_Growth_Driver">[7]Input!$F$304</definedName>
    <definedName name="Inp__Senior_Manager_Growth_Elasticity">[7]Input!$E$304</definedName>
    <definedName name="Inp__Senior_Manager_Headcount_1st_Yr">[7]Input!$C$304</definedName>
    <definedName name="Inp__Senior_Manager_Headcount_Baseline">[7]Input!$D$304</definedName>
    <definedName name="Inp__Senior_Manager_Salary">[7]Input!$G$304</definedName>
    <definedName name="Inp__Spares_Vehicles_Baseline_USD">[7]Input!$D$373</definedName>
    <definedName name="Inp__Spares_Workshop_Mach_1st_Yr_USD">[7]Input!$C$372</definedName>
    <definedName name="Inp__Spares_Workshop_Mach_Baseline_USD">[7]Input!$D$372</definedName>
    <definedName name="Inp__SPassenger_Security_Salary">[7]Input!$F$320</definedName>
    <definedName name="Inp__Special_Consulting_Contract_Cost_USD">[4]Input!$C$336</definedName>
    <definedName name="Inp__Sponsor_Amount">[7]Input!$C$643</definedName>
    <definedName name="Inp__Sponsor_Amt_Up_Front">[7]Input!$C$646</definedName>
    <definedName name="Inp__Sponsor_Interest_Withholding">[7]Input!$C$863</definedName>
    <definedName name="Inp__Start_Up_Costs_2001_USD">[7]Input!$C$443</definedName>
    <definedName name="Inp__Start_Up_Costs_2002_USD">[7]Input!$C$444</definedName>
    <definedName name="Inp__Sub_Debt_as_Equity_Flag">[7]Input!$C$615</definedName>
    <definedName name="Inp__Sub_Debt_Term_Currency_Switch">[7]Input!$C$720</definedName>
    <definedName name="Inp__Subsequent_Regulated_Tariff_Adjustment_Period">[7]Input!$C$49</definedName>
    <definedName name="Inp__Tasa_de_Regulacion_as_pct_Cannon">[7]Input!$C$296</definedName>
    <definedName name="Inp__Technical_Personnel_Growth_Elasticity">[7]Input!$E$310</definedName>
    <definedName name="Inp__Technical_Personnel_Headcount_1st_Yr">[7]Input!$C$310</definedName>
    <definedName name="Inp__Technical_Personnel_Headcount_Baseline">[7]Input!$D$310</definedName>
    <definedName name="Inp__Technical_Personnel_Salary">[7]Input!$G$310</definedName>
    <definedName name="Inp__Technician_Local_Salary">[4]Input!$F$241</definedName>
    <definedName name="Inp__Term_Special_Consulting_Contracts">[4]Input!$C$337</definedName>
    <definedName name="Inp__Termination_Pmt_Disc_Rate">[7]Input!$C$886</definedName>
    <definedName name="Inp__Termination_Pmt_Lookfwd_Yrs">[7]Input!$C$888</definedName>
    <definedName name="Inp__Termination_Pmt_Year">[7]Input!$C$887</definedName>
    <definedName name="Inp__Training_Cost_Cap_Soles_Millions">[4]Input!$C$250</definedName>
    <definedName name="Inp__Training_Costs__as_pct_base_personnel_costs">[7]Input!$B$330:$AR$330</definedName>
    <definedName name="Inp__Tranche1_Term_Currency_Switch">[7]Input!$C$717</definedName>
    <definedName name="Inp__Tranche2_Term_Currency_Switch">[7]Input!$C$718</definedName>
    <definedName name="Inp__Tranche3_Term_Currency_Switch">[7]Input!$C$719</definedName>
    <definedName name="Inp__Transportation__Storage_Soles_Millions">[4]Input!$C$305</definedName>
    <definedName name="Inp__Uniforms_Personnel_Transp_USD">[7]Input!$C$336</definedName>
    <definedName name="Inp__Utilities_Cost_Driver">[7]Input!$C$393</definedName>
    <definedName name="Inp__Utilities_Electricity_1st_Yr_NS">[7]Input!$C$386</definedName>
    <definedName name="Inp__Utilities_Electricity_Baseline_NS">[7]Input!$D$386</definedName>
    <definedName name="Inp__Utilities_Incinerator_1st_Yr_USD">[7]Input!$C$390</definedName>
    <definedName name="Inp__Utilities_Incinerator_Baseline_USD">[7]Input!$D$390</definedName>
    <definedName name="Inp__Utilities_Telephone_1st_Yr_NS">[7]Input!$C$391</definedName>
    <definedName name="Inp__Utilities_Telephone_Baseline_NS">[7]Input!$D$391</definedName>
    <definedName name="Inp__Utilities_Water_Baseline_NS">[7]Input!$D$385</definedName>
    <definedName name="Inp__Utilities_WW_1st_Yr_USD">[7]Input!$C$387</definedName>
    <definedName name="Inp__Utilities_WW_Baseline_USD">[7]Input!$D$387</definedName>
    <definedName name="Inp__Vehicle_Maint_I_Baseline_USD">[7]Input!$D$352</definedName>
    <definedName name="Inp__Vehicle_Maintenance_Soles_Millions">[4]Input!$C$298</definedName>
    <definedName name="Inp__Water_Pumps_Maint_1st_Yr_USD">[7]Input!$C$358</definedName>
    <definedName name="Inp__Water_Pumps_Maint_Baseline_USD">[7]Input!$D$358</definedName>
    <definedName name="Inp__Yearly_Cost_Recovery_Driver">[7]Input!$C$441</definedName>
    <definedName name="Inp__Yearly_Municipal_Services_Fee_NS">[7]Input!$C$436</definedName>
    <definedName name="Inp__Yearly_Operator_Fee___US__millions">[4]Input!$B$348:$AR$348</definedName>
    <definedName name="Inp_Ads_Sales_per_Pax">[5]Inp!$B$153</definedName>
    <definedName name="Inp_Annual_Banks_Rent">[5]Inp!$B$155</definedName>
    <definedName name="Inp_Annual_Charge_Employees">[5]Inp!$B$179</definedName>
    <definedName name="Inp_Annual_Charge_Long_Term">[5]Inp!$B$181</definedName>
    <definedName name="Inp_Annual_Charge_Rental_Car">[5]Inp!$B$177</definedName>
    <definedName name="Inp_annual_devaluation_rate">[7]Input!$C$34:$AR$34</definedName>
    <definedName name="Inp_Asset_Tax_Hoiday">[7]Input!$C$871</definedName>
    <definedName name="Inp_Asset_Tax_Paid">[7]Input!$C$866</definedName>
    <definedName name="Inp_Avg_Weight_of_AC_Under_12500_kgs">[5]Inp!$B$62</definedName>
    <definedName name="Inp_Baseline_Personnel_Trasport">[7]Input!$E$337</definedName>
    <definedName name="Inp_Bond1_Const_Facility_LC">[7]Input!$D$694</definedName>
    <definedName name="Inp_Bond1_Const_Funding_Order">[7]Input!$C$620</definedName>
    <definedName name="Inp_Bond1_Drawdown_Period">[7]Input!$C$686</definedName>
    <definedName name="Inp_CapEx_Escalation_Flag">[7]Input!$C$456</definedName>
    <definedName name="Inp_Capitalize_VAT_DC">[7]Input!$C$861</definedName>
    <definedName name="Inp_Car_Sales_per_Pax">[5]Inp!$B$160</definedName>
    <definedName name="Inp_Cash_Balance_Interest_Rate">[7]Input!$C$774</definedName>
    <definedName name="Inp_conc_period">[7]Input!$C$9</definedName>
    <definedName name="Inp_conc_start_date">[7]Input!$C$10</definedName>
    <definedName name="Inp_concession_flag">[4]Input!$C$22:$AR$22</definedName>
    <definedName name="Inp_construction_cost_est_date">[7]Input!$C$15</definedName>
    <definedName name="Inp_construction_end.date">[7]Input!$C$18</definedName>
    <definedName name="Inp_construction_flag">[7]Input!$C$27:$AR$27</definedName>
    <definedName name="Inp_construction_period">[7]Input!$C$16</definedName>
    <definedName name="Inp_construction_start_date">[7]Input!$C$17</definedName>
    <definedName name="Inp_Convergence_error">[7]Input!$C$892</definedName>
    <definedName name="Inp_COOPESA_Ramp">[5]Inp!$B$98</definedName>
    <definedName name="Inp_cum_yr_conc">[7]Input!$C$25:$AR$25</definedName>
    <definedName name="Inp_Debt_Converge">[7]Input!$C$640:$C$643</definedName>
    <definedName name="Inp_DEpcn_inherited_assets">[7]Input!$C$850:$J$850</definedName>
    <definedName name="Inp_Depcn_Initial.Capex">[7]Input!$C$847:$J$847</definedName>
    <definedName name="Inp_Depcn_Ongoing_Capex">[7]Input!$C$849:$J$849</definedName>
    <definedName name="Inp_Divi_witholding_Tax">[7]Input!$C$864</definedName>
    <definedName name="Inp_Duty_Free_Sales_per_Pax">[5]Inp!$B$149</definedName>
    <definedName name="Inp_Engineering_Closing_Fees">[7]Input!$C$671</definedName>
    <definedName name="Inp_EOY_date">[7]Input!$C$24:$AR$24</definedName>
    <definedName name="Inp_EOY_FX">'[7] Time &amp; Esc'!$C$26:$AR$26</definedName>
    <definedName name="Inp_Equity_Const_Funding_Order">[7]Input!$C$622</definedName>
    <definedName name="Inp_First_SU_date">[7]Input!$C$11</definedName>
    <definedName name="Inp_Food_and_Bev_Sales_per_Pax">[5]Inp!$B$143</definedName>
    <definedName name="Inp_Funds_Drawdown_Start_Date">[4]Input!$C$445:$C$448</definedName>
    <definedName name="Inp_Govt_Fund_for_Future_Airport_Dev">[5]Inp!$B$624</definedName>
    <definedName name="Inp_Govt_Fund_for_Maint_and_Dev_of_Airports">[5]Inp!$B$623</definedName>
    <definedName name="Inp_Hours_of_Operation">[5]Inp!$B$174</definedName>
    <definedName name="Inp_IMAS_Profit_Margin">[5]Inp!$B$150</definedName>
    <definedName name="Inp_Infra_Rev_Airside_Date">[5]Inp!$B$45</definedName>
    <definedName name="Inp_initial_FX_date">[7]Input!$C$12</definedName>
    <definedName name="Inp_initial_FX_rate">[4]Input!$C$14</definedName>
    <definedName name="Inp_Initial_PYF">'[7] Time &amp; Esc'!$C$7</definedName>
    <definedName name="Inp_Insurance_Closing_Fees">[7]Input!$C$670</definedName>
    <definedName name="Inp_LC_DSR">[7]Input!$C$770</definedName>
    <definedName name="Inp_LC_DSR_cost">[7]Input!$C$772</definedName>
    <definedName name="Inp_Legal_Closing_Fees">[7]Input!$C$669</definedName>
    <definedName name="Inp_Loan_Converge">[7]Input!$C$640:$C$643</definedName>
    <definedName name="Inp_Local_inflation_rate_pa">[7]Input!$C$33:$AR$33</definedName>
    <definedName name="Inp_Model_Case_Name">[23]Input!$C$5</definedName>
    <definedName name="Inp_Num_Taxcabs">[5]Inp!$B$169</definedName>
    <definedName name="Inp_Num_Vans">[5]Inp!$B$171</definedName>
    <definedName name="Inp_Number_of_AC_Under_12500_kgs">[5]Inp!$B$61</definedName>
    <definedName name="Inp_OM_Allocation_Terminal">[5]Inp!$B$617</definedName>
    <definedName name="Inp_Ongoing_Capex">[7]Input!$C$588:$AR$588</definedName>
    <definedName name="Inp_operations_cost_est_date">[7]Input!$C$14</definedName>
    <definedName name="Inp_Pax_Tax_to_DGAC">[5]Inp!$B$125</definedName>
    <definedName name="Inp_Pct_Car_Rev">[5]Inp!$B$161</definedName>
    <definedName name="Inp_Pct_Food_and_Bev_Rev">[5]Inp!$B$144</definedName>
    <definedName name="Inp_Pct_IMAS_Profit">[5]Inp!$B$151</definedName>
    <definedName name="Inp_Pct_of_Gross_to_Catering">[5]Inp!$B$87</definedName>
    <definedName name="Inp_Pct_of_Gross_to_Ramp">[5]Inp!$B$93</definedName>
    <definedName name="Inp_Pct_Other_Rev">[5]Inp!$B$158</definedName>
    <definedName name="Inp_Pct_Retail_Rev">[5]Inp!$B$147</definedName>
    <definedName name="Inp_Rate_per_Hour">[5]Inp!$B$175</definedName>
    <definedName name="Inp_release_WC.at.end">[7]Input!$I$819</definedName>
    <definedName name="Inp_Retail_Sales_per_Pax">[5]Inp!$B$146</definedName>
    <definedName name="Inp_Sec_Charge_Year_1_Dom">[5]Inp!$B$132</definedName>
    <definedName name="Inp_Sec_Charge_Year_1_Iintl">[5]Inp!$B$131</definedName>
    <definedName name="Inp_Sponsor_Amount_Drawdown_Start_Date">[7]Input!$C$631</definedName>
    <definedName name="Inp_Sponsor_Amt_Const_Facility_LC">[7]Input!$D$695</definedName>
    <definedName name="Inp_Sub_Debt_comm.fee">[7]Input!$C$660</definedName>
    <definedName name="Inp_Sub_Debt_Const_Funding_Order">[7]Input!$C$621</definedName>
    <definedName name="Inp_Sub_Debt_curr.flag">[7]Input!$C$637</definedName>
    <definedName name="Inp_Sub_Debt_drawdown.period">[7]Input!$C$684</definedName>
    <definedName name="Inp_Sub_Debt_DSR">[7]Input!$C$769</definedName>
    <definedName name="Inp_Sub_Debt_IDC">[7]Input!$Z$677</definedName>
    <definedName name="Inp_Sub_Debt_term_amount">[7]Input!$C$732</definedName>
    <definedName name="Inp_Sub_Debt_term_conversion_date">[7]Input!$C$708</definedName>
    <definedName name="Inp_Sub_Debt_term_curr.flag">[7]Input!$C$726</definedName>
    <definedName name="Inp_Sub_Debt_term_tenor">[7]Input!$C$738</definedName>
    <definedName name="Inp_Sub_Debt_term_type">[7]Input!$C$744</definedName>
    <definedName name="Inp_Sub_Debt_upfront.fee">[7]Input!$C$666</definedName>
    <definedName name="Inp_tax.holiday">[7]Input!$C$870</definedName>
    <definedName name="Inp_tax.loss.cfwd">[7]Input!$C$869</definedName>
    <definedName name="Inp_Tax_Converge">[7]Input!$C$875:$AR$875</definedName>
    <definedName name="Inp_tax_rate">[7]Input!$C$858</definedName>
    <definedName name="Inp_Taxicab_Annual_Fee">[5]Inp!$B$170</definedName>
    <definedName name="Inp_Term_Debt_Conversion_Costs_Tranche1">[7]Input!$C$780</definedName>
    <definedName name="Inp_Term_Debt_Conversion_Costs_Tranche2">[7]Input!$C$781</definedName>
    <definedName name="Inp_Term_Debt_Conversion_Costs_Tranche3">[7]Input!$C$782</definedName>
    <definedName name="Inp_Term_LoanIR_Sub_Debt">[7]Input!$B$702:$AR$702</definedName>
    <definedName name="Inp_Term_LoanIR_Tranche1">[7]Input!$B$699:$AR$699</definedName>
    <definedName name="Inp_Term_LoanIR_Tranche2">[7]Input!$B$700:$AR$700</definedName>
    <definedName name="Inp_Term_LoanIR_Tranche3">[7]Input!$B$701:$AR$701</definedName>
    <definedName name="Inp_Tranche1_comm.fee">[7]Input!$C$657</definedName>
    <definedName name="Inp_Tranche1_const.loan.facility">[7]Input!$C$640</definedName>
    <definedName name="Inp_Tranche1_Const_Facility_LC">[7]Input!$D$692</definedName>
    <definedName name="Inp_Tranche1_Const_Funding_Order">[7]Input!$C$618</definedName>
    <definedName name="Inp_Tranche1_curr.flag">[7]Input!$C$634</definedName>
    <definedName name="Inp_tranche1_drawdown.period">[7]Input!$C$681</definedName>
    <definedName name="Inp_Tranche1_Drawdown_Start_Date">[4]Input!$C$445</definedName>
    <definedName name="Inp_Tranche1_DSR">[7]Input!$C$766</definedName>
    <definedName name="Inp_Tranche1_IDC">[7]Input!$Z$674</definedName>
    <definedName name="Inp_Tranche1_term_amount">[7]Input!$C$729</definedName>
    <definedName name="Inp_Tranche1_term_conversion_date">[7]Input!$C$705</definedName>
    <definedName name="Inp_Tranche1_term_curr.flag">[7]Input!$C$723</definedName>
    <definedName name="Inp_Tranche1_term_tenor">[7]Input!$C$735</definedName>
    <definedName name="Inp_Tranche1_term_type">[7]Input!$C$741</definedName>
    <definedName name="Inp_Tranche1_upfront.fee">[7]Input!$C$663</definedName>
    <definedName name="Inp_Tranche2_comm.fee">[7]Input!$C$658</definedName>
    <definedName name="Inp_Tranche2_const.loan.facility">[7]Input!$C$641</definedName>
    <definedName name="Inp_Tranche2_Const_Facility_LC">[7]Input!$D$693</definedName>
    <definedName name="Inp_Tranche2_Const_Funding_Order">[7]Input!$C$619</definedName>
    <definedName name="Inp_Tranche2_curr.flag">[7]Input!$C$635</definedName>
    <definedName name="Inp_Tranche2_drawdown.period">[7]Input!$C$682</definedName>
    <definedName name="Inp_Tranche2_Drawdown_Start_Date">[4]Input!$C$446</definedName>
    <definedName name="Inp_Tranche2_DSR">[7]Input!$C$767</definedName>
    <definedName name="Inp_Tranche2_IDC">[7]Input!$Z$675</definedName>
    <definedName name="Inp_Tranche2_term_amount">[7]Input!$C$730</definedName>
    <definedName name="Inp_Tranche2_term_conversion_date">[7]Input!$C$706</definedName>
    <definedName name="Inp_Tranche2_term_curr.flag">[7]Input!$C$724</definedName>
    <definedName name="Inp_Tranche2_term_tenor">[7]Input!$C$736</definedName>
    <definedName name="Inp_Tranche2_term_type">[7]Input!$C$742</definedName>
    <definedName name="Inp_Tranche2_upfront.fee">[7]Input!$C$664</definedName>
    <definedName name="Inp_Tranche3_comm.fee">[7]Input!$C$659</definedName>
    <definedName name="Inp_Tranche3_const.loan.facility">[7]Input!$C$642</definedName>
    <definedName name="Inp_Tranche3_curr.flag">[7]Input!$C$636</definedName>
    <definedName name="Inp_Tranche3_drawdown.period">[7]Input!$C$683</definedName>
    <definedName name="Inp_Tranche3_Drawdown_Start_Date">[4]Input!$C$447</definedName>
    <definedName name="Inp_Tranche3_DSR">[7]Input!$C$768</definedName>
    <definedName name="Inp_Tranche3_IDC">[7]Input!$Z$676</definedName>
    <definedName name="Inp_Tranche3_term_amount">[7]Input!$C$731</definedName>
    <definedName name="Inp_Tranche3_term_conversion_date">[7]Input!$C$707</definedName>
    <definedName name="Inp_Tranche3_term_curr.flag">[7]Input!$C$725</definedName>
    <definedName name="Inp_Tranche3_term_tenor">[7]Input!$C$737</definedName>
    <definedName name="Inp_Tranche3_term_type">[7]Input!$C$743</definedName>
    <definedName name="Inp_Tranche3_upfront.fee">[7]Input!$C$665</definedName>
    <definedName name="Inp_US_inflation">[7]Input!$C$31:$AR$31</definedName>
    <definedName name="Inp_Using_Delta_Terminal_Revenue">[5]Inp!$B$163</definedName>
    <definedName name="Inp_Using_Fund_in_Infra_Tariff_if_LC">[5]Inp!$B$39</definedName>
    <definedName name="Inp_Using_LC_for_OMF">[5]Inp!$B$643</definedName>
    <definedName name="Inp_Using_LC_for_WC">[5]Inp!$B$639</definedName>
    <definedName name="Inp_Using_Retail_Building_Revenue">[5]Inp!$B$164</definedName>
    <definedName name="Inp_Van_Annual_Fee">[5]Inp!$B$172</definedName>
    <definedName name="Inp_VAT_tax1">[4]Input!$C$655</definedName>
    <definedName name="Input_Advisory_Success_Fee">[10]Inputs!$I$14</definedName>
    <definedName name="Input_Base_10Y_UST">'[24]New Debt'!$K$5</definedName>
    <definedName name="Input_Base_TSA_Fee">[25]Inputs!$J$13</definedName>
    <definedName name="Input_CR_Corp._Income_Tax">[25]Inputs!$G$38</definedName>
    <definedName name="Input_CR_Interest_Withhold_Tax">[26]Inputs!$F$44</definedName>
    <definedName name="Input_Days_WC_payables">[26]Inputs!$I$9</definedName>
    <definedName name="Input_Days_WC_Recv">[26]Inputs!$I$8</definedName>
    <definedName name="Input_Dividend_Withhold_Tax">[26]Inputs!$F$46</definedName>
    <definedName name="Input_DSRA_Size">[25]Inputs!$E$20</definedName>
    <definedName name="Input_Interest_on_Reserves">[25]Inputs!$J$7</definedName>
    <definedName name="Input_Net_Income_Share">[26]Inputs!$J$20</definedName>
    <definedName name="Input_Project_Contingency_Percent">[10]Inputs!$I$15</definedName>
    <definedName name="Input_Real_Growth_Rate">'[10]2. Terminal-Comm-Land Rev.'!$F$205</definedName>
    <definedName name="Input_Revenue_Sharing_Percent">[25]Inputs!$J$12</definedName>
    <definedName name="Input_Size_OM_Resv.">[26]Inputs!$I$3</definedName>
    <definedName name="Input_TSA_Fee_Percent">[25]Inputs!$J$16</definedName>
    <definedName name="Input_US_Inflation_Rate">[26]Inputs!$I$16</definedName>
    <definedName name="Int_Earned_on_OMRF">[5]WC!$B$100:$Y$100</definedName>
    <definedName name="Int_Earned_on_WCRF">[5]WC!$B$76:$Y$76</definedName>
    <definedName name="Int_l_PAX_Fees">'[7]2&amp;3 AeroRevs'!$B$13:$AR$13</definedName>
    <definedName name="Inte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EVELS">[6]WEEKBASE!$A$45:$B$47</definedName>
    <definedName name="LKL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oan_A">'[8]Cash Flow'!$AB$135:$BQ$135</definedName>
    <definedName name="Loan_B">'[8]Cash Flow'!$AB$140:$BQ$140</definedName>
    <definedName name="Major_Maintenance___Buildings">'[4]7 &amp; 8A. SandU'!$B$534:$AR$534</definedName>
    <definedName name="Major_Maintenance_Reserve_Account_Balance">'[7]6. OpEx'!$B$180:$AR$180</definedName>
    <definedName name="MAPCO1">[27]Pond_Baños!$D$70:$G$117</definedName>
    <definedName name="MAPCO2">[27]Pond_Baños!$D$118:$G$149</definedName>
    <definedName name="MAPCON1">[28]Pond_Baños!$E$70:$H$85</definedName>
    <definedName name="MAPCON2">[28]Pond_Baños!$E$118:$H$133</definedName>
    <definedName name="MAPCOS1">[28]Pond_Baños!$E$86:$H$117</definedName>
    <definedName name="MAPCOS2">[28]Pond_Baños!$E$134:$H$149</definedName>
    <definedName name="MAPPP1">[27]Pond_Baños!$D$26:$G$32</definedName>
    <definedName name="MAPPP2">[27]Pond_Baños!$D$34:$G$69</definedName>
    <definedName name="MAPTE">[27]Pond_Baños!$D$2:$G$24</definedName>
    <definedName name="Marzo04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id_Year_Real_Wage_Growth_Rate_Factor">'[4]1. Time &amp; Esc'!$B$32:$AR$32</definedName>
    <definedName name="Mid_year_US__operations_cost_factor">'[7] Time &amp; Esc'!$B$45:$AR$45</definedName>
    <definedName name="Mid_year_US_cost_factor_based_at_cost_est_date">'[4]1. Time &amp; Esc'!$B$24:$AR$24</definedName>
    <definedName name="MIERCOLES">[29]RES!$C$7:$R$73</definedName>
    <definedName name="MPFCO1">[28]Pond_Baños!$A$335:$L$363</definedName>
    <definedName name="MPFCO2">[28]Pond_Baños!$A$364:$L$387</definedName>
    <definedName name="MPFCONS1">[28]Pond_Baños!$B$335:$L$363</definedName>
    <definedName name="MPFCONS2">[28]Pond_Baños!$B$364:$L$387</definedName>
    <definedName name="MPFPP1">[28]Pond_Baños!$A$301:$L$313</definedName>
    <definedName name="MPFPP2">[28]Pond_Baños!$A$314:$L$334</definedName>
    <definedName name="MPFTE">[28]Pond_Baños!$A$289:$L$300</definedName>
    <definedName name="MSWCO">[27]Pond_Baños!$D$208:$G$287</definedName>
    <definedName name="MSWCON">[28]Pond_Baños!$E$208:$H$223,[28]Pond_Baños!$E$224:$H$239</definedName>
    <definedName name="MSWCON12">[28]Pond_Baños!$E$208:$H$239</definedName>
    <definedName name="MSWCOS">[28]Pond_Baños!$E$240:$H$271,[28]Pond_Baños!$E$272:$H$287</definedName>
    <definedName name="MSWCOS12">[28]Pond_Baños!$E$240:$H$287</definedName>
    <definedName name="MSWPP">[27]Pond_Baños!$D$168:$G$207</definedName>
    <definedName name="MSWTE">[27]Pond_Baños!$D$150:$G$167</definedName>
    <definedName name="MTOTAL">[28]Pond_Baños!$A$2:$L$387</definedName>
    <definedName name="Municipal_Services_Fee">'[7]6. OpEx'!$B$139:$AR$139</definedName>
    <definedName name="Name">[12]Controls!$C$5</definedName>
    <definedName name="Net_Adjustments_to_Non_Monetary_Accounts">'[7]9&amp;11. WC&amp;Tax'!$B$106:$AR$106</definedName>
    <definedName name="Net_FX_Adjustments_to_Debt">'[7]9&amp;11. WC&amp;Tax'!$B$91:$AR$91</definedName>
    <definedName name="nnn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n_Const_Period_Flag">[7]Input!$B$28:$AR$28</definedName>
    <definedName name="Number_of_Aircrafts_Using_Ramp_Services">'[5]Traf &amp; Op'!$B$145:$Y$145</definedName>
    <definedName name="Ongoing_CapEx_Debt_Drawdowns">'[7]7 &amp; 8A. SandU'!$B$527:$AR$527</definedName>
    <definedName name="Ongoing_CapEx_Equity">'[7]7 &amp; 8A. SandU'!$B$526:$AR$526</definedName>
    <definedName name="Ongoing_Capex_interest">'[7]8b-8e. Debt'!$C$98:$AR$98</definedName>
    <definedName name="Ongoing_Nominal_CapEx">'[7]7 &amp; 8A. SandU'!$A$668:$AR$668</definedName>
    <definedName name="Operating_Expenses_Contingency_S\.">'[7]6. OpEx'!$B$136:$AR$136</definedName>
    <definedName name="Operating_income">[7]CashF!$B$68:$AR$68</definedName>
    <definedName name="Operator_Fee_S\.">'[7]6. OpEx'!$B$132:$AR$132</definedName>
    <definedName name="OpEx_Bad_Debt__2__of_total_revenues">'[7]6. OpEx'!$B$146:$AR$146</definedName>
    <definedName name="OpEx_Total_With_Factor_X">[5]OpEx!$B$27:$Y$27</definedName>
    <definedName name="OpEx_VAT_Paid">'[7]6. OpEx'!$A$144:$AR$144</definedName>
    <definedName name="Other_Lender_Fees_Ongoing_CapEx_Const">'[7]7 &amp; 8A. SandU'!$B$553:$AR$553</definedName>
    <definedName name="Other_Retail_Concessions">'[7]4. Non_AeroRevs'!$B$114:$AR$114</definedName>
    <definedName name="P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.L_EAT">'[7]P&amp;L'!$C$61:$AR$61</definedName>
    <definedName name="P.L_EBT">'[7]P&amp;L'!$C$57:$AR$57</definedName>
    <definedName name="Parking_Revenues_for_Canon_Calculation">'[7]4. Non_AeroRevs'!$B$85:$AR$85</definedName>
    <definedName name="PARTIDAS">[30]WEEKBASE!$J$2:$K$26</definedName>
    <definedName name="PER">[17]QURR!$D$104:$F$150</definedName>
    <definedName name="Personnel_Additives">'[7]6. OpEx'!$B$53:$AR$53</definedName>
    <definedName name="Personnel_Growth_Factor">'[4]1. Time &amp; Esc'!$B$76:$AR$76</definedName>
    <definedName name="Peru_Plaza_Anchor_Stores_Concessions">'[7]4. Non_AeroRevs'!$B$115:$AR$115</definedName>
    <definedName name="PF">[31]REBARQ!$C$65</definedName>
    <definedName name="Plus__Equity_Bridge_Loan">'[32]Cash Flow'!$A$14:$J$14</definedName>
    <definedName name="Plus__Equity_Draw_Down_During_Construction">'[32]Cash Flow'!$A$13:$J$13</definedName>
    <definedName name="Plus__Senior_Debt_Draw_Down_During_Construction">'[32]Cash Flow'!$A$11:$J$11</definedName>
    <definedName name="PONDE">[30]WEEKBASE!$A$5:$C$11</definedName>
    <definedName name="PP">[33]metrados!$A$8:$L$43</definedName>
    <definedName name="Print_Area_MI">'[20]#REF'!$A$1:$N$529</definedName>
    <definedName name="RAPCON2">[28]Pond_Baños!$H$118:$H$133</definedName>
    <definedName name="RAPCOS1">[28]Pond_Baños!$I$86:$I$117</definedName>
    <definedName name="RAPCOS2">[28]Pond_Baños!$H$134:$H$149</definedName>
    <definedName name="RAPPP1">[27]Pond_Baños!$G$26:$G$32</definedName>
    <definedName name="RAPPP2">[27]Pond_Baños!$G$34:$G$69</definedName>
    <definedName name="RAPTE">[27]Pond_Baños!$G$2:$G$24</definedName>
    <definedName name="Regulated_Int_l_PAX_Tariff">'[4]1. Time &amp; Esc'!$B$40:$AR$40</definedName>
    <definedName name="Release_of_Cash_Balance_in_Final_Year">[7]CashF!$B$116:$AR$116</definedName>
    <definedName name="RENT_Total_Pct">[5]CapEx!$D$109</definedName>
    <definedName name="Revolving_facility_loan_balance">'[7]8b-8e. Debt'!$C$42:$AR$42</definedName>
    <definedName name="RPFCO12">[28]Pond_Baños!$I$335:$I$363</definedName>
    <definedName name="RPFCO13">[28]Pond_Baños!$J$335:$J$363</definedName>
    <definedName name="RPFCO14">[28]Pond_Baños!$K$335:$K$363</definedName>
    <definedName name="RPFCO21">[28]Pond_Baños!$H$364:$H$387</definedName>
    <definedName name="RPFCO22">[28]Pond_Baños!$I$364:$I$387</definedName>
    <definedName name="RPFCO23">[28]Pond_Baños!$J$364:$J$387</definedName>
    <definedName name="RPFCO24">[28]Pond_Baños!$K$364:$K$387</definedName>
    <definedName name="RPFCONS2">[28]Pond_Baños!$B$364:$L$387</definedName>
    <definedName name="RPFPP11">[28]Pond_Baños!$H$301:$H$313</definedName>
    <definedName name="RPFPP12">[28]Pond_Baños!$I$301:$I$313</definedName>
    <definedName name="RPFPP13">[28]Pond_Baños!$J$301:$J$313</definedName>
    <definedName name="RPFPP14">[28]Pond_Baños!$K$301:$K$313</definedName>
    <definedName name="RPFPP21">[28]Pond_Baños!$H$314:$H$334</definedName>
    <definedName name="RPFPP22">[28]Pond_Baños!$I$314:$I$334</definedName>
    <definedName name="RPFPP23">[28]Pond_Baños!$J$314:$J$334</definedName>
    <definedName name="RPFPP24">[28]Pond_Baños!$K$314:$K$334</definedName>
    <definedName name="RPFTE1">[28]Pond_Baños!$H$289:$H$300</definedName>
    <definedName name="RPFTE2">[28]Pond_Baños!$I$289:$I$300</definedName>
    <definedName name="RPFTE3">[28]Pond_Baños!$J$289:$J$300</definedName>
    <definedName name="RPFTE4">[28]Pond_Baños!$K$289:$K$300</definedName>
    <definedName name="RPINTURA">[27]Pond_Baños!$J$2:$J$287</definedName>
    <definedName name="rr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SWCON12">[28]Pond_Baños!$H$208:$H$239</definedName>
    <definedName name="RSWCOS">[28]Pond_Baños!$H$240:$H$271,[28]Pond_Baños!$H$272:$H$287</definedName>
    <definedName name="RSWCOS12">[28]Pond_Baños!$H$240:$H$287</definedName>
    <definedName name="RSWPP">[27]Pond_Baños!$G$168:$G$207</definedName>
    <definedName name="RSWTE">[27]Pond_Baños!$H$150:$H$167</definedName>
    <definedName name="RTHSRYJUX">[34]Input!$C$96:$F$96</definedName>
    <definedName name="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AAFFGSD">[34]Input!$B$176:$AR$176</definedName>
    <definedName name="SandU_Cash_Balance_EOY_DC">'[7]7 &amp; 8A. SandU'!$B$382:$AR$382</definedName>
    <definedName name="SandU_Change_in_Cash_Balance_DC">'[7]7 &amp; 8A. SandU'!$B$383:$AR$383</definedName>
    <definedName name="SandU_Land_Costs">'[7]7 &amp; 8A. SandU'!$C$470:$AR$470</definedName>
    <definedName name="sd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nsCase">[12]Sensitivity!$A$56</definedName>
    <definedName name="SensInputTable">[12]Sensitivity!$A$9:$O$49</definedName>
    <definedName name="SensMacroProgress">[12]Sensitivity!$C$69</definedName>
    <definedName name="SensOutput">[12]Sensitivity!$A$75</definedName>
    <definedName name="SensPAXgrowth">'[35]Sensitivity Summary Page'!$B$10</definedName>
    <definedName name="SensResultLine">[12]Sensitivity!$A$66:$P$66</definedName>
    <definedName name="Services2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_Inp_International_Enp_Pax_Forecast">'[36]Time Inp'!$B$13:$Y$13</definedName>
    <definedName name="T_Inp_Intl_Pax_Tax">'[5]Time Inp'!$B$188:$Y$188</definedName>
    <definedName name="T_Inp_Leakage_of_Pax_Rev">'[5]Time Inp'!$B$200:$Y$200</definedName>
    <definedName name="T_Inp_Phase_In_COOPESA">'[5]Time Inp'!$B$208:$Y$208</definedName>
    <definedName name="T_Inp_Phase_In_Pax_Rev">'[5]Time Inp'!$B$206:$Y$206</definedName>
    <definedName name="T_Inp_Phase_In_Taxicabs_and_Vans">'[5]Time Inp'!$B$207:$Y$207</definedName>
    <definedName name="T_Inp_Pkng_Occupancy_Employees">'[5]Time Inp'!$B$233:$Y$233</definedName>
    <definedName name="T_Inp_Pkng_Occupancy_Long_Term">'[5]Time Inp'!$B$236:$Y$236</definedName>
    <definedName name="T_Inp_Pkng_Occupancy_Regular">'[5]Time Inp'!$B$227:$Y$227</definedName>
    <definedName name="T_Inp_Pkng_Occupancy_Rental_Car">'[5]Time Inp'!$B$230:$Y$230</definedName>
    <definedName name="T_Inp_Pkng_Spaces_Employees">'[5]Time Inp'!$B$232:$Y$232</definedName>
    <definedName name="T_Inp_Pkng_Spaces_Long_Term">'[5]Time Inp'!$B$235:$Y$235</definedName>
    <definedName name="T_Inp_Pkng_Spaces_Regular">'[5]Time Inp'!$B$226:$Y$226</definedName>
    <definedName name="T_Inp_Pkng_Spaces_Rental_Car">'[5]Time Inp'!$B$229:$Y$229</definedName>
    <definedName name="T_Inp_Retail_Revenue">'[5]Time Inp'!$B$242:$Y$242</definedName>
    <definedName name="test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otal_Aeronautical_Revenues__S\._millions">'[4]2&amp;3 AeroRevs'!$B$99:$AR$99</definedName>
    <definedName name="Total_Airbridge_Fee_Tariff_Component">'[5]Airside Fees'!$B$42:$Y$42</definedName>
    <definedName name="Total_Airbridge_Fees">'[7]2&amp;3 AeroRevs'!$B$51:$AR$51</definedName>
    <definedName name="Total_Amount_of_Fuel_Year">'[5]Traf &amp; Op'!$B$140:$Y$140</definedName>
    <definedName name="Total_annual_taxes">'[7]9&amp;11. WC&amp;Tax'!$B$152:$AR$152</definedName>
    <definedName name="Total_Approach_Fee_Infrastructure_Component">'[5]Airside Fees'!$B$140:$Y$140</definedName>
    <definedName name="Total_Approach_Fee_Tariff_Component">'[5]Airside Fees'!$B$126:$Y$126</definedName>
    <definedName name="Total_Cargo_Fee_Tariff_Component">'[5]Airside Fees'!$B$84:$Y$84</definedName>
    <definedName name="Total_COOPESA_Fee_Infrastructure_Component">'[5]Airside Fees'!$B$119:$Y$119</definedName>
    <definedName name="Total_COOPESA_Fee_Tariff_Component">'[5]Airside Fees'!$B$105:$Y$105</definedName>
    <definedName name="Total_Fcst_Dom_Landings">[4]Fcst!$B$32:$AR$32</definedName>
    <definedName name="Total_Fcst_Int_l_Landings">[4]Fcst!$B$25:$AR$25</definedName>
    <definedName name="Total_Fuel_Fee_Tariff_Component">'[5]Airside Fees'!$B$168:$Y$168</definedName>
    <definedName name="Total_Fuel_Fees">'[7]2&amp;3 AeroRevs'!$B$60:$AR$60</definedName>
    <definedName name="Total_Landing_Fee_Infrastructure_Component">'[5]Airside Fees'!$B$35:$Y$35</definedName>
    <definedName name="Total_Lighting_Fee_Tariff_Component">'[5]Airside Fees'!$B$147:$Y$147</definedName>
    <definedName name="Total_Materials___Supplies_Expenses">'[7]6. OpEx'!$B$92:$AR$92</definedName>
    <definedName name="Total_Ongoing_CapEx_Facility_Debt_Service_S\.">'[7]8b-8e. Debt'!$B$100:$AR$100</definedName>
    <definedName name="Total_Ongoing_CapEx_Financing_Costs">'[7]7 &amp; 8A. SandU'!$B$555:$AR$555</definedName>
    <definedName name="Total_Parking_Fee_Tariff_Component">'[5]Airside Fees'!$B$63:$Y$63</definedName>
    <definedName name="Total_Parking_Fees">'[7]2&amp;3 AeroRevs'!$B$48:$AR$48</definedName>
    <definedName name="Total_PAX_Fees">'[7]2&amp;3 AeroRevs'!$B$16:$AR$16</definedName>
    <definedName name="Total_Personnel_Expenses">'[7]6. OpEx'!$B$42:$AR$42</definedName>
    <definedName name="Total_Sub_Debt_Int">'[7]8b-8e. Debt'!$A$89:$AR$89</definedName>
    <definedName name="Total_Tax_Paid">[7]Input!$B$875:$AR$875</definedName>
    <definedName name="Total_Tax_Paid_for_SandU">[7]Input!$C$875:$AR$875</definedName>
    <definedName name="TOTAL1">[20]A:B!$C$1:$U$156</definedName>
    <definedName name="Traf_Cargo_MTOW_Under_90_minutes_Year">'[5]Traf &amp; Op'!$B$128:$Y$128</definedName>
    <definedName name="Traf_International_Pax_Year">'[5]Traf &amp; Op'!$B$83:$Y$83</definedName>
    <definedName name="Traf_MTOWs_Between_60_and_89_Year">'[5]Traf &amp; Op'!$B$122:$Y$122</definedName>
    <definedName name="Traf_MTOWs_Over_90_Year">'[5]Traf &amp; Op'!$B$123:$Y$123</definedName>
    <definedName name="Traf_MTOWs_Under_60_Year">'[5]Traf &amp; Op'!$B$121:$Y$121</definedName>
    <definedName name="Traf_Passenger_MTOW_Under_90_minutes_Year">'[5]Traf &amp; Op'!$B$129:$Y$129</definedName>
    <definedName name="Traf_Subtotal_Domestic_Passenger_Year">'[5]Traf &amp; Op'!$B$116:$Y$116</definedName>
    <definedName name="Traf_Subtotal_International_Cargo_Year__all_over_60_000_kgs">'[5]Traf &amp; Op'!$B$117:$Y$117</definedName>
    <definedName name="Traf_Subtotal_International_Passenger_Year">'[5]Traf &amp; Op'!$B$115:$Y$115</definedName>
    <definedName name="Traf_Total_MTOW_Between_3_and_6_hours_Year">'[5]Traf &amp; Op'!$B$133:$Y$133</definedName>
    <definedName name="Traf_Total_MTOW_Overnight_Year">'[5]Traf &amp; Op'!$B$135:$Y$135</definedName>
    <definedName name="Traf_Total_MTOW_Parked_from_90_min_to_3_hrs_Year">'[5]Traf &amp; Op'!$B$131:$Y$131</definedName>
    <definedName name="TUUADOWN">'[7]Sensitivity Summary Page'!$B$137</definedName>
    <definedName name="TUUAflat">'[7]Sensitivity Summary Page'!$B$140</definedName>
    <definedName name="uj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VAN">[37]control!$C$38</definedName>
    <definedName name="VAT_Revenues_Collected">'[7]9&amp;11. WC&amp;Tax'!$B$72:$AR$72</definedName>
    <definedName name="Virtual_Debt_Airside">'[5]Virtual Debt'!$B$986:$Y$986</definedName>
    <definedName name="WC_WC.requirement">'[7]9&amp;11. WC&amp;Tax'!$B$59:$AR$59</definedName>
    <definedName name="weq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R">[27]Pond_Baños!$H$3:$H$7</definedName>
    <definedName name="wrn.all." localSheetId="8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8" hidden="1">{#N/A,#N/A,FALSE,"WBS 1.06";#N/A,#N/A,FALSE,"WBS 1.14";#N/A,#N/A,FALSE,"WBS 1.17";#N/A,#N/A,FALSE,"WBS 1.18"}</definedName>
    <definedName name="wrn.COST_SHEETS." localSheetId="5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8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5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8" hidden="1">{#N/A,#N/A,TRUE,"Traffic";#N/A,#N/A,TRUE,"Capex";#N/A,#N/A,TRUE,"P_and_L"}</definedName>
    <definedName name="wrn.Print_all_sheets." localSheetId="5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8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8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71027"/>
  <fileRecoveryPr repairLoad="1"/>
</workbook>
</file>

<file path=xl/calcChain.xml><?xml version="1.0" encoding="utf-8"?>
<calcChain xmlns="http://schemas.openxmlformats.org/spreadsheetml/2006/main">
  <c r="D12" i="8" l="1"/>
  <c r="V12" i="31" l="1"/>
  <c r="FB3" i="18" l="1"/>
  <c r="FN3" i="18" s="1"/>
  <c r="FZ3" i="18" s="1"/>
  <c r="GL3" i="18" s="1"/>
  <c r="GX3" i="18" s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U12" i="31"/>
  <c r="T12" i="31"/>
  <c r="E6" i="14" l="1"/>
  <c r="B38" i="18" l="1"/>
  <c r="C38" i="18"/>
  <c r="D38" i="18"/>
  <c r="E38" i="18"/>
  <c r="F38" i="18"/>
  <c r="G38" i="18"/>
  <c r="B31" i="18" l="1"/>
  <c r="E5" i="14" s="1"/>
  <c r="U22" i="7" l="1"/>
  <c r="T22" i="7"/>
  <c r="Q45" i="7"/>
  <c r="Q12" i="8" s="1"/>
  <c r="R45" i="7"/>
  <c r="R12" i="8" s="1"/>
  <c r="S45" i="7"/>
  <c r="S12" i="8" s="1"/>
  <c r="T45" i="7"/>
  <c r="T12" i="8" s="1"/>
  <c r="U45" i="7"/>
  <c r="U12" i="8" s="1"/>
  <c r="H45" i="7"/>
  <c r="H12" i="8" s="1"/>
  <c r="E45" i="7"/>
  <c r="E12" i="8" s="1"/>
  <c r="F45" i="7"/>
  <c r="F12" i="8" s="1"/>
  <c r="G45" i="7"/>
  <c r="G12" i="8" s="1"/>
  <c r="I45" i="7"/>
  <c r="I12" i="8" s="1"/>
  <c r="J45" i="7"/>
  <c r="J12" i="8" s="1"/>
  <c r="K45" i="7"/>
  <c r="K12" i="8" s="1"/>
  <c r="L45" i="7"/>
  <c r="L12" i="8" s="1"/>
  <c r="M45" i="7"/>
  <c r="M12" i="8" s="1"/>
  <c r="N45" i="7"/>
  <c r="N12" i="8" s="1"/>
  <c r="O45" i="7"/>
  <c r="O12" i="8" s="1"/>
  <c r="P45" i="7"/>
  <c r="P12" i="8" s="1"/>
  <c r="Q40" i="7"/>
  <c r="U22" i="8" l="1"/>
  <c r="S8" i="18" l="1"/>
  <c r="R8" i="18"/>
  <c r="Q8" i="18"/>
  <c r="P8" i="18"/>
  <c r="O8" i="18" l="1"/>
  <c r="N8" i="18"/>
  <c r="S12" i="31" l="1"/>
  <c r="R12" i="31"/>
  <c r="V13" i="31"/>
  <c r="U13" i="31"/>
  <c r="T13" i="31"/>
  <c r="S13" i="31"/>
  <c r="R13" i="31"/>
  <c r="U14" i="31" l="1"/>
  <c r="V14" i="31"/>
  <c r="T14" i="31"/>
  <c r="S24" i="18" l="1"/>
  <c r="V16" i="36" s="1"/>
  <c r="P24" i="18"/>
  <c r="S16" i="36" s="1"/>
  <c r="T22" i="8" l="1"/>
  <c r="S22" i="8"/>
  <c r="R22" i="8"/>
  <c r="Q22" i="8"/>
  <c r="R24" i="18" l="1"/>
  <c r="U16" i="36" s="1"/>
  <c r="Q24" i="18"/>
  <c r="T16" i="36" s="1"/>
  <c r="S22" i="7" l="1"/>
  <c r="S12" i="7"/>
  <c r="AW7" i="34" l="1"/>
  <c r="T302" i="2"/>
  <c r="T76" i="2"/>
  <c r="S302" i="2"/>
  <c r="S76" i="2"/>
  <c r="R302" i="2"/>
  <c r="R76" i="2"/>
  <c r="I30" i="7"/>
  <c r="C302" i="2"/>
  <c r="D302" i="2"/>
  <c r="E302" i="2"/>
  <c r="E581" i="2" s="1"/>
  <c r="F302" i="2"/>
  <c r="H302" i="2"/>
  <c r="I302" i="2"/>
  <c r="J302" i="2"/>
  <c r="J649" i="2" s="1"/>
  <c r="K302" i="2"/>
  <c r="K581" i="2" s="1"/>
  <c r="L302" i="2"/>
  <c r="L581" i="2" s="1"/>
  <c r="M302" i="2"/>
  <c r="M581" i="2" s="1"/>
  <c r="N302" i="2"/>
  <c r="N581" i="2" s="1"/>
  <c r="O302" i="2"/>
  <c r="P302" i="2"/>
  <c r="P649" i="2" s="1"/>
  <c r="Q302" i="2"/>
  <c r="C76" i="2"/>
  <c r="D76" i="2"/>
  <c r="E76" i="2"/>
  <c r="F76" i="2"/>
  <c r="H76" i="2"/>
  <c r="G76" i="2" s="1"/>
  <c r="I76" i="2"/>
  <c r="J76" i="2"/>
  <c r="K76" i="2"/>
  <c r="L76" i="2"/>
  <c r="M76" i="2"/>
  <c r="N76" i="2"/>
  <c r="O76" i="2"/>
  <c r="P76" i="2"/>
  <c r="Q76" i="2"/>
  <c r="AI6" i="35"/>
  <c r="AJ6" i="35"/>
  <c r="AK6" i="35"/>
  <c r="AJ7" i="35"/>
  <c r="AK7" i="35"/>
  <c r="AH6" i="35"/>
  <c r="AQ70" i="36"/>
  <c r="AP70" i="36"/>
  <c r="R12" i="32"/>
  <c r="R11" i="32"/>
  <c r="O24" i="18"/>
  <c r="S14" i="31"/>
  <c r="T8" i="14"/>
  <c r="Q7" i="8"/>
  <c r="R40" i="7"/>
  <c r="R7" i="8" s="1"/>
  <c r="Q41" i="7"/>
  <c r="Q8" i="8" s="1"/>
  <c r="R41" i="7"/>
  <c r="Q42" i="7"/>
  <c r="R42" i="7"/>
  <c r="R9" i="8" s="1"/>
  <c r="Q43" i="7"/>
  <c r="Q10" i="8" s="1"/>
  <c r="R43" i="7"/>
  <c r="R10" i="8" s="1"/>
  <c r="Q44" i="7"/>
  <c r="Q11" i="8" s="1"/>
  <c r="R44" i="7"/>
  <c r="R11" i="8" s="1"/>
  <c r="Q46" i="7"/>
  <c r="Q13" i="8" s="1"/>
  <c r="R46" i="7"/>
  <c r="R13" i="8" s="1"/>
  <c r="Q47" i="7"/>
  <c r="Q14" i="8" s="1"/>
  <c r="R47" i="7"/>
  <c r="R14" i="8" s="1"/>
  <c r="Q49" i="7"/>
  <c r="Q16" i="8" s="1"/>
  <c r="R49" i="7"/>
  <c r="R16" i="8" s="1"/>
  <c r="R22" i="7"/>
  <c r="R48" i="7" s="1"/>
  <c r="R15" i="8" s="1"/>
  <c r="Q22" i="7"/>
  <c r="Q300" i="2"/>
  <c r="Q647" i="2" s="1"/>
  <c r="Q303" i="2"/>
  <c r="Q650" i="2" s="1"/>
  <c r="Q304" i="2"/>
  <c r="Q305" i="2"/>
  <c r="Q652" i="2" s="1"/>
  <c r="Q307" i="2"/>
  <c r="Q654" i="2" s="1"/>
  <c r="Q308" i="2"/>
  <c r="Q309" i="2"/>
  <c r="Q588" i="2" s="1"/>
  <c r="Q310" i="2"/>
  <c r="Q657" i="2" s="1"/>
  <c r="Q311" i="2"/>
  <c r="Q658" i="2" s="1"/>
  <c r="Q313" i="2"/>
  <c r="Q592" i="2" s="1"/>
  <c r="Q314" i="2"/>
  <c r="Q316" i="2"/>
  <c r="Q663" i="2" s="1"/>
  <c r="Q317" i="2"/>
  <c r="Q664" i="2" s="1"/>
  <c r="Q320" i="2"/>
  <c r="Q321" i="2"/>
  <c r="Q532" i="2" s="1"/>
  <c r="Q323" i="2"/>
  <c r="Q534" i="2" s="1"/>
  <c r="Q324" i="2"/>
  <c r="Q603" i="2" s="1"/>
  <c r="Q325" i="2"/>
  <c r="Q604" i="2" s="1"/>
  <c r="Q327" i="2"/>
  <c r="Q606" i="2" s="1"/>
  <c r="Q328" i="2"/>
  <c r="Q539" i="2" s="1"/>
  <c r="Q329" i="2"/>
  <c r="Q676" i="2" s="1"/>
  <c r="Q330" i="2"/>
  <c r="Q332" i="2"/>
  <c r="Q679" i="2" s="1"/>
  <c r="Q333" i="2"/>
  <c r="Q680" i="2" s="1"/>
  <c r="Q336" i="2"/>
  <c r="Q615" i="2" s="1"/>
  <c r="Q337" i="2"/>
  <c r="Q340" i="2"/>
  <c r="Q619" i="2" s="1"/>
  <c r="Q341" i="2"/>
  <c r="Q620" i="2" s="1"/>
  <c r="Q344" i="2"/>
  <c r="Q691" i="2" s="1"/>
  <c r="Q345" i="2"/>
  <c r="Q348" i="2"/>
  <c r="Q627" i="2" s="1"/>
  <c r="Q349" i="2"/>
  <c r="Q696" i="2" s="1"/>
  <c r="Q351" i="2"/>
  <c r="Q352" i="2"/>
  <c r="Q353" i="2"/>
  <c r="Q700" i="2" s="1"/>
  <c r="Q356" i="2"/>
  <c r="Q635" i="2" s="1"/>
  <c r="Q357" i="2"/>
  <c r="Q704" i="2" s="1"/>
  <c r="Q359" i="2"/>
  <c r="Q360" i="2"/>
  <c r="Q707" i="2" s="1"/>
  <c r="Q361" i="2"/>
  <c r="Q708" i="2" s="1"/>
  <c r="Q364" i="2"/>
  <c r="K38" i="18"/>
  <c r="Q6" i="8"/>
  <c r="P40" i="7"/>
  <c r="Q6" i="7"/>
  <c r="AG7" i="35"/>
  <c r="O6" i="35"/>
  <c r="O4" i="35"/>
  <c r="N5" i="35"/>
  <c r="N6" i="35"/>
  <c r="S15" i="5"/>
  <c r="S41" i="5" s="1"/>
  <c r="R15" i="5"/>
  <c r="R33" i="5" s="1"/>
  <c r="R35" i="5" s="1"/>
  <c r="L350" i="2"/>
  <c r="L697" i="2" s="1"/>
  <c r="L493" i="2" s="1"/>
  <c r="L419" i="2" s="1"/>
  <c r="L54" i="2" s="1"/>
  <c r="AA89" i="1"/>
  <c r="P333" i="2"/>
  <c r="P680" i="2" s="1"/>
  <c r="P337" i="2"/>
  <c r="P340" i="2"/>
  <c r="P619" i="2" s="1"/>
  <c r="P341" i="2"/>
  <c r="P344" i="2"/>
  <c r="P623" i="2" s="1"/>
  <c r="P345" i="2"/>
  <c r="P624" i="2" s="1"/>
  <c r="P348" i="2"/>
  <c r="P695" i="2" s="1"/>
  <c r="P349" i="2"/>
  <c r="P352" i="2"/>
  <c r="P631" i="2" s="1"/>
  <c r="P353" i="2"/>
  <c r="P632" i="2" s="1"/>
  <c r="P356" i="2"/>
  <c r="P703" i="2" s="1"/>
  <c r="P357" i="2"/>
  <c r="P360" i="2"/>
  <c r="P639" i="2" s="1"/>
  <c r="P361" i="2"/>
  <c r="P640" i="2" s="1"/>
  <c r="P364" i="2"/>
  <c r="P323" i="2"/>
  <c r="P327" i="2"/>
  <c r="P606" i="2" s="1"/>
  <c r="P330" i="2"/>
  <c r="P609" i="2" s="1"/>
  <c r="P331" i="2"/>
  <c r="P314" i="2"/>
  <c r="P593" i="2" s="1"/>
  <c r="P320" i="2"/>
  <c r="P305" i="2"/>
  <c r="P311" i="2"/>
  <c r="P300" i="2"/>
  <c r="P109" i="2"/>
  <c r="P115" i="2"/>
  <c r="P119" i="2"/>
  <c r="P123" i="2"/>
  <c r="P127" i="2"/>
  <c r="P131" i="2"/>
  <c r="P135" i="2"/>
  <c r="P97" i="2"/>
  <c r="P101" i="2"/>
  <c r="P104" i="2"/>
  <c r="P88" i="2"/>
  <c r="P95" i="2"/>
  <c r="P77" i="2"/>
  <c r="P81" i="2"/>
  <c r="P84" i="2"/>
  <c r="P75" i="2"/>
  <c r="P6" i="8"/>
  <c r="Q334" i="2"/>
  <c r="Q331" i="2"/>
  <c r="Q312" i="2"/>
  <c r="Q659" i="2" s="1"/>
  <c r="Q301" i="2"/>
  <c r="Q580" i="2" s="1"/>
  <c r="P363" i="2"/>
  <c r="P362" i="2"/>
  <c r="P359" i="2"/>
  <c r="P638" i="2" s="1"/>
  <c r="P358" i="2"/>
  <c r="P355" i="2"/>
  <c r="P634" i="2" s="1"/>
  <c r="P354" i="2"/>
  <c r="P633" i="2" s="1"/>
  <c r="P351" i="2"/>
  <c r="P630" i="2" s="1"/>
  <c r="P350" i="2"/>
  <c r="P697" i="2" s="1"/>
  <c r="P493" i="2" s="1"/>
  <c r="P419" i="2" s="1"/>
  <c r="P54" i="2" s="1"/>
  <c r="P347" i="2"/>
  <c r="P694" i="2" s="1"/>
  <c r="P346" i="2"/>
  <c r="P693" i="2" s="1"/>
  <c r="P343" i="2"/>
  <c r="P342" i="2"/>
  <c r="P339" i="2"/>
  <c r="P686" i="2" s="1"/>
  <c r="P338" i="2"/>
  <c r="P336" i="2"/>
  <c r="P683" i="2" s="1"/>
  <c r="P335" i="2"/>
  <c r="P334" i="2"/>
  <c r="P681" i="2" s="1"/>
  <c r="P332" i="2"/>
  <c r="P329" i="2"/>
  <c r="P608" i="2" s="1"/>
  <c r="P328" i="2"/>
  <c r="P326" i="2"/>
  <c r="P325" i="2"/>
  <c r="P324" i="2"/>
  <c r="P671" i="2" s="1"/>
  <c r="P322" i="2"/>
  <c r="P321" i="2"/>
  <c r="P532" i="2" s="1"/>
  <c r="P319" i="2"/>
  <c r="P318" i="2"/>
  <c r="P317" i="2"/>
  <c r="P316" i="2"/>
  <c r="P527" i="2" s="1"/>
  <c r="P315" i="2"/>
  <c r="P313" i="2"/>
  <c r="P524" i="2" s="1"/>
  <c r="P312" i="2"/>
  <c r="P310" i="2"/>
  <c r="P657" i="2" s="1"/>
  <c r="P309" i="2"/>
  <c r="P308" i="2"/>
  <c r="P307" i="2"/>
  <c r="P306" i="2"/>
  <c r="P585" i="2" s="1"/>
  <c r="P304" i="2"/>
  <c r="P303" i="2"/>
  <c r="P514" i="2" s="1"/>
  <c r="P301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5" i="2"/>
  <c r="Q74" i="2"/>
  <c r="P138" i="2"/>
  <c r="P137" i="2"/>
  <c r="P136" i="2"/>
  <c r="P134" i="2"/>
  <c r="P133" i="2"/>
  <c r="P132" i="2"/>
  <c r="P130" i="2"/>
  <c r="P129" i="2"/>
  <c r="P128" i="2"/>
  <c r="P126" i="2"/>
  <c r="P125" i="2"/>
  <c r="P124" i="2"/>
  <c r="P122" i="2"/>
  <c r="P121" i="2"/>
  <c r="P120" i="2"/>
  <c r="P118" i="2"/>
  <c r="P117" i="2"/>
  <c r="P116" i="2"/>
  <c r="P114" i="2"/>
  <c r="P113" i="2"/>
  <c r="P112" i="2"/>
  <c r="P111" i="2"/>
  <c r="P110" i="2"/>
  <c r="P108" i="2"/>
  <c r="P107" i="2"/>
  <c r="P106" i="2"/>
  <c r="P105" i="2"/>
  <c r="P103" i="2"/>
  <c r="P102" i="2"/>
  <c r="P100" i="2"/>
  <c r="P99" i="2"/>
  <c r="P98" i="2"/>
  <c r="P96" i="2"/>
  <c r="P94" i="2"/>
  <c r="P93" i="2"/>
  <c r="P92" i="2"/>
  <c r="P91" i="2"/>
  <c r="P90" i="2"/>
  <c r="P89" i="2"/>
  <c r="P87" i="2"/>
  <c r="P86" i="2"/>
  <c r="P85" i="2"/>
  <c r="P83" i="2"/>
  <c r="P82" i="2"/>
  <c r="P80" i="2"/>
  <c r="P79" i="2"/>
  <c r="P78" i="2"/>
  <c r="P74" i="2"/>
  <c r="AP71" i="36"/>
  <c r="AQ71" i="36"/>
  <c r="AR71" i="36"/>
  <c r="AG5" i="35"/>
  <c r="AH5" i="35"/>
  <c r="AH7" i="35"/>
  <c r="AG8" i="35"/>
  <c r="AH8" i="35"/>
  <c r="O5" i="35"/>
  <c r="N7" i="35"/>
  <c r="O7" i="35"/>
  <c r="N8" i="35"/>
  <c r="O8" i="35"/>
  <c r="O35" i="34"/>
  <c r="O48" i="34" s="1"/>
  <c r="P35" i="34"/>
  <c r="P48" i="34" s="1"/>
  <c r="Q35" i="34"/>
  <c r="Q48" i="34" s="1"/>
  <c r="R35" i="34"/>
  <c r="R48" i="34" s="1"/>
  <c r="S35" i="34"/>
  <c r="S48" i="34" s="1"/>
  <c r="AJ71" i="36"/>
  <c r="AK71" i="36"/>
  <c r="AL71" i="36"/>
  <c r="AM71" i="36"/>
  <c r="AN71" i="36"/>
  <c r="AO71" i="36"/>
  <c r="AI71" i="36"/>
  <c r="AE71" i="36"/>
  <c r="AF71" i="36"/>
  <c r="AG71" i="36"/>
  <c r="AH71" i="36" s="1"/>
  <c r="AD71" i="36"/>
  <c r="Z72" i="36"/>
  <c r="F20" i="31"/>
  <c r="Q20" i="31"/>
  <c r="Q18" i="31" s="1"/>
  <c r="Q28" i="31" s="1"/>
  <c r="Q29" i="36" s="1"/>
  <c r="P20" i="31"/>
  <c r="O20" i="31"/>
  <c r="N20" i="31"/>
  <c r="M20" i="31"/>
  <c r="L20" i="31"/>
  <c r="K20" i="31"/>
  <c r="J20" i="31"/>
  <c r="I20" i="31"/>
  <c r="I18" i="31" s="1"/>
  <c r="I28" i="31" s="1"/>
  <c r="H29" i="36" s="1"/>
  <c r="H20" i="31"/>
  <c r="G20" i="31"/>
  <c r="Q11" i="31"/>
  <c r="Q19" i="31" s="1"/>
  <c r="P11" i="31"/>
  <c r="P19" i="31" s="1"/>
  <c r="O11" i="31"/>
  <c r="O19" i="31" s="1"/>
  <c r="N11" i="31"/>
  <c r="N19" i="31" s="1"/>
  <c r="N18" i="31" s="1"/>
  <c r="N28" i="31" s="1"/>
  <c r="N29" i="36" s="1"/>
  <c r="M11" i="31"/>
  <c r="M19" i="31" s="1"/>
  <c r="L11" i="31"/>
  <c r="L19" i="31" s="1"/>
  <c r="L18" i="31" s="1"/>
  <c r="L28" i="31" s="1"/>
  <c r="L29" i="36" s="1"/>
  <c r="K11" i="31"/>
  <c r="K19" i="31" s="1"/>
  <c r="J11" i="31"/>
  <c r="J19" i="31" s="1"/>
  <c r="J18" i="31" s="1"/>
  <c r="J28" i="31" s="1"/>
  <c r="I29" i="36" s="1"/>
  <c r="J29" i="36" s="1"/>
  <c r="I11" i="31"/>
  <c r="I19" i="31" s="1"/>
  <c r="H11" i="31"/>
  <c r="H19" i="31" s="1"/>
  <c r="H18" i="31" s="1"/>
  <c r="H28" i="31" s="1"/>
  <c r="G29" i="36" s="1"/>
  <c r="G11" i="31"/>
  <c r="G19" i="31" s="1"/>
  <c r="F11" i="31"/>
  <c r="F19" i="31" s="1"/>
  <c r="F18" i="31" s="1"/>
  <c r="F28" i="31" s="1"/>
  <c r="E29" i="36" s="1"/>
  <c r="V12" i="5"/>
  <c r="U12" i="5"/>
  <c r="T12" i="5"/>
  <c r="S12" i="5"/>
  <c r="R12" i="5"/>
  <c r="AC89" i="1"/>
  <c r="C40" i="9"/>
  <c r="C48" i="34"/>
  <c r="D48" i="34"/>
  <c r="E48" i="34"/>
  <c r="F48" i="34"/>
  <c r="G48" i="34"/>
  <c r="H48" i="34"/>
  <c r="I48" i="34"/>
  <c r="C35" i="34"/>
  <c r="D35" i="34"/>
  <c r="E35" i="34"/>
  <c r="F35" i="34"/>
  <c r="G35" i="34"/>
  <c r="H35" i="34"/>
  <c r="I35" i="34"/>
  <c r="B41" i="34"/>
  <c r="B54" i="34" s="1"/>
  <c r="V54" i="34" s="1"/>
  <c r="B42" i="34"/>
  <c r="B55" i="34" s="1"/>
  <c r="V55" i="34" s="1"/>
  <c r="B43" i="34"/>
  <c r="B44" i="34"/>
  <c r="B57" i="34" s="1"/>
  <c r="V57" i="34" s="1"/>
  <c r="B40" i="34"/>
  <c r="B53" i="34" s="1"/>
  <c r="V53" i="34" s="1"/>
  <c r="B38" i="34"/>
  <c r="B51" i="34" s="1"/>
  <c r="V51" i="34" s="1"/>
  <c r="B39" i="34"/>
  <c r="B37" i="34"/>
  <c r="Q15" i="5"/>
  <c r="Q41" i="5" s="1"/>
  <c r="C35" i="18"/>
  <c r="D35" i="18"/>
  <c r="E35" i="18"/>
  <c r="F35" i="18"/>
  <c r="G35" i="18"/>
  <c r="H35" i="18"/>
  <c r="I35" i="18"/>
  <c r="J35" i="18"/>
  <c r="B35" i="18"/>
  <c r="C76" i="17"/>
  <c r="AC10" i="34"/>
  <c r="AA8" i="35" s="1"/>
  <c r="AC7" i="34"/>
  <c r="AA5" i="35" s="1"/>
  <c r="AH10" i="34"/>
  <c r="AF8" i="35" s="1"/>
  <c r="AG10" i="34"/>
  <c r="AE8" i="35" s="1"/>
  <c r="AF10" i="34"/>
  <c r="AD8" i="35" s="1"/>
  <c r="AD10" i="34"/>
  <c r="AB8" i="35" s="1"/>
  <c r="AG9" i="34"/>
  <c r="AE7" i="35" s="1"/>
  <c r="AH7" i="34"/>
  <c r="AG7" i="34"/>
  <c r="AE5" i="35" s="1"/>
  <c r="AF7" i="34"/>
  <c r="AF11" i="34" s="1"/>
  <c r="AE7" i="34"/>
  <c r="AE10" i="34" s="1"/>
  <c r="AD7" i="34"/>
  <c r="AB5" i="35" s="1"/>
  <c r="N11" i="34"/>
  <c r="M11" i="34"/>
  <c r="L11" i="34"/>
  <c r="K11" i="34"/>
  <c r="I11" i="34"/>
  <c r="J10" i="34"/>
  <c r="I8" i="35" s="1"/>
  <c r="J9" i="34"/>
  <c r="I7" i="35" s="1"/>
  <c r="J8" i="34"/>
  <c r="J7" i="34"/>
  <c r="I5" i="35" s="1"/>
  <c r="J6" i="34"/>
  <c r="I4" i="35" s="1"/>
  <c r="N24" i="18"/>
  <c r="Q16" i="36" s="1"/>
  <c r="P22" i="8"/>
  <c r="Y89" i="1"/>
  <c r="P18" i="7"/>
  <c r="P4" i="7" s="1"/>
  <c r="O49" i="7"/>
  <c r="O16" i="8" s="1"/>
  <c r="N49" i="7"/>
  <c r="N16" i="8" s="1"/>
  <c r="M49" i="7"/>
  <c r="M16" i="8" s="1"/>
  <c r="L49" i="7"/>
  <c r="L16" i="8" s="1"/>
  <c r="K49" i="7"/>
  <c r="K16" i="8" s="1"/>
  <c r="J18" i="7"/>
  <c r="I49" i="7"/>
  <c r="G18" i="7"/>
  <c r="G4" i="7" s="1"/>
  <c r="F18" i="7"/>
  <c r="E49" i="7"/>
  <c r="E16" i="8" s="1"/>
  <c r="C18" i="7"/>
  <c r="D6" i="36"/>
  <c r="D7" i="36"/>
  <c r="D8" i="36"/>
  <c r="D9" i="36"/>
  <c r="D10" i="36"/>
  <c r="F115" i="36"/>
  <c r="F119" i="36" s="1"/>
  <c r="G119" i="36" s="1"/>
  <c r="H119" i="36" s="1"/>
  <c r="F111" i="36"/>
  <c r="G111" i="36" s="1"/>
  <c r="H111" i="36" s="1"/>
  <c r="I111" i="36" s="1"/>
  <c r="F107" i="36"/>
  <c r="G107" i="36" s="1"/>
  <c r="H107" i="36" s="1"/>
  <c r="F98" i="36"/>
  <c r="G98" i="36" s="1"/>
  <c r="H98" i="36" s="1"/>
  <c r="F94" i="36"/>
  <c r="G94" i="36" s="1"/>
  <c r="H94" i="36" s="1"/>
  <c r="J94" i="36" s="1"/>
  <c r="K94" i="36" s="1"/>
  <c r="L94" i="36" s="1"/>
  <c r="M94" i="36" s="1"/>
  <c r="N94" i="36" s="1"/>
  <c r="O94" i="36" s="1"/>
  <c r="P94" i="36" s="1"/>
  <c r="Q94" i="36" s="1"/>
  <c r="R94" i="36" s="1"/>
  <c r="S94" i="36" s="1"/>
  <c r="T94" i="36" s="1"/>
  <c r="U94" i="36" s="1"/>
  <c r="V94" i="36" s="1"/>
  <c r="F90" i="36"/>
  <c r="G90" i="36" s="1"/>
  <c r="H90" i="36" s="1"/>
  <c r="AO70" i="36"/>
  <c r="AN70" i="36"/>
  <c r="AM70" i="36"/>
  <c r="AL70" i="36"/>
  <c r="AK70" i="36"/>
  <c r="AK72" i="36" s="1"/>
  <c r="AK65" i="36" s="1"/>
  <c r="AJ70" i="36"/>
  <c r="AI70" i="36"/>
  <c r="AG70" i="36"/>
  <c r="AF70" i="36"/>
  <c r="AF72" i="36" s="1"/>
  <c r="AF65" i="36" s="1"/>
  <c r="AE70" i="36"/>
  <c r="AD70" i="36"/>
  <c r="AC70" i="36"/>
  <c r="E15" i="36"/>
  <c r="F15" i="36" s="1"/>
  <c r="G15" i="36" s="1"/>
  <c r="H15" i="36" s="1"/>
  <c r="S173" i="35"/>
  <c r="S174" i="35" s="1"/>
  <c r="S132" i="35"/>
  <c r="S133" i="35" s="1"/>
  <c r="AL91" i="35"/>
  <c r="S91" i="35"/>
  <c r="S92" i="35" s="1"/>
  <c r="AL50" i="35"/>
  <c r="S50" i="35"/>
  <c r="S12" i="35"/>
  <c r="Z8" i="35"/>
  <c r="Y8" i="35"/>
  <c r="X8" i="35"/>
  <c r="W8" i="35"/>
  <c r="V8" i="35"/>
  <c r="U8" i="35"/>
  <c r="L8" i="35"/>
  <c r="K8" i="35"/>
  <c r="J8" i="35"/>
  <c r="H8" i="35"/>
  <c r="G8" i="35"/>
  <c r="F8" i="35"/>
  <c r="E8" i="35"/>
  <c r="D8" i="35"/>
  <c r="C8" i="35"/>
  <c r="B8" i="35"/>
  <c r="AD7" i="35"/>
  <c r="AC7" i="35"/>
  <c r="AB7" i="35"/>
  <c r="AA7" i="35"/>
  <c r="Z7" i="35"/>
  <c r="Y7" i="35"/>
  <c r="X7" i="35"/>
  <c r="W7" i="35"/>
  <c r="V7" i="35"/>
  <c r="U7" i="35"/>
  <c r="U128" i="35" s="1"/>
  <c r="W18" i="34" s="1"/>
  <c r="C39" i="34" s="1"/>
  <c r="C52" i="34" s="1"/>
  <c r="L7" i="35"/>
  <c r="K7" i="35"/>
  <c r="J7" i="35"/>
  <c r="H7" i="35"/>
  <c r="G7" i="35"/>
  <c r="F7" i="35"/>
  <c r="E7" i="35"/>
  <c r="D7" i="35"/>
  <c r="C7" i="35"/>
  <c r="E133" i="35" s="1"/>
  <c r="B7" i="35"/>
  <c r="AE6" i="35"/>
  <c r="AD6" i="35"/>
  <c r="AC6" i="35"/>
  <c r="AB6" i="35"/>
  <c r="AA6" i="35"/>
  <c r="Z6" i="35"/>
  <c r="Y6" i="35"/>
  <c r="X6" i="35"/>
  <c r="W6" i="35"/>
  <c r="V6" i="35"/>
  <c r="U6" i="35"/>
  <c r="L6" i="35"/>
  <c r="K6" i="35"/>
  <c r="J6" i="35"/>
  <c r="H6" i="35"/>
  <c r="G6" i="35"/>
  <c r="F6" i="35"/>
  <c r="E6" i="35"/>
  <c r="D6" i="35"/>
  <c r="C6" i="35"/>
  <c r="B6" i="35"/>
  <c r="G91" i="35" s="1"/>
  <c r="Z5" i="35"/>
  <c r="Y5" i="35"/>
  <c r="X5" i="35"/>
  <c r="W5" i="35"/>
  <c r="V5" i="35"/>
  <c r="V9" i="35" s="1"/>
  <c r="U5" i="35"/>
  <c r="U47" i="35" s="1"/>
  <c r="W16" i="34" s="1"/>
  <c r="C37" i="34" s="1"/>
  <c r="C50" i="34" s="1"/>
  <c r="L5" i="35"/>
  <c r="K5" i="35"/>
  <c r="J5" i="35"/>
  <c r="H5" i="35"/>
  <c r="G5" i="35"/>
  <c r="F5" i="35"/>
  <c r="E5" i="35"/>
  <c r="D5" i="35"/>
  <c r="C5" i="35"/>
  <c r="B5" i="35"/>
  <c r="L4" i="35"/>
  <c r="K4" i="35"/>
  <c r="J4" i="35"/>
  <c r="H4" i="35"/>
  <c r="G4" i="35"/>
  <c r="F4" i="35"/>
  <c r="E4" i="35"/>
  <c r="D4" i="35"/>
  <c r="C4" i="35"/>
  <c r="B4" i="35"/>
  <c r="B47" i="35" s="1"/>
  <c r="C15" i="34" s="1"/>
  <c r="C40" i="34" s="1"/>
  <c r="C53" i="34" s="1"/>
  <c r="E8" i="36" s="1"/>
  <c r="W57" i="34"/>
  <c r="AA12" i="36" s="1"/>
  <c r="AB12" i="36" s="1"/>
  <c r="AC12" i="36" s="1"/>
  <c r="AD12" i="36" s="1"/>
  <c r="AE12" i="36" s="1"/>
  <c r="AF12" i="36" s="1"/>
  <c r="AG12" i="36" s="1"/>
  <c r="AH12" i="36" s="1"/>
  <c r="AI12" i="36" s="1"/>
  <c r="AJ12" i="36" s="1"/>
  <c r="AK12" i="36" s="1"/>
  <c r="AL12" i="36" s="1"/>
  <c r="AM12" i="36" s="1"/>
  <c r="AN12" i="36" s="1"/>
  <c r="AO12" i="36" s="1"/>
  <c r="AP12" i="36" s="1"/>
  <c r="AQ12" i="36" s="1"/>
  <c r="AR12" i="36" s="1"/>
  <c r="W56" i="34"/>
  <c r="AA11" i="36" s="1"/>
  <c r="AB11" i="36" s="1"/>
  <c r="AC11" i="36" s="1"/>
  <c r="AD11" i="36" s="1"/>
  <c r="AE11" i="36" s="1"/>
  <c r="AF11" i="36" s="1"/>
  <c r="AG11" i="36" s="1"/>
  <c r="AH11" i="36" s="1"/>
  <c r="AI11" i="36" s="1"/>
  <c r="AJ11" i="36" s="1"/>
  <c r="AK11" i="36" s="1"/>
  <c r="AL11" i="36" s="1"/>
  <c r="AM11" i="36" s="1"/>
  <c r="AN11" i="36" s="1"/>
  <c r="AO11" i="36" s="1"/>
  <c r="AP11" i="36" s="1"/>
  <c r="AQ11" i="36" s="1"/>
  <c r="AR11" i="36" s="1"/>
  <c r="W55" i="34"/>
  <c r="AA10" i="36" s="1"/>
  <c r="AB10" i="36" s="1"/>
  <c r="AC10" i="36" s="1"/>
  <c r="AD10" i="36" s="1"/>
  <c r="AE10" i="36" s="1"/>
  <c r="AF10" i="36" s="1"/>
  <c r="AG10" i="36" s="1"/>
  <c r="AH10" i="36" s="1"/>
  <c r="AI10" i="36" s="1"/>
  <c r="AJ10" i="36" s="1"/>
  <c r="AK10" i="36" s="1"/>
  <c r="AL10" i="36" s="1"/>
  <c r="AM10" i="36" s="1"/>
  <c r="AN10" i="36" s="1"/>
  <c r="AO10" i="36" s="1"/>
  <c r="AP10" i="36" s="1"/>
  <c r="AQ10" i="36" s="1"/>
  <c r="AR10" i="36" s="1"/>
  <c r="W54" i="34"/>
  <c r="AA9" i="36" s="1"/>
  <c r="AB9" i="36" s="1"/>
  <c r="AC9" i="36" s="1"/>
  <c r="AD9" i="36" s="1"/>
  <c r="AE9" i="36" s="1"/>
  <c r="AF9" i="36" s="1"/>
  <c r="AG9" i="36" s="1"/>
  <c r="AH9" i="36" s="1"/>
  <c r="AI9" i="36" s="1"/>
  <c r="AJ9" i="36" s="1"/>
  <c r="AK9" i="36" s="1"/>
  <c r="AL9" i="36" s="1"/>
  <c r="AM9" i="36" s="1"/>
  <c r="AN9" i="36" s="1"/>
  <c r="AO9" i="36" s="1"/>
  <c r="AP9" i="36" s="1"/>
  <c r="AQ9" i="36" s="1"/>
  <c r="AR9" i="36" s="1"/>
  <c r="W53" i="34"/>
  <c r="AA8" i="36" s="1"/>
  <c r="AB8" i="36" s="1"/>
  <c r="AC8" i="36" s="1"/>
  <c r="AD8" i="36" s="1"/>
  <c r="AE8" i="36" s="1"/>
  <c r="AF8" i="36" s="1"/>
  <c r="AG8" i="36" s="1"/>
  <c r="AH8" i="36" s="1"/>
  <c r="AI8" i="36" s="1"/>
  <c r="AJ8" i="36" s="1"/>
  <c r="AK8" i="36" s="1"/>
  <c r="AL8" i="36" s="1"/>
  <c r="AM8" i="36" s="1"/>
  <c r="AN8" i="36" s="1"/>
  <c r="AO8" i="36" s="1"/>
  <c r="AP8" i="36" s="1"/>
  <c r="AQ8" i="36" s="1"/>
  <c r="AR8" i="36" s="1"/>
  <c r="W52" i="34"/>
  <c r="AA7" i="36" s="1"/>
  <c r="AB7" i="36" s="1"/>
  <c r="AC7" i="36" s="1"/>
  <c r="AD7" i="36" s="1"/>
  <c r="AE7" i="36" s="1"/>
  <c r="AF7" i="36" s="1"/>
  <c r="AG7" i="36" s="1"/>
  <c r="AH7" i="36" s="1"/>
  <c r="AI7" i="36" s="1"/>
  <c r="AJ7" i="36" s="1"/>
  <c r="AK7" i="36" s="1"/>
  <c r="AL7" i="36" s="1"/>
  <c r="AM7" i="36" s="1"/>
  <c r="AN7" i="36" s="1"/>
  <c r="AO7" i="36" s="1"/>
  <c r="AP7" i="36" s="1"/>
  <c r="AQ7" i="36" s="1"/>
  <c r="AR7" i="36" s="1"/>
  <c r="W51" i="34"/>
  <c r="AA6" i="36" s="1"/>
  <c r="AB6" i="36" s="1"/>
  <c r="AC6" i="36" s="1"/>
  <c r="AD6" i="36" s="1"/>
  <c r="AE6" i="36" s="1"/>
  <c r="AF6" i="36" s="1"/>
  <c r="AG6" i="36" s="1"/>
  <c r="AH6" i="36" s="1"/>
  <c r="AI6" i="36" s="1"/>
  <c r="AJ6" i="36" s="1"/>
  <c r="AK6" i="36" s="1"/>
  <c r="AL6" i="36" s="1"/>
  <c r="AM6" i="36" s="1"/>
  <c r="AN6" i="36" s="1"/>
  <c r="AO6" i="36" s="1"/>
  <c r="AP6" i="36" s="1"/>
  <c r="AQ6" i="36" s="1"/>
  <c r="AR6" i="36" s="1"/>
  <c r="M48" i="34"/>
  <c r="L48" i="34"/>
  <c r="K48" i="34"/>
  <c r="J48" i="34"/>
  <c r="W50" i="34"/>
  <c r="AL12" i="35" s="1"/>
  <c r="N35" i="34"/>
  <c r="N48" i="34" s="1"/>
  <c r="M35" i="34"/>
  <c r="L35" i="34"/>
  <c r="K35" i="34"/>
  <c r="J35" i="34"/>
  <c r="AB11" i="34"/>
  <c r="AA11" i="34"/>
  <c r="Z11" i="34"/>
  <c r="Y11" i="34"/>
  <c r="X11" i="34"/>
  <c r="W11" i="34"/>
  <c r="H11" i="34"/>
  <c r="G11" i="34"/>
  <c r="F11" i="34"/>
  <c r="E11" i="34"/>
  <c r="D11" i="34"/>
  <c r="C11" i="34"/>
  <c r="M8" i="35"/>
  <c r="AF7" i="35"/>
  <c r="M7" i="35"/>
  <c r="AF6" i="35"/>
  <c r="M6" i="35"/>
  <c r="AX7" i="34"/>
  <c r="M5" i="35"/>
  <c r="H40" i="9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H2" i="9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D2" i="9"/>
  <c r="E2" i="9" s="1"/>
  <c r="F2" i="9" s="1"/>
  <c r="L6" i="8"/>
  <c r="M6" i="8"/>
  <c r="N6" i="8"/>
  <c r="O6" i="8"/>
  <c r="K6" i="8"/>
  <c r="L48" i="7"/>
  <c r="L15" i="8" s="1"/>
  <c r="M48" i="7"/>
  <c r="M15" i="8" s="1"/>
  <c r="N48" i="7"/>
  <c r="N15" i="8" s="1"/>
  <c r="O48" i="7"/>
  <c r="O15" i="8" s="1"/>
  <c r="P48" i="7"/>
  <c r="P15" i="8" s="1"/>
  <c r="K48" i="7"/>
  <c r="K15" i="8" s="1"/>
  <c r="L47" i="7"/>
  <c r="L14" i="8" s="1"/>
  <c r="M47" i="7"/>
  <c r="M14" i="8" s="1"/>
  <c r="N47" i="7"/>
  <c r="N14" i="8" s="1"/>
  <c r="O47" i="7"/>
  <c r="O14" i="8" s="1"/>
  <c r="P47" i="7"/>
  <c r="P14" i="8" s="1"/>
  <c r="K47" i="7"/>
  <c r="K14" i="8" s="1"/>
  <c r="L46" i="7"/>
  <c r="L13" i="8" s="1"/>
  <c r="M46" i="7"/>
  <c r="M13" i="8" s="1"/>
  <c r="N46" i="7"/>
  <c r="N13" i="8" s="1"/>
  <c r="O46" i="7"/>
  <c r="O13" i="8" s="1"/>
  <c r="P46" i="7"/>
  <c r="P13" i="8" s="1"/>
  <c r="K46" i="7"/>
  <c r="K13" i="8" s="1"/>
  <c r="L44" i="7"/>
  <c r="L11" i="8" s="1"/>
  <c r="M44" i="7"/>
  <c r="M11" i="8" s="1"/>
  <c r="N44" i="7"/>
  <c r="N11" i="8" s="1"/>
  <c r="O44" i="7"/>
  <c r="O11" i="8" s="1"/>
  <c r="P44" i="7"/>
  <c r="P11" i="8" s="1"/>
  <c r="K44" i="7"/>
  <c r="K11" i="8" s="1"/>
  <c r="L43" i="7"/>
  <c r="L10" i="8" s="1"/>
  <c r="M43" i="7"/>
  <c r="M10" i="8" s="1"/>
  <c r="N43" i="7"/>
  <c r="N10" i="8" s="1"/>
  <c r="O43" i="7"/>
  <c r="O10" i="8" s="1"/>
  <c r="P43" i="7"/>
  <c r="P10" i="8" s="1"/>
  <c r="K43" i="7"/>
  <c r="K10" i="8" s="1"/>
  <c r="L42" i="7"/>
  <c r="L9" i="8" s="1"/>
  <c r="M42" i="7"/>
  <c r="M9" i="8" s="1"/>
  <c r="N42" i="7"/>
  <c r="N9" i="8" s="1"/>
  <c r="O42" i="7"/>
  <c r="O9" i="8" s="1"/>
  <c r="P42" i="7"/>
  <c r="P9" i="8" s="1"/>
  <c r="K42" i="7"/>
  <c r="K9" i="8" s="1"/>
  <c r="L41" i="7"/>
  <c r="L8" i="8" s="1"/>
  <c r="M41" i="7"/>
  <c r="N41" i="7"/>
  <c r="O41" i="7"/>
  <c r="O8" i="8" s="1"/>
  <c r="P41" i="7"/>
  <c r="P8" i="8" s="1"/>
  <c r="K41" i="7"/>
  <c r="K8" i="8" s="1"/>
  <c r="L40" i="7"/>
  <c r="M40" i="7"/>
  <c r="N40" i="7"/>
  <c r="N7" i="8" s="1"/>
  <c r="O40" i="7"/>
  <c r="O7" i="8" s="1"/>
  <c r="K40" i="7"/>
  <c r="P6" i="7"/>
  <c r="O6" i="7"/>
  <c r="N6" i="7"/>
  <c r="M6" i="7"/>
  <c r="L6" i="7"/>
  <c r="K11" i="32"/>
  <c r="L11" i="32"/>
  <c r="M11" i="32"/>
  <c r="N11" i="32"/>
  <c r="N13" i="32" s="1"/>
  <c r="O11" i="32"/>
  <c r="K12" i="32"/>
  <c r="K13" i="32" s="1"/>
  <c r="L12" i="32"/>
  <c r="M12" i="32"/>
  <c r="N12" i="32"/>
  <c r="O12" i="32"/>
  <c r="J11" i="32"/>
  <c r="J12" i="32"/>
  <c r="P15" i="5"/>
  <c r="O15" i="5"/>
  <c r="O41" i="5" s="1"/>
  <c r="N15" i="5"/>
  <c r="M15" i="5"/>
  <c r="M41" i="5" s="1"/>
  <c r="Q6" i="5"/>
  <c r="Q27" i="5" s="1"/>
  <c r="Q29" i="5" s="1"/>
  <c r="P6" i="5"/>
  <c r="O6" i="5"/>
  <c r="O27" i="5" s="1"/>
  <c r="O29" i="5" s="1"/>
  <c r="N6" i="5"/>
  <c r="N26" i="5" s="1"/>
  <c r="N28" i="5" s="1"/>
  <c r="M6" i="5"/>
  <c r="M26" i="5" s="1"/>
  <c r="M28" i="5" s="1"/>
  <c r="K300" i="2"/>
  <c r="L300" i="2"/>
  <c r="M300" i="2"/>
  <c r="N300" i="2"/>
  <c r="N511" i="2" s="1"/>
  <c r="O300" i="2"/>
  <c r="O511" i="2" s="1"/>
  <c r="K301" i="2"/>
  <c r="K580" i="2" s="1"/>
  <c r="L301" i="2"/>
  <c r="M301" i="2"/>
  <c r="M580" i="2" s="1"/>
  <c r="N301" i="2"/>
  <c r="N648" i="2" s="1"/>
  <c r="O301" i="2"/>
  <c r="O580" i="2" s="1"/>
  <c r="K303" i="2"/>
  <c r="K582" i="2" s="1"/>
  <c r="L303" i="2"/>
  <c r="M303" i="2"/>
  <c r="N303" i="2"/>
  <c r="O303" i="2"/>
  <c r="K304" i="2"/>
  <c r="K515" i="2" s="1"/>
  <c r="L304" i="2"/>
  <c r="M304" i="2"/>
  <c r="M583" i="2" s="1"/>
  <c r="N304" i="2"/>
  <c r="O304" i="2"/>
  <c r="K305" i="2"/>
  <c r="K652" i="2" s="1"/>
  <c r="L305" i="2"/>
  <c r="L516" i="2" s="1"/>
  <c r="M305" i="2"/>
  <c r="M584" i="2" s="1"/>
  <c r="N305" i="2"/>
  <c r="O305" i="2"/>
  <c r="K306" i="2"/>
  <c r="L306" i="2"/>
  <c r="M306" i="2"/>
  <c r="M517" i="2" s="1"/>
  <c r="N306" i="2"/>
  <c r="N517" i="2" s="1"/>
  <c r="O306" i="2"/>
  <c r="K307" i="2"/>
  <c r="L307" i="2"/>
  <c r="L654" i="2" s="1"/>
  <c r="M307" i="2"/>
  <c r="N307" i="2"/>
  <c r="O307" i="2"/>
  <c r="K308" i="2"/>
  <c r="K655" i="2" s="1"/>
  <c r="L308" i="2"/>
  <c r="M308" i="2"/>
  <c r="N308" i="2"/>
  <c r="O308" i="2"/>
  <c r="K309" i="2"/>
  <c r="K588" i="2" s="1"/>
  <c r="L309" i="2"/>
  <c r="L588" i="2" s="1"/>
  <c r="M309" i="2"/>
  <c r="N309" i="2"/>
  <c r="N520" i="2" s="1"/>
  <c r="O309" i="2"/>
  <c r="K310" i="2"/>
  <c r="L310" i="2"/>
  <c r="M310" i="2"/>
  <c r="M589" i="2" s="1"/>
  <c r="N310" i="2"/>
  <c r="N657" i="2" s="1"/>
  <c r="O310" i="2"/>
  <c r="K311" i="2"/>
  <c r="L311" i="2"/>
  <c r="L522" i="2" s="1"/>
  <c r="M311" i="2"/>
  <c r="N311" i="2"/>
  <c r="N522" i="2" s="1"/>
  <c r="O311" i="2"/>
  <c r="O658" i="2" s="1"/>
  <c r="K312" i="2"/>
  <c r="L312" i="2"/>
  <c r="L523" i="2" s="1"/>
  <c r="M312" i="2"/>
  <c r="N312" i="2"/>
  <c r="N523" i="2" s="1"/>
  <c r="O312" i="2"/>
  <c r="O591" i="2" s="1"/>
  <c r="K313" i="2"/>
  <c r="L313" i="2"/>
  <c r="M313" i="2"/>
  <c r="N313" i="2"/>
  <c r="O313" i="2"/>
  <c r="K314" i="2"/>
  <c r="L314" i="2"/>
  <c r="M314" i="2"/>
  <c r="N314" i="2"/>
  <c r="O314" i="2"/>
  <c r="O525" i="2" s="1"/>
  <c r="K315" i="2"/>
  <c r="L315" i="2"/>
  <c r="M315" i="2"/>
  <c r="N315" i="2"/>
  <c r="O315" i="2"/>
  <c r="K316" i="2"/>
  <c r="K595" i="2" s="1"/>
  <c r="L316" i="2"/>
  <c r="M316" i="2"/>
  <c r="N316" i="2"/>
  <c r="O316" i="2"/>
  <c r="O595" i="2" s="1"/>
  <c r="K317" i="2"/>
  <c r="K528" i="2" s="1"/>
  <c r="L317" i="2"/>
  <c r="M317" i="2"/>
  <c r="N317" i="2"/>
  <c r="O317" i="2"/>
  <c r="K318" i="2"/>
  <c r="L318" i="2"/>
  <c r="L665" i="2" s="1"/>
  <c r="M318" i="2"/>
  <c r="N318" i="2"/>
  <c r="O318" i="2"/>
  <c r="K319" i="2"/>
  <c r="L319" i="2"/>
  <c r="L530" i="2" s="1"/>
  <c r="M319" i="2"/>
  <c r="N319" i="2"/>
  <c r="N530" i="2" s="1"/>
  <c r="O319" i="2"/>
  <c r="K320" i="2"/>
  <c r="K531" i="2" s="1"/>
  <c r="L320" i="2"/>
  <c r="L667" i="2" s="1"/>
  <c r="M320" i="2"/>
  <c r="N320" i="2"/>
  <c r="O320" i="2"/>
  <c r="K321" i="2"/>
  <c r="K668" i="2" s="1"/>
  <c r="L321" i="2"/>
  <c r="M321" i="2"/>
  <c r="N321" i="2"/>
  <c r="N668" i="2" s="1"/>
  <c r="O321" i="2"/>
  <c r="K322" i="2"/>
  <c r="L322" i="2"/>
  <c r="L533" i="2" s="1"/>
  <c r="M322" i="2"/>
  <c r="M601" i="2" s="1"/>
  <c r="N322" i="2"/>
  <c r="N669" i="2" s="1"/>
  <c r="O322" i="2"/>
  <c r="K323" i="2"/>
  <c r="L323" i="2"/>
  <c r="M323" i="2"/>
  <c r="N323" i="2"/>
  <c r="O323" i="2"/>
  <c r="K324" i="2"/>
  <c r="L324" i="2"/>
  <c r="L671" i="2" s="1"/>
  <c r="M324" i="2"/>
  <c r="M603" i="2" s="1"/>
  <c r="N324" i="2"/>
  <c r="O324" i="2"/>
  <c r="K325" i="2"/>
  <c r="L325" i="2"/>
  <c r="M325" i="2"/>
  <c r="N325" i="2"/>
  <c r="N604" i="2" s="1"/>
  <c r="O325" i="2"/>
  <c r="O536" i="2" s="1"/>
  <c r="K326" i="2"/>
  <c r="K673" i="2" s="1"/>
  <c r="L326" i="2"/>
  <c r="L673" i="2" s="1"/>
  <c r="M326" i="2"/>
  <c r="M605" i="2" s="1"/>
  <c r="N326" i="2"/>
  <c r="O326" i="2"/>
  <c r="O537" i="2" s="1"/>
  <c r="K327" i="2"/>
  <c r="L327" i="2"/>
  <c r="L674" i="2" s="1"/>
  <c r="M327" i="2"/>
  <c r="N327" i="2"/>
  <c r="N606" i="2" s="1"/>
  <c r="O327" i="2"/>
  <c r="K328" i="2"/>
  <c r="K539" i="2" s="1"/>
  <c r="L328" i="2"/>
  <c r="M328" i="2"/>
  <c r="N328" i="2"/>
  <c r="N607" i="2" s="1"/>
  <c r="O328" i="2"/>
  <c r="K329" i="2"/>
  <c r="L329" i="2"/>
  <c r="M329" i="2"/>
  <c r="N329" i="2"/>
  <c r="O329" i="2"/>
  <c r="K330" i="2"/>
  <c r="L330" i="2"/>
  <c r="M330" i="2"/>
  <c r="N330" i="2"/>
  <c r="N609" i="2" s="1"/>
  <c r="O330" i="2"/>
  <c r="K331" i="2"/>
  <c r="L331" i="2"/>
  <c r="L678" i="2" s="1"/>
  <c r="M331" i="2"/>
  <c r="M542" i="2" s="1"/>
  <c r="N331" i="2"/>
  <c r="O331" i="2"/>
  <c r="O542" i="2" s="1"/>
  <c r="K332" i="2"/>
  <c r="L332" i="2"/>
  <c r="L679" i="2" s="1"/>
  <c r="M332" i="2"/>
  <c r="M543" i="2" s="1"/>
  <c r="N332" i="2"/>
  <c r="N679" i="2" s="1"/>
  <c r="O332" i="2"/>
  <c r="K333" i="2"/>
  <c r="K612" i="2" s="1"/>
  <c r="L333" i="2"/>
  <c r="M333" i="2"/>
  <c r="N333" i="2"/>
  <c r="O333" i="2"/>
  <c r="O544" i="2" s="1"/>
  <c r="K334" i="2"/>
  <c r="K545" i="2" s="1"/>
  <c r="L334" i="2"/>
  <c r="L681" i="2" s="1"/>
  <c r="M334" i="2"/>
  <c r="M545" i="2" s="1"/>
  <c r="N334" i="2"/>
  <c r="O334" i="2"/>
  <c r="K335" i="2"/>
  <c r="L335" i="2"/>
  <c r="M335" i="2"/>
  <c r="N335" i="2"/>
  <c r="N614" i="2" s="1"/>
  <c r="O335" i="2"/>
  <c r="K336" i="2"/>
  <c r="L336" i="2"/>
  <c r="M336" i="2"/>
  <c r="N336" i="2"/>
  <c r="O336" i="2"/>
  <c r="O683" i="2" s="1"/>
  <c r="K337" i="2"/>
  <c r="K684" i="2" s="1"/>
  <c r="L337" i="2"/>
  <c r="M337" i="2"/>
  <c r="N337" i="2"/>
  <c r="N616" i="2" s="1"/>
  <c r="O337" i="2"/>
  <c r="K338" i="2"/>
  <c r="L338" i="2"/>
  <c r="L549" i="2" s="1"/>
  <c r="M338" i="2"/>
  <c r="N338" i="2"/>
  <c r="O338" i="2"/>
  <c r="K339" i="2"/>
  <c r="L339" i="2"/>
  <c r="M339" i="2"/>
  <c r="M550" i="2" s="1"/>
  <c r="N339" i="2"/>
  <c r="O339" i="2"/>
  <c r="O550" i="2" s="1"/>
  <c r="K340" i="2"/>
  <c r="K687" i="2" s="1"/>
  <c r="L340" i="2"/>
  <c r="L551" i="2" s="1"/>
  <c r="M340" i="2"/>
  <c r="N340" i="2"/>
  <c r="O340" i="2"/>
  <c r="K341" i="2"/>
  <c r="L341" i="2"/>
  <c r="M341" i="2"/>
  <c r="N341" i="2"/>
  <c r="N552" i="2" s="1"/>
  <c r="O341" i="2"/>
  <c r="K342" i="2"/>
  <c r="K553" i="2" s="1"/>
  <c r="L342" i="2"/>
  <c r="L621" i="2" s="1"/>
  <c r="M342" i="2"/>
  <c r="N342" i="2"/>
  <c r="O342" i="2"/>
  <c r="K343" i="2"/>
  <c r="K690" i="2" s="1"/>
  <c r="L343" i="2"/>
  <c r="L622" i="2" s="1"/>
  <c r="M343" i="2"/>
  <c r="M622" i="2" s="1"/>
  <c r="N343" i="2"/>
  <c r="O343" i="2"/>
  <c r="K344" i="2"/>
  <c r="K691" i="2" s="1"/>
  <c r="L344" i="2"/>
  <c r="M344" i="2"/>
  <c r="M623" i="2" s="1"/>
  <c r="N344" i="2"/>
  <c r="O344" i="2"/>
  <c r="O691" i="2" s="1"/>
  <c r="K345" i="2"/>
  <c r="K624" i="2" s="1"/>
  <c r="L345" i="2"/>
  <c r="M345" i="2"/>
  <c r="N345" i="2"/>
  <c r="O345" i="2"/>
  <c r="K346" i="2"/>
  <c r="L346" i="2"/>
  <c r="L693" i="2" s="1"/>
  <c r="M346" i="2"/>
  <c r="M625" i="2" s="1"/>
  <c r="N346" i="2"/>
  <c r="O346" i="2"/>
  <c r="O625" i="2" s="1"/>
  <c r="K347" i="2"/>
  <c r="L347" i="2"/>
  <c r="L626" i="2" s="1"/>
  <c r="M347" i="2"/>
  <c r="M694" i="2" s="1"/>
  <c r="N347" i="2"/>
  <c r="O347" i="2"/>
  <c r="O626" i="2" s="1"/>
  <c r="K348" i="2"/>
  <c r="K695" i="2" s="1"/>
  <c r="L348" i="2"/>
  <c r="L695" i="2" s="1"/>
  <c r="M348" i="2"/>
  <c r="N348" i="2"/>
  <c r="O348" i="2"/>
  <c r="O695" i="2" s="1"/>
  <c r="K349" i="2"/>
  <c r="K696" i="2" s="1"/>
  <c r="L349" i="2"/>
  <c r="L628" i="2" s="1"/>
  <c r="M349" i="2"/>
  <c r="N349" i="2"/>
  <c r="O349" i="2"/>
  <c r="K350" i="2"/>
  <c r="K697" i="2" s="1"/>
  <c r="K493" i="2" s="1"/>
  <c r="K419" i="2" s="1"/>
  <c r="K54" i="2" s="1"/>
  <c r="M350" i="2"/>
  <c r="N350" i="2"/>
  <c r="N697" i="2" s="1"/>
  <c r="N493" i="2" s="1"/>
  <c r="N419" i="2" s="1"/>
  <c r="N54" i="2" s="1"/>
  <c r="O350" i="2"/>
  <c r="O697" i="2" s="1"/>
  <c r="O493" i="2" s="1"/>
  <c r="K351" i="2"/>
  <c r="L351" i="2"/>
  <c r="L698" i="2" s="1"/>
  <c r="M351" i="2"/>
  <c r="M698" i="2" s="1"/>
  <c r="N351" i="2"/>
  <c r="O351" i="2"/>
  <c r="O630" i="2" s="1"/>
  <c r="K352" i="2"/>
  <c r="L352" i="2"/>
  <c r="L631" i="2" s="1"/>
  <c r="M352" i="2"/>
  <c r="M699" i="2" s="1"/>
  <c r="N352" i="2"/>
  <c r="N699" i="2" s="1"/>
  <c r="O352" i="2"/>
  <c r="O631" i="2" s="1"/>
  <c r="K353" i="2"/>
  <c r="K632" i="2" s="1"/>
  <c r="L353" i="2"/>
  <c r="L632" i="2" s="1"/>
  <c r="M353" i="2"/>
  <c r="N353" i="2"/>
  <c r="O353" i="2"/>
  <c r="O700" i="2" s="1"/>
  <c r="K354" i="2"/>
  <c r="K701" i="2" s="1"/>
  <c r="L354" i="2"/>
  <c r="L633" i="2" s="1"/>
  <c r="M354" i="2"/>
  <c r="M701" i="2" s="1"/>
  <c r="N354" i="2"/>
  <c r="N633" i="2" s="1"/>
  <c r="O354" i="2"/>
  <c r="O701" i="2" s="1"/>
  <c r="K355" i="2"/>
  <c r="L355" i="2"/>
  <c r="M355" i="2"/>
  <c r="N355" i="2"/>
  <c r="N702" i="2" s="1"/>
  <c r="O355" i="2"/>
  <c r="K356" i="2"/>
  <c r="K703" i="2" s="1"/>
  <c r="L356" i="2"/>
  <c r="L703" i="2" s="1"/>
  <c r="M356" i="2"/>
  <c r="N356" i="2"/>
  <c r="O356" i="2"/>
  <c r="O703" i="2" s="1"/>
  <c r="K357" i="2"/>
  <c r="K636" i="2" s="1"/>
  <c r="L357" i="2"/>
  <c r="M357" i="2"/>
  <c r="M636" i="2" s="1"/>
  <c r="N357" i="2"/>
  <c r="O357" i="2"/>
  <c r="O636" i="2" s="1"/>
  <c r="K358" i="2"/>
  <c r="L358" i="2"/>
  <c r="M358" i="2"/>
  <c r="M705" i="2" s="1"/>
  <c r="N358" i="2"/>
  <c r="N637" i="2" s="1"/>
  <c r="O358" i="2"/>
  <c r="K359" i="2"/>
  <c r="L359" i="2"/>
  <c r="L638" i="2" s="1"/>
  <c r="M359" i="2"/>
  <c r="N359" i="2"/>
  <c r="O359" i="2"/>
  <c r="K360" i="2"/>
  <c r="K707" i="2" s="1"/>
  <c r="L360" i="2"/>
  <c r="M360" i="2"/>
  <c r="N360" i="2"/>
  <c r="O360" i="2"/>
  <c r="K361" i="2"/>
  <c r="K640" i="2" s="1"/>
  <c r="L361" i="2"/>
  <c r="L640" i="2" s="1"/>
  <c r="M361" i="2"/>
  <c r="N361" i="2"/>
  <c r="N640" i="2" s="1"/>
  <c r="O361" i="2"/>
  <c r="O640" i="2" s="1"/>
  <c r="K362" i="2"/>
  <c r="K709" i="2" s="1"/>
  <c r="L362" i="2"/>
  <c r="L641" i="2" s="1"/>
  <c r="M362" i="2"/>
  <c r="M709" i="2" s="1"/>
  <c r="N362" i="2"/>
  <c r="N641" i="2" s="1"/>
  <c r="O362" i="2"/>
  <c r="K363" i="2"/>
  <c r="L363" i="2"/>
  <c r="L642" i="2" s="1"/>
  <c r="M363" i="2"/>
  <c r="M710" i="2" s="1"/>
  <c r="N363" i="2"/>
  <c r="N710" i="2" s="1"/>
  <c r="O363" i="2"/>
  <c r="O642" i="2" s="1"/>
  <c r="K364" i="2"/>
  <c r="L364" i="2"/>
  <c r="M364" i="2"/>
  <c r="N364" i="2"/>
  <c r="O364" i="2"/>
  <c r="J300" i="2"/>
  <c r="J647" i="2" s="1"/>
  <c r="O74" i="2"/>
  <c r="O75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K74" i="2"/>
  <c r="L74" i="2"/>
  <c r="M74" i="2"/>
  <c r="N74" i="2"/>
  <c r="K75" i="2"/>
  <c r="L75" i="2"/>
  <c r="M75" i="2"/>
  <c r="N75" i="2"/>
  <c r="K77" i="2"/>
  <c r="L77" i="2"/>
  <c r="M77" i="2"/>
  <c r="N77" i="2"/>
  <c r="K78" i="2"/>
  <c r="L78" i="2"/>
  <c r="M78" i="2"/>
  <c r="N78" i="2"/>
  <c r="K79" i="2"/>
  <c r="L79" i="2"/>
  <c r="M79" i="2"/>
  <c r="N79" i="2"/>
  <c r="K80" i="2"/>
  <c r="L80" i="2"/>
  <c r="M80" i="2"/>
  <c r="N80" i="2"/>
  <c r="K81" i="2"/>
  <c r="L81" i="2"/>
  <c r="M81" i="2"/>
  <c r="N81" i="2"/>
  <c r="K82" i="2"/>
  <c r="L82" i="2"/>
  <c r="M82" i="2"/>
  <c r="N82" i="2"/>
  <c r="K83" i="2"/>
  <c r="L83" i="2"/>
  <c r="M83" i="2"/>
  <c r="N83" i="2"/>
  <c r="K84" i="2"/>
  <c r="L84" i="2"/>
  <c r="M84" i="2"/>
  <c r="N84" i="2"/>
  <c r="K85" i="2"/>
  <c r="L85" i="2"/>
  <c r="M85" i="2"/>
  <c r="N85" i="2"/>
  <c r="K86" i="2"/>
  <c r="L86" i="2"/>
  <c r="M86" i="2"/>
  <c r="N86" i="2"/>
  <c r="K87" i="2"/>
  <c r="L87" i="2"/>
  <c r="M87" i="2"/>
  <c r="N87" i="2"/>
  <c r="K88" i="2"/>
  <c r="L88" i="2"/>
  <c r="M88" i="2"/>
  <c r="N88" i="2"/>
  <c r="K89" i="2"/>
  <c r="L89" i="2"/>
  <c r="M89" i="2"/>
  <c r="N89" i="2"/>
  <c r="K90" i="2"/>
  <c r="L90" i="2"/>
  <c r="M90" i="2"/>
  <c r="N90" i="2"/>
  <c r="K91" i="2"/>
  <c r="L91" i="2"/>
  <c r="M91" i="2"/>
  <c r="N91" i="2"/>
  <c r="K92" i="2"/>
  <c r="L92" i="2"/>
  <c r="M92" i="2"/>
  <c r="N92" i="2"/>
  <c r="K93" i="2"/>
  <c r="L93" i="2"/>
  <c r="M93" i="2"/>
  <c r="N93" i="2"/>
  <c r="K94" i="2"/>
  <c r="L94" i="2"/>
  <c r="M94" i="2"/>
  <c r="N94" i="2"/>
  <c r="K95" i="2"/>
  <c r="L95" i="2"/>
  <c r="M95" i="2"/>
  <c r="N95" i="2"/>
  <c r="K96" i="2"/>
  <c r="L96" i="2"/>
  <c r="M96" i="2"/>
  <c r="N96" i="2"/>
  <c r="K97" i="2"/>
  <c r="L97" i="2"/>
  <c r="M97" i="2"/>
  <c r="N97" i="2"/>
  <c r="K98" i="2"/>
  <c r="L98" i="2"/>
  <c r="M98" i="2"/>
  <c r="N98" i="2"/>
  <c r="K99" i="2"/>
  <c r="L99" i="2"/>
  <c r="M99" i="2"/>
  <c r="N99" i="2"/>
  <c r="K100" i="2"/>
  <c r="L100" i="2"/>
  <c r="M100" i="2"/>
  <c r="N100" i="2"/>
  <c r="K101" i="2"/>
  <c r="L101" i="2"/>
  <c r="M101" i="2"/>
  <c r="N101" i="2"/>
  <c r="K102" i="2"/>
  <c r="L102" i="2"/>
  <c r="M102" i="2"/>
  <c r="N102" i="2"/>
  <c r="K103" i="2"/>
  <c r="L103" i="2"/>
  <c r="M103" i="2"/>
  <c r="N103" i="2"/>
  <c r="K104" i="2"/>
  <c r="L104" i="2"/>
  <c r="M104" i="2"/>
  <c r="N104" i="2"/>
  <c r="K105" i="2"/>
  <c r="L105" i="2"/>
  <c r="M105" i="2"/>
  <c r="N105" i="2"/>
  <c r="K106" i="2"/>
  <c r="L106" i="2"/>
  <c r="M106" i="2"/>
  <c r="N106" i="2"/>
  <c r="K107" i="2"/>
  <c r="L107" i="2"/>
  <c r="M107" i="2"/>
  <c r="N107" i="2"/>
  <c r="K108" i="2"/>
  <c r="L108" i="2"/>
  <c r="M108" i="2"/>
  <c r="N108" i="2"/>
  <c r="K109" i="2"/>
  <c r="L109" i="2"/>
  <c r="M109" i="2"/>
  <c r="N109" i="2"/>
  <c r="K110" i="2"/>
  <c r="L110" i="2"/>
  <c r="M110" i="2"/>
  <c r="N110" i="2"/>
  <c r="K111" i="2"/>
  <c r="L111" i="2"/>
  <c r="M111" i="2"/>
  <c r="N111" i="2"/>
  <c r="K112" i="2"/>
  <c r="L112" i="2"/>
  <c r="M112" i="2"/>
  <c r="N112" i="2"/>
  <c r="K113" i="2"/>
  <c r="L113" i="2"/>
  <c r="M113" i="2"/>
  <c r="N113" i="2"/>
  <c r="K114" i="2"/>
  <c r="L114" i="2"/>
  <c r="M114" i="2"/>
  <c r="N114" i="2"/>
  <c r="K115" i="2"/>
  <c r="L115" i="2"/>
  <c r="M115" i="2"/>
  <c r="N115" i="2"/>
  <c r="K116" i="2"/>
  <c r="L116" i="2"/>
  <c r="M116" i="2"/>
  <c r="N116" i="2"/>
  <c r="K117" i="2"/>
  <c r="L117" i="2"/>
  <c r="M117" i="2"/>
  <c r="N117" i="2"/>
  <c r="K118" i="2"/>
  <c r="L118" i="2"/>
  <c r="M118" i="2"/>
  <c r="N118" i="2"/>
  <c r="K119" i="2"/>
  <c r="L119" i="2"/>
  <c r="M119" i="2"/>
  <c r="N119" i="2"/>
  <c r="K120" i="2"/>
  <c r="L120" i="2"/>
  <c r="M120" i="2"/>
  <c r="N120" i="2"/>
  <c r="K121" i="2"/>
  <c r="L121" i="2"/>
  <c r="M121" i="2"/>
  <c r="N121" i="2"/>
  <c r="K122" i="2"/>
  <c r="L122" i="2"/>
  <c r="M122" i="2"/>
  <c r="N122" i="2"/>
  <c r="K123" i="2"/>
  <c r="L123" i="2"/>
  <c r="M123" i="2"/>
  <c r="N123" i="2"/>
  <c r="K124" i="2"/>
  <c r="L124" i="2"/>
  <c r="M124" i="2"/>
  <c r="N124" i="2"/>
  <c r="K125" i="2"/>
  <c r="L125" i="2"/>
  <c r="M125" i="2"/>
  <c r="N125" i="2"/>
  <c r="K126" i="2"/>
  <c r="L126" i="2"/>
  <c r="M126" i="2"/>
  <c r="N126" i="2"/>
  <c r="K127" i="2"/>
  <c r="L127" i="2"/>
  <c r="M127" i="2"/>
  <c r="N127" i="2"/>
  <c r="K128" i="2"/>
  <c r="L128" i="2"/>
  <c r="M128" i="2"/>
  <c r="N128" i="2"/>
  <c r="K129" i="2"/>
  <c r="L129" i="2"/>
  <c r="M129" i="2"/>
  <c r="N129" i="2"/>
  <c r="K130" i="2"/>
  <c r="L130" i="2"/>
  <c r="M130" i="2"/>
  <c r="N130" i="2"/>
  <c r="K131" i="2"/>
  <c r="L131" i="2"/>
  <c r="M131" i="2"/>
  <c r="N131" i="2"/>
  <c r="K132" i="2"/>
  <c r="L132" i="2"/>
  <c r="M132" i="2"/>
  <c r="N132" i="2"/>
  <c r="K133" i="2"/>
  <c r="L133" i="2"/>
  <c r="M133" i="2"/>
  <c r="N133" i="2"/>
  <c r="K134" i="2"/>
  <c r="L134" i="2"/>
  <c r="M134" i="2"/>
  <c r="N134" i="2"/>
  <c r="K135" i="2"/>
  <c r="L135" i="2"/>
  <c r="M135" i="2"/>
  <c r="N135" i="2"/>
  <c r="K136" i="2"/>
  <c r="L136" i="2"/>
  <c r="M136" i="2"/>
  <c r="N136" i="2"/>
  <c r="K137" i="2"/>
  <c r="L137" i="2"/>
  <c r="M137" i="2"/>
  <c r="N137" i="2"/>
  <c r="K138" i="2"/>
  <c r="L138" i="2"/>
  <c r="M138" i="2"/>
  <c r="N138" i="2"/>
  <c r="W89" i="1"/>
  <c r="U89" i="1"/>
  <c r="S89" i="1"/>
  <c r="M24" i="18"/>
  <c r="L24" i="18"/>
  <c r="K24" i="18"/>
  <c r="J24" i="18"/>
  <c r="O22" i="8"/>
  <c r="N22" i="8"/>
  <c r="M22" i="8"/>
  <c r="L22" i="8"/>
  <c r="M8" i="18"/>
  <c r="P17" i="36" s="1"/>
  <c r="L8" i="18"/>
  <c r="K8" i="18"/>
  <c r="N17" i="36" s="1"/>
  <c r="J8" i="18"/>
  <c r="M17" i="36" s="1"/>
  <c r="J133" i="2"/>
  <c r="C133" i="2"/>
  <c r="I133" i="2"/>
  <c r="H133" i="2"/>
  <c r="G133" i="2" s="1"/>
  <c r="F133" i="2"/>
  <c r="E133" i="2"/>
  <c r="D133" i="2"/>
  <c r="D204" i="2" s="1"/>
  <c r="D271" i="2" s="1"/>
  <c r="D300" i="2"/>
  <c r="D301" i="2"/>
  <c r="D303" i="2"/>
  <c r="D304" i="2"/>
  <c r="D583" i="2" s="1"/>
  <c r="D305" i="2"/>
  <c r="D516" i="2" s="1"/>
  <c r="D306" i="2"/>
  <c r="D653" i="2" s="1"/>
  <c r="D307" i="2"/>
  <c r="D308" i="2"/>
  <c r="D309" i="2"/>
  <c r="D656" i="2" s="1"/>
  <c r="D310" i="2"/>
  <c r="D521" i="2" s="1"/>
  <c r="D311" i="2"/>
  <c r="D312" i="2"/>
  <c r="D659" i="2" s="1"/>
  <c r="D313" i="2"/>
  <c r="D660" i="2" s="1"/>
  <c r="D314" i="2"/>
  <c r="D315" i="2"/>
  <c r="D316" i="2"/>
  <c r="D663" i="2" s="1"/>
  <c r="D317" i="2"/>
  <c r="D528" i="2" s="1"/>
  <c r="D318" i="2"/>
  <c r="D319" i="2"/>
  <c r="D320" i="2"/>
  <c r="D321" i="2"/>
  <c r="D322" i="2"/>
  <c r="D533" i="2" s="1"/>
  <c r="D323" i="2"/>
  <c r="D534" i="2" s="1"/>
  <c r="D324" i="2"/>
  <c r="D325" i="2"/>
  <c r="D604" i="2" s="1"/>
  <c r="D326" i="2"/>
  <c r="D605" i="2" s="1"/>
  <c r="D327" i="2"/>
  <c r="D328" i="2"/>
  <c r="D329" i="2"/>
  <c r="D676" i="2" s="1"/>
  <c r="D330" i="2"/>
  <c r="D331" i="2"/>
  <c r="D332" i="2"/>
  <c r="D333" i="2"/>
  <c r="D334" i="2"/>
  <c r="D545" i="2" s="1"/>
  <c r="D335" i="2"/>
  <c r="D336" i="2"/>
  <c r="D683" i="2" s="1"/>
  <c r="D337" i="2"/>
  <c r="D684" i="2" s="1"/>
  <c r="D338" i="2"/>
  <c r="D339" i="2"/>
  <c r="D340" i="2"/>
  <c r="D341" i="2"/>
  <c r="D342" i="2"/>
  <c r="D343" i="2"/>
  <c r="D344" i="2"/>
  <c r="D345" i="2"/>
  <c r="D346" i="2"/>
  <c r="D347" i="2"/>
  <c r="D348" i="2"/>
  <c r="D349" i="2"/>
  <c r="D351" i="2"/>
  <c r="D698" i="2" s="1"/>
  <c r="D352" i="2"/>
  <c r="D353" i="2"/>
  <c r="D632" i="2" s="1"/>
  <c r="D354" i="2"/>
  <c r="D701" i="2" s="1"/>
  <c r="D355" i="2"/>
  <c r="D356" i="2"/>
  <c r="D357" i="2"/>
  <c r="D636" i="2" s="1"/>
  <c r="D358" i="2"/>
  <c r="D705" i="2" s="1"/>
  <c r="D359" i="2"/>
  <c r="D706" i="2" s="1"/>
  <c r="D360" i="2"/>
  <c r="D361" i="2"/>
  <c r="D362" i="2"/>
  <c r="D709" i="2" s="1"/>
  <c r="D363" i="2"/>
  <c r="D710" i="2" s="1"/>
  <c r="E300" i="2"/>
  <c r="E579" i="2" s="1"/>
  <c r="E301" i="2"/>
  <c r="E580" i="2" s="1"/>
  <c r="E303" i="2"/>
  <c r="E514" i="2" s="1"/>
  <c r="E304" i="2"/>
  <c r="E305" i="2"/>
  <c r="E584" i="2" s="1"/>
  <c r="E306" i="2"/>
  <c r="E653" i="2" s="1"/>
  <c r="E307" i="2"/>
  <c r="E308" i="2"/>
  <c r="E309" i="2"/>
  <c r="E310" i="2"/>
  <c r="E657" i="2" s="1"/>
  <c r="E311" i="2"/>
  <c r="E522" i="2" s="1"/>
  <c r="E312" i="2"/>
  <c r="E313" i="2"/>
  <c r="E660" i="2" s="1"/>
  <c r="E314" i="2"/>
  <c r="E315" i="2"/>
  <c r="E594" i="2" s="1"/>
  <c r="E316" i="2"/>
  <c r="E527" i="2" s="1"/>
  <c r="E317" i="2"/>
  <c r="E318" i="2"/>
  <c r="E665" i="2" s="1"/>
  <c r="E319" i="2"/>
  <c r="E530" i="2" s="1"/>
  <c r="E320" i="2"/>
  <c r="E667" i="2" s="1"/>
  <c r="E321" i="2"/>
  <c r="E600" i="2" s="1"/>
  <c r="E322" i="2"/>
  <c r="E323" i="2"/>
  <c r="E670" i="2" s="1"/>
  <c r="E324" i="2"/>
  <c r="E325" i="2"/>
  <c r="E326" i="2"/>
  <c r="E605" i="2" s="1"/>
  <c r="E327" i="2"/>
  <c r="E606" i="2" s="1"/>
  <c r="E328" i="2"/>
  <c r="E675" i="2" s="1"/>
  <c r="E329" i="2"/>
  <c r="E330" i="2"/>
  <c r="E609" i="2" s="1"/>
  <c r="E331" i="2"/>
  <c r="E678" i="2" s="1"/>
  <c r="E332" i="2"/>
  <c r="E333" i="2"/>
  <c r="E334" i="2"/>
  <c r="E335" i="2"/>
  <c r="E336" i="2"/>
  <c r="E547" i="2" s="1"/>
  <c r="E337" i="2"/>
  <c r="E338" i="2"/>
  <c r="E339" i="2"/>
  <c r="E686" i="2" s="1"/>
  <c r="E340" i="2"/>
  <c r="E619" i="2" s="1"/>
  <c r="E341" i="2"/>
  <c r="E688" i="2" s="1"/>
  <c r="E342" i="2"/>
  <c r="E553" i="2" s="1"/>
  <c r="E343" i="2"/>
  <c r="E622" i="2" s="1"/>
  <c r="E344" i="2"/>
  <c r="E691" i="2" s="1"/>
  <c r="E345" i="2"/>
  <c r="E346" i="2"/>
  <c r="E347" i="2"/>
  <c r="E348" i="2"/>
  <c r="E627" i="2" s="1"/>
  <c r="E349" i="2"/>
  <c r="E628" i="2" s="1"/>
  <c r="E351" i="2"/>
  <c r="E352" i="2"/>
  <c r="E353" i="2"/>
  <c r="E354" i="2"/>
  <c r="E355" i="2"/>
  <c r="E634" i="2" s="1"/>
  <c r="E356" i="2"/>
  <c r="E703" i="2" s="1"/>
  <c r="E357" i="2"/>
  <c r="E358" i="2"/>
  <c r="E705" i="2" s="1"/>
  <c r="E359" i="2"/>
  <c r="E360" i="2"/>
  <c r="E639" i="2" s="1"/>
  <c r="E361" i="2"/>
  <c r="E640" i="2" s="1"/>
  <c r="E362" i="2"/>
  <c r="E363" i="2"/>
  <c r="F300" i="2"/>
  <c r="F511" i="2" s="1"/>
  <c r="F301" i="2"/>
  <c r="F648" i="2" s="1"/>
  <c r="F303" i="2"/>
  <c r="F304" i="2"/>
  <c r="F305" i="2"/>
  <c r="F516" i="2" s="1"/>
  <c r="F306" i="2"/>
  <c r="F653" i="2" s="1"/>
  <c r="F307" i="2"/>
  <c r="F308" i="2"/>
  <c r="F587" i="2" s="1"/>
  <c r="F309" i="2"/>
  <c r="F310" i="2"/>
  <c r="F311" i="2"/>
  <c r="F312" i="2"/>
  <c r="F313" i="2"/>
  <c r="F314" i="2"/>
  <c r="F661" i="2" s="1"/>
  <c r="F315" i="2"/>
  <c r="F316" i="2"/>
  <c r="F317" i="2"/>
  <c r="F596" i="2" s="1"/>
  <c r="F318" i="2"/>
  <c r="F529" i="2" s="1"/>
  <c r="F319" i="2"/>
  <c r="F320" i="2"/>
  <c r="F321" i="2"/>
  <c r="F322" i="2"/>
  <c r="F601" i="2" s="1"/>
  <c r="F323" i="2"/>
  <c r="F324" i="2"/>
  <c r="F535" i="2" s="1"/>
  <c r="F325" i="2"/>
  <c r="F672" i="2" s="1"/>
  <c r="F326" i="2"/>
  <c r="F605" i="2" s="1"/>
  <c r="F327" i="2"/>
  <c r="F328" i="2"/>
  <c r="F607" i="2" s="1"/>
  <c r="F329" i="2"/>
  <c r="F676" i="2" s="1"/>
  <c r="F330" i="2"/>
  <c r="F677" i="2" s="1"/>
  <c r="F331" i="2"/>
  <c r="F332" i="2"/>
  <c r="F333" i="2"/>
  <c r="F544" i="2" s="1"/>
  <c r="F334" i="2"/>
  <c r="F545" i="2" s="1"/>
  <c r="F335" i="2"/>
  <c r="F546" i="2" s="1"/>
  <c r="F336" i="2"/>
  <c r="F615" i="2" s="1"/>
  <c r="F337" i="2"/>
  <c r="F338" i="2"/>
  <c r="F685" i="2" s="1"/>
  <c r="F339" i="2"/>
  <c r="F618" i="2" s="1"/>
  <c r="F340" i="2"/>
  <c r="F341" i="2"/>
  <c r="F342" i="2"/>
  <c r="F553" i="2" s="1"/>
  <c r="F343" i="2"/>
  <c r="F344" i="2"/>
  <c r="F345" i="2"/>
  <c r="F624" i="2" s="1"/>
  <c r="F346" i="2"/>
  <c r="F693" i="2" s="1"/>
  <c r="F347" i="2"/>
  <c r="F348" i="2"/>
  <c r="F349" i="2"/>
  <c r="F351" i="2"/>
  <c r="F352" i="2"/>
  <c r="F699" i="2" s="1"/>
  <c r="F353" i="2"/>
  <c r="F700" i="2" s="1"/>
  <c r="F354" i="2"/>
  <c r="F355" i="2"/>
  <c r="F702" i="2" s="1"/>
  <c r="F356" i="2"/>
  <c r="F357" i="2"/>
  <c r="F358" i="2"/>
  <c r="F637" i="2" s="1"/>
  <c r="F359" i="2"/>
  <c r="F638" i="2" s="1"/>
  <c r="F360" i="2"/>
  <c r="F361" i="2"/>
  <c r="F362" i="2"/>
  <c r="F363" i="2"/>
  <c r="H300" i="2"/>
  <c r="H301" i="2"/>
  <c r="H303" i="2"/>
  <c r="H650" i="2" s="1"/>
  <c r="H304" i="2"/>
  <c r="H651" i="2" s="1"/>
  <c r="H305" i="2"/>
  <c r="H306" i="2"/>
  <c r="G306" i="2" s="1"/>
  <c r="H307" i="2"/>
  <c r="H518" i="2" s="1"/>
  <c r="H308" i="2"/>
  <c r="G308" i="2" s="1"/>
  <c r="H309" i="2"/>
  <c r="H588" i="2" s="1"/>
  <c r="H310" i="2"/>
  <c r="H657" i="2" s="1"/>
  <c r="H311" i="2"/>
  <c r="H590" i="2" s="1"/>
  <c r="H312" i="2"/>
  <c r="H313" i="2"/>
  <c r="H592" i="2" s="1"/>
  <c r="H314" i="2"/>
  <c r="H525" i="2" s="1"/>
  <c r="H315" i="2"/>
  <c r="H316" i="2"/>
  <c r="H527" i="2" s="1"/>
  <c r="H317" i="2"/>
  <c r="H596" i="2" s="1"/>
  <c r="H318" i="2"/>
  <c r="H597" i="2" s="1"/>
  <c r="H319" i="2"/>
  <c r="H666" i="2" s="1"/>
  <c r="H320" i="2"/>
  <c r="H321" i="2"/>
  <c r="H322" i="2"/>
  <c r="H601" i="2" s="1"/>
  <c r="H323" i="2"/>
  <c r="H670" i="2" s="1"/>
  <c r="H324" i="2"/>
  <c r="H671" i="2" s="1"/>
  <c r="H325" i="2"/>
  <c r="G325" i="2" s="1"/>
  <c r="H326" i="2"/>
  <c r="H327" i="2"/>
  <c r="H538" i="2" s="1"/>
  <c r="H328" i="2"/>
  <c r="H329" i="2"/>
  <c r="H608" i="2" s="1"/>
  <c r="H330" i="2"/>
  <c r="G330" i="2" s="1"/>
  <c r="G541" i="2" s="1"/>
  <c r="H331" i="2"/>
  <c r="G331" i="2" s="1"/>
  <c r="H332" i="2"/>
  <c r="H679" i="2" s="1"/>
  <c r="H333" i="2"/>
  <c r="H544" i="2" s="1"/>
  <c r="H334" i="2"/>
  <c r="H681" i="2" s="1"/>
  <c r="H335" i="2"/>
  <c r="H336" i="2"/>
  <c r="H337" i="2"/>
  <c r="H338" i="2"/>
  <c r="H549" i="2" s="1"/>
  <c r="H339" i="2"/>
  <c r="G339" i="2" s="1"/>
  <c r="G686" i="2" s="1"/>
  <c r="H340" i="2"/>
  <c r="H687" i="2" s="1"/>
  <c r="H341" i="2"/>
  <c r="H620" i="2" s="1"/>
  <c r="H342" i="2"/>
  <c r="H621" i="2" s="1"/>
  <c r="H343" i="2"/>
  <c r="H622" i="2" s="1"/>
  <c r="H344" i="2"/>
  <c r="G344" i="2" s="1"/>
  <c r="H345" i="2"/>
  <c r="H346" i="2"/>
  <c r="G346" i="2" s="1"/>
  <c r="G693" i="2" s="1"/>
  <c r="H347" i="2"/>
  <c r="H694" i="2" s="1"/>
  <c r="H348" i="2"/>
  <c r="H627" i="2" s="1"/>
  <c r="H349" i="2"/>
  <c r="H351" i="2"/>
  <c r="G351" i="2" s="1"/>
  <c r="G698" i="2" s="1"/>
  <c r="H352" i="2"/>
  <c r="H631" i="2" s="1"/>
  <c r="H353" i="2"/>
  <c r="H354" i="2"/>
  <c r="H355" i="2"/>
  <c r="H702" i="2" s="1"/>
  <c r="H356" i="2"/>
  <c r="H703" i="2" s="1"/>
  <c r="H357" i="2"/>
  <c r="H704" i="2" s="1"/>
  <c r="H358" i="2"/>
  <c r="H359" i="2"/>
  <c r="H638" i="2" s="1"/>
  <c r="H360" i="2"/>
  <c r="H361" i="2"/>
  <c r="H640" i="2" s="1"/>
  <c r="H362" i="2"/>
  <c r="H363" i="2"/>
  <c r="H642" i="2" s="1"/>
  <c r="I300" i="2"/>
  <c r="I579" i="2" s="1"/>
  <c r="I301" i="2"/>
  <c r="I303" i="2"/>
  <c r="I304" i="2"/>
  <c r="I651" i="2" s="1"/>
  <c r="I305" i="2"/>
  <c r="I652" i="2" s="1"/>
  <c r="I306" i="2"/>
  <c r="I585" i="2" s="1"/>
  <c r="I307" i="2"/>
  <c r="I518" i="2" s="1"/>
  <c r="I308" i="2"/>
  <c r="I519" i="2" s="1"/>
  <c r="I309" i="2"/>
  <c r="I310" i="2"/>
  <c r="I311" i="2"/>
  <c r="I312" i="2"/>
  <c r="I523" i="2" s="1"/>
  <c r="I313" i="2"/>
  <c r="I524" i="2" s="1"/>
  <c r="I314" i="2"/>
  <c r="I661" i="2" s="1"/>
  <c r="I315" i="2"/>
  <c r="I316" i="2"/>
  <c r="I663" i="2" s="1"/>
  <c r="I317" i="2"/>
  <c r="I664" i="2" s="1"/>
  <c r="I318" i="2"/>
  <c r="I665" i="2" s="1"/>
  <c r="I319" i="2"/>
  <c r="I320" i="2"/>
  <c r="I531" i="2" s="1"/>
  <c r="I321" i="2"/>
  <c r="I600" i="2" s="1"/>
  <c r="I322" i="2"/>
  <c r="I323" i="2"/>
  <c r="I324" i="2"/>
  <c r="I671" i="2" s="1"/>
  <c r="I325" i="2"/>
  <c r="I672" i="2" s="1"/>
  <c r="I326" i="2"/>
  <c r="I605" i="2" s="1"/>
  <c r="I327" i="2"/>
  <c r="I328" i="2"/>
  <c r="I675" i="2" s="1"/>
  <c r="I329" i="2"/>
  <c r="I330" i="2"/>
  <c r="I331" i="2"/>
  <c r="I332" i="2"/>
  <c r="I611" i="2" s="1"/>
  <c r="I333" i="2"/>
  <c r="I334" i="2"/>
  <c r="I613" i="2" s="1"/>
  <c r="I335" i="2"/>
  <c r="I682" i="2" s="1"/>
  <c r="I336" i="2"/>
  <c r="I683" i="2" s="1"/>
  <c r="I337" i="2"/>
  <c r="I548" i="2" s="1"/>
  <c r="I338" i="2"/>
  <c r="I339" i="2"/>
  <c r="I340" i="2"/>
  <c r="I551" i="2" s="1"/>
  <c r="I341" i="2"/>
  <c r="I342" i="2"/>
  <c r="I553" i="2" s="1"/>
  <c r="I343" i="2"/>
  <c r="I344" i="2"/>
  <c r="I691" i="2" s="1"/>
  <c r="I345" i="2"/>
  <c r="I624" i="2" s="1"/>
  <c r="I346" i="2"/>
  <c r="I347" i="2"/>
  <c r="I348" i="2"/>
  <c r="I349" i="2"/>
  <c r="I628" i="2" s="1"/>
  <c r="I351" i="2"/>
  <c r="I352" i="2"/>
  <c r="I353" i="2"/>
  <c r="I700" i="2" s="1"/>
  <c r="I354" i="2"/>
  <c r="I701" i="2" s="1"/>
  <c r="I355" i="2"/>
  <c r="I356" i="2"/>
  <c r="I357" i="2"/>
  <c r="I358" i="2"/>
  <c r="I359" i="2"/>
  <c r="I638" i="2" s="1"/>
  <c r="I360" i="2"/>
  <c r="I361" i="2"/>
  <c r="I362" i="2"/>
  <c r="I363" i="2"/>
  <c r="J301" i="2"/>
  <c r="J303" i="2"/>
  <c r="J582" i="2" s="1"/>
  <c r="J304" i="2"/>
  <c r="J583" i="2" s="1"/>
  <c r="J305" i="2"/>
  <c r="J516" i="2" s="1"/>
  <c r="J306" i="2"/>
  <c r="J307" i="2"/>
  <c r="J586" i="2" s="1"/>
  <c r="J308" i="2"/>
  <c r="J309" i="2"/>
  <c r="J588" i="2" s="1"/>
  <c r="J310" i="2"/>
  <c r="J521" i="2" s="1"/>
  <c r="J311" i="2"/>
  <c r="J312" i="2"/>
  <c r="J659" i="2" s="1"/>
  <c r="J313" i="2"/>
  <c r="J660" i="2" s="1"/>
  <c r="J314" i="2"/>
  <c r="J315" i="2"/>
  <c r="J594" i="2" s="1"/>
  <c r="J316" i="2"/>
  <c r="J317" i="2"/>
  <c r="J318" i="2"/>
  <c r="J319" i="2"/>
  <c r="J320" i="2"/>
  <c r="J667" i="2" s="1"/>
  <c r="J321" i="2"/>
  <c r="J600" i="2" s="1"/>
  <c r="J322" i="2"/>
  <c r="J323" i="2"/>
  <c r="J534" i="2" s="1"/>
  <c r="J324" i="2"/>
  <c r="J603" i="2" s="1"/>
  <c r="J325" i="2"/>
  <c r="J672" i="2" s="1"/>
  <c r="J326" i="2"/>
  <c r="J327" i="2"/>
  <c r="J538" i="2" s="1"/>
  <c r="J328" i="2"/>
  <c r="J329" i="2"/>
  <c r="J676" i="2" s="1"/>
  <c r="J330" i="2"/>
  <c r="J677" i="2" s="1"/>
  <c r="J331" i="2"/>
  <c r="J332" i="2"/>
  <c r="J679" i="2" s="1"/>
  <c r="J333" i="2"/>
  <c r="J680" i="2" s="1"/>
  <c r="J334" i="2"/>
  <c r="J335" i="2"/>
  <c r="J546" i="2" s="1"/>
  <c r="J336" i="2"/>
  <c r="J337" i="2"/>
  <c r="J616" i="2" s="1"/>
  <c r="J338" i="2"/>
  <c r="J339" i="2"/>
  <c r="J550" i="2" s="1"/>
  <c r="J340" i="2"/>
  <c r="J341" i="2"/>
  <c r="J620" i="2" s="1"/>
  <c r="J342" i="2"/>
  <c r="J343" i="2"/>
  <c r="J690" i="2" s="1"/>
  <c r="J344" i="2"/>
  <c r="J623" i="2" s="1"/>
  <c r="J345" i="2"/>
  <c r="J346" i="2"/>
  <c r="J625" i="2" s="1"/>
  <c r="J347" i="2"/>
  <c r="J626" i="2" s="1"/>
  <c r="J348" i="2"/>
  <c r="J695" i="2" s="1"/>
  <c r="J349" i="2"/>
  <c r="J351" i="2"/>
  <c r="J352" i="2"/>
  <c r="J353" i="2"/>
  <c r="J632" i="2" s="1"/>
  <c r="J354" i="2"/>
  <c r="J355" i="2"/>
  <c r="J356" i="2"/>
  <c r="J635" i="2" s="1"/>
  <c r="J357" i="2"/>
  <c r="J358" i="2"/>
  <c r="J359" i="2"/>
  <c r="J360" i="2"/>
  <c r="J361" i="2"/>
  <c r="J362" i="2"/>
  <c r="J363" i="2"/>
  <c r="J710" i="2" s="1"/>
  <c r="C350" i="2"/>
  <c r="C124" i="2"/>
  <c r="C363" i="2"/>
  <c r="C137" i="2"/>
  <c r="C300" i="2"/>
  <c r="C511" i="2" s="1"/>
  <c r="C301" i="2"/>
  <c r="C580" i="2" s="1"/>
  <c r="C303" i="2"/>
  <c r="C650" i="2" s="1"/>
  <c r="C304" i="2"/>
  <c r="C305" i="2"/>
  <c r="C516" i="2" s="1"/>
  <c r="C306" i="2"/>
  <c r="C517" i="2" s="1"/>
  <c r="C307" i="2"/>
  <c r="C308" i="2"/>
  <c r="C587" i="2" s="1"/>
  <c r="C309" i="2"/>
  <c r="C588" i="2" s="1"/>
  <c r="C310" i="2"/>
  <c r="C311" i="2"/>
  <c r="C522" i="2" s="1"/>
  <c r="C312" i="2"/>
  <c r="C313" i="2"/>
  <c r="C314" i="2"/>
  <c r="C593" i="2" s="1"/>
  <c r="C315" i="2"/>
  <c r="C316" i="2"/>
  <c r="C527" i="2" s="1"/>
  <c r="C317" i="2"/>
  <c r="C318" i="2"/>
  <c r="C319" i="2"/>
  <c r="C320" i="2"/>
  <c r="C321" i="2"/>
  <c r="C322" i="2"/>
  <c r="C323" i="2"/>
  <c r="C324" i="2"/>
  <c r="C325" i="2"/>
  <c r="C326" i="2"/>
  <c r="C327" i="2"/>
  <c r="C674" i="2" s="1"/>
  <c r="C328" i="2"/>
  <c r="C539" i="2" s="1"/>
  <c r="C329" i="2"/>
  <c r="C608" i="2" s="1"/>
  <c r="C330" i="2"/>
  <c r="C331" i="2"/>
  <c r="C610" i="2" s="1"/>
  <c r="C332" i="2"/>
  <c r="C333" i="2"/>
  <c r="C612" i="2" s="1"/>
  <c r="C334" i="2"/>
  <c r="C613" i="2" s="1"/>
  <c r="C335" i="2"/>
  <c r="C682" i="2" s="1"/>
  <c r="C336" i="2"/>
  <c r="C547" i="2" s="1"/>
  <c r="C337" i="2"/>
  <c r="C616" i="2" s="1"/>
  <c r="C338" i="2"/>
  <c r="C549" i="2" s="1"/>
  <c r="C339" i="2"/>
  <c r="C550" i="2" s="1"/>
  <c r="C340" i="2"/>
  <c r="C341" i="2"/>
  <c r="C552" i="2" s="1"/>
  <c r="C342" i="2"/>
  <c r="C553" i="2" s="1"/>
  <c r="C343" i="2"/>
  <c r="C622" i="2" s="1"/>
  <c r="C344" i="2"/>
  <c r="C691" i="2" s="1"/>
  <c r="C345" i="2"/>
  <c r="C346" i="2"/>
  <c r="C625" i="2" s="1"/>
  <c r="C347" i="2"/>
  <c r="C348" i="2"/>
  <c r="C349" i="2"/>
  <c r="C628" i="2" s="1"/>
  <c r="C351" i="2"/>
  <c r="C630" i="2" s="1"/>
  <c r="C352" i="2"/>
  <c r="C699" i="2" s="1"/>
  <c r="C353" i="2"/>
  <c r="C354" i="2"/>
  <c r="C355" i="2"/>
  <c r="C356" i="2"/>
  <c r="C357" i="2"/>
  <c r="C358" i="2"/>
  <c r="C705" i="2" s="1"/>
  <c r="C359" i="2"/>
  <c r="C706" i="2" s="1"/>
  <c r="C360" i="2"/>
  <c r="C639" i="2" s="1"/>
  <c r="C361" i="2"/>
  <c r="C362" i="2"/>
  <c r="C364" i="2"/>
  <c r="C138" i="2"/>
  <c r="D124" i="2"/>
  <c r="D137" i="2"/>
  <c r="D138" i="2"/>
  <c r="C74" i="2"/>
  <c r="C75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5" i="2"/>
  <c r="C126" i="2"/>
  <c r="C127" i="2"/>
  <c r="C128" i="2"/>
  <c r="C129" i="2"/>
  <c r="C130" i="2"/>
  <c r="C131" i="2"/>
  <c r="C132" i="2"/>
  <c r="C134" i="2"/>
  <c r="C135" i="2"/>
  <c r="C136" i="2"/>
  <c r="D74" i="2"/>
  <c r="D75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5" i="2"/>
  <c r="D126" i="2"/>
  <c r="D127" i="2"/>
  <c r="D128" i="2"/>
  <c r="D129" i="2"/>
  <c r="D130" i="2"/>
  <c r="D131" i="2"/>
  <c r="D132" i="2"/>
  <c r="D134" i="2"/>
  <c r="D135" i="2"/>
  <c r="D136" i="2"/>
  <c r="D350" i="2"/>
  <c r="D697" i="2" s="1"/>
  <c r="D493" i="2" s="1"/>
  <c r="D364" i="2"/>
  <c r="C6" i="7"/>
  <c r="E6" i="7"/>
  <c r="F6" i="7"/>
  <c r="G6" i="7"/>
  <c r="I6" i="7"/>
  <c r="J13" i="7"/>
  <c r="J6" i="7" s="1"/>
  <c r="J4" i="7" s="1"/>
  <c r="J41" i="7"/>
  <c r="J8" i="8" s="1"/>
  <c r="K6" i="7"/>
  <c r="I8" i="18"/>
  <c r="L17" i="36" s="1"/>
  <c r="H8" i="18"/>
  <c r="K17" i="36" s="1"/>
  <c r="G8" i="18"/>
  <c r="F8" i="18"/>
  <c r="E8" i="18"/>
  <c r="D8" i="18"/>
  <c r="F17" i="36" s="1"/>
  <c r="C8" i="18"/>
  <c r="B8" i="18"/>
  <c r="D17" i="36" s="1"/>
  <c r="C22" i="8"/>
  <c r="B24" i="18"/>
  <c r="K22" i="8"/>
  <c r="H22" i="8"/>
  <c r="I22" i="8" s="1"/>
  <c r="G22" i="8"/>
  <c r="F22" i="8"/>
  <c r="E22" i="8"/>
  <c r="C24" i="18"/>
  <c r="E16" i="36" s="1"/>
  <c r="D24" i="18"/>
  <c r="F16" i="36" s="1"/>
  <c r="E24" i="18"/>
  <c r="F24" i="18"/>
  <c r="G24" i="18"/>
  <c r="I16" i="36" s="1"/>
  <c r="J16" i="36" s="1"/>
  <c r="H24" i="18"/>
  <c r="I24" i="18"/>
  <c r="L16" i="36" s="1"/>
  <c r="L6" i="5"/>
  <c r="L15" i="5"/>
  <c r="L40" i="5" s="1"/>
  <c r="K6" i="5"/>
  <c r="K27" i="5" s="1"/>
  <c r="K29" i="5" s="1"/>
  <c r="K15" i="5"/>
  <c r="J6" i="5"/>
  <c r="J27" i="5" s="1"/>
  <c r="J29" i="5" s="1"/>
  <c r="J15" i="5"/>
  <c r="J14" i="5" s="1"/>
  <c r="I14" i="5" s="1"/>
  <c r="I6" i="5"/>
  <c r="I17" i="5"/>
  <c r="H6" i="5"/>
  <c r="H27" i="5" s="1"/>
  <c r="H29" i="5" s="1"/>
  <c r="H15" i="5"/>
  <c r="H40" i="5" s="1"/>
  <c r="G6" i="5"/>
  <c r="G26" i="5" s="1"/>
  <c r="G28" i="5" s="1"/>
  <c r="G15" i="5"/>
  <c r="F6" i="5"/>
  <c r="F15" i="5"/>
  <c r="F40" i="5" s="1"/>
  <c r="E8" i="5"/>
  <c r="E6" i="5" s="1"/>
  <c r="E26" i="5" s="1"/>
  <c r="E28" i="5" s="1"/>
  <c r="E7" i="5"/>
  <c r="E17" i="5"/>
  <c r="E16" i="5"/>
  <c r="D6" i="5"/>
  <c r="D15" i="5"/>
  <c r="I16" i="5"/>
  <c r="E18" i="5"/>
  <c r="E350" i="2"/>
  <c r="E697" i="2" s="1"/>
  <c r="E493" i="2" s="1"/>
  <c r="E419" i="2" s="1"/>
  <c r="E54" i="2" s="1"/>
  <c r="F350" i="2"/>
  <c r="F697" i="2" s="1"/>
  <c r="F493" i="2" s="1"/>
  <c r="H350" i="2"/>
  <c r="I350" i="2"/>
  <c r="I697" i="2" s="1"/>
  <c r="I493" i="2" s="1"/>
  <c r="I419" i="2" s="1"/>
  <c r="I54" i="2" s="1"/>
  <c r="J350" i="2"/>
  <c r="J697" i="2" s="1"/>
  <c r="J493" i="2" s="1"/>
  <c r="J419" i="2" s="1"/>
  <c r="J54" i="2" s="1"/>
  <c r="C61" i="17"/>
  <c r="D61" i="17" s="1"/>
  <c r="C62" i="17"/>
  <c r="D62" i="17" s="1"/>
  <c r="C65" i="17"/>
  <c r="D65" i="17" s="1"/>
  <c r="C63" i="17"/>
  <c r="D63" i="17" s="1"/>
  <c r="C82" i="17" s="1"/>
  <c r="BN11" i="36" s="1"/>
  <c r="C64" i="17"/>
  <c r="D64" i="17" s="1"/>
  <c r="C83" i="17" s="1"/>
  <c r="BN12" i="36" s="1"/>
  <c r="E124" i="2"/>
  <c r="E138" i="2"/>
  <c r="E74" i="2"/>
  <c r="E75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5" i="2"/>
  <c r="E126" i="2"/>
  <c r="E127" i="2"/>
  <c r="E128" i="2"/>
  <c r="E129" i="2"/>
  <c r="E130" i="2"/>
  <c r="E131" i="2"/>
  <c r="E132" i="2"/>
  <c r="E134" i="2"/>
  <c r="E135" i="2"/>
  <c r="E136" i="2"/>
  <c r="E137" i="2"/>
  <c r="E364" i="2"/>
  <c r="F124" i="2"/>
  <c r="F138" i="2"/>
  <c r="F74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G119" i="2" s="1"/>
  <c r="F120" i="2"/>
  <c r="F121" i="2"/>
  <c r="F122" i="2"/>
  <c r="F123" i="2"/>
  <c r="F125" i="2"/>
  <c r="F126" i="2"/>
  <c r="F127" i="2"/>
  <c r="F128" i="2"/>
  <c r="F129" i="2"/>
  <c r="F130" i="2"/>
  <c r="F131" i="2"/>
  <c r="F132" i="2"/>
  <c r="F134" i="2"/>
  <c r="F135" i="2"/>
  <c r="F136" i="2"/>
  <c r="F207" i="2" s="1"/>
  <c r="F137" i="2"/>
  <c r="F364" i="2"/>
  <c r="H124" i="2"/>
  <c r="G124" i="2" s="1"/>
  <c r="H138" i="2"/>
  <c r="G138" i="2" s="1"/>
  <c r="H74" i="2"/>
  <c r="G74" i="2" s="1"/>
  <c r="H75" i="2"/>
  <c r="G75" i="2" s="1"/>
  <c r="H77" i="2"/>
  <c r="G77" i="2" s="1"/>
  <c r="H78" i="2"/>
  <c r="G78" i="2" s="1"/>
  <c r="H79" i="2"/>
  <c r="G79" i="2" s="1"/>
  <c r="H80" i="2"/>
  <c r="G80" i="2" s="1"/>
  <c r="H81" i="2"/>
  <c r="G81" i="2" s="1"/>
  <c r="H82" i="2"/>
  <c r="G82" i="2" s="1"/>
  <c r="H83" i="2"/>
  <c r="G83" i="2" s="1"/>
  <c r="H84" i="2"/>
  <c r="G84" i="2" s="1"/>
  <c r="H85" i="2"/>
  <c r="G85" i="2" s="1"/>
  <c r="H86" i="2"/>
  <c r="G86" i="2" s="1"/>
  <c r="H87" i="2"/>
  <c r="G87" i="2" s="1"/>
  <c r="H88" i="2"/>
  <c r="G88" i="2" s="1"/>
  <c r="H89" i="2"/>
  <c r="G89" i="2" s="1"/>
  <c r="H90" i="2"/>
  <c r="G90" i="2" s="1"/>
  <c r="H91" i="2"/>
  <c r="G91" i="2" s="1"/>
  <c r="H92" i="2"/>
  <c r="G92" i="2" s="1"/>
  <c r="H93" i="2"/>
  <c r="G93" i="2" s="1"/>
  <c r="H94" i="2"/>
  <c r="G94" i="2" s="1"/>
  <c r="H95" i="2"/>
  <c r="G95" i="2" s="1"/>
  <c r="H96" i="2"/>
  <c r="G96" i="2" s="1"/>
  <c r="H97" i="2"/>
  <c r="G97" i="2" s="1"/>
  <c r="H98" i="2"/>
  <c r="G98" i="2" s="1"/>
  <c r="H99" i="2"/>
  <c r="G99" i="2" s="1"/>
  <c r="H100" i="2"/>
  <c r="G100" i="2" s="1"/>
  <c r="H101" i="2"/>
  <c r="G101" i="2" s="1"/>
  <c r="H102" i="2"/>
  <c r="G102" i="2" s="1"/>
  <c r="H103" i="2"/>
  <c r="G103" i="2" s="1"/>
  <c r="H104" i="2"/>
  <c r="G104" i="2" s="1"/>
  <c r="H105" i="2"/>
  <c r="G105" i="2" s="1"/>
  <c r="H106" i="2"/>
  <c r="G106" i="2" s="1"/>
  <c r="H107" i="2"/>
  <c r="G107" i="2" s="1"/>
  <c r="H108" i="2"/>
  <c r="G108" i="2" s="1"/>
  <c r="H109" i="2"/>
  <c r="G109" i="2" s="1"/>
  <c r="H110" i="2"/>
  <c r="G110" i="2" s="1"/>
  <c r="H111" i="2"/>
  <c r="G111" i="2" s="1"/>
  <c r="H112" i="2"/>
  <c r="G112" i="2" s="1"/>
  <c r="H113" i="2"/>
  <c r="G113" i="2" s="1"/>
  <c r="H114" i="2"/>
  <c r="G114" i="2" s="1"/>
  <c r="H115" i="2"/>
  <c r="G115" i="2" s="1"/>
  <c r="H116" i="2"/>
  <c r="G116" i="2" s="1"/>
  <c r="H117" i="2"/>
  <c r="G117" i="2" s="1"/>
  <c r="H118" i="2"/>
  <c r="G118" i="2" s="1"/>
  <c r="H120" i="2"/>
  <c r="G120" i="2" s="1"/>
  <c r="H121" i="2"/>
  <c r="G121" i="2" s="1"/>
  <c r="H122" i="2"/>
  <c r="G122" i="2" s="1"/>
  <c r="H123" i="2"/>
  <c r="G123" i="2" s="1"/>
  <c r="H125" i="2"/>
  <c r="G125" i="2" s="1"/>
  <c r="H126" i="2"/>
  <c r="G126" i="2" s="1"/>
  <c r="H127" i="2"/>
  <c r="G127" i="2" s="1"/>
  <c r="H128" i="2"/>
  <c r="G128" i="2" s="1"/>
  <c r="H129" i="2"/>
  <c r="G129" i="2" s="1"/>
  <c r="H130" i="2"/>
  <c r="G130" i="2" s="1"/>
  <c r="H131" i="2"/>
  <c r="G131" i="2" s="1"/>
  <c r="H132" i="2"/>
  <c r="G132" i="2" s="1"/>
  <c r="H134" i="2"/>
  <c r="G134" i="2" s="1"/>
  <c r="H135" i="2"/>
  <c r="G135" i="2" s="1"/>
  <c r="H136" i="2"/>
  <c r="G136" i="2" s="1"/>
  <c r="H137" i="2"/>
  <c r="G137" i="2" s="1"/>
  <c r="G692" i="2"/>
  <c r="G488" i="2" s="1"/>
  <c r="G414" i="2" s="1"/>
  <c r="G49" i="2" s="1"/>
  <c r="G624" i="2"/>
  <c r="H364" i="2"/>
  <c r="G364" i="2" s="1"/>
  <c r="I124" i="2"/>
  <c r="I138" i="2"/>
  <c r="H119" i="2"/>
  <c r="I74" i="2"/>
  <c r="I75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5" i="2"/>
  <c r="I126" i="2"/>
  <c r="I127" i="2"/>
  <c r="I128" i="2"/>
  <c r="I129" i="2"/>
  <c r="I130" i="2"/>
  <c r="I131" i="2"/>
  <c r="I132" i="2"/>
  <c r="I134" i="2"/>
  <c r="I135" i="2"/>
  <c r="I136" i="2"/>
  <c r="I137" i="2"/>
  <c r="I364" i="2"/>
  <c r="J124" i="2"/>
  <c r="J138" i="2"/>
  <c r="J74" i="2"/>
  <c r="J75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5" i="2"/>
  <c r="J126" i="2"/>
  <c r="J127" i="2"/>
  <c r="J128" i="2"/>
  <c r="J129" i="2"/>
  <c r="J130" i="2"/>
  <c r="J131" i="2"/>
  <c r="J132" i="2"/>
  <c r="J134" i="2"/>
  <c r="J135" i="2"/>
  <c r="J136" i="2"/>
  <c r="J137" i="2"/>
  <c r="J364" i="2"/>
  <c r="E99" i="8"/>
  <c r="E95" i="8"/>
  <c r="F95" i="8" s="1"/>
  <c r="G95" i="8" s="1"/>
  <c r="E91" i="8"/>
  <c r="F91" i="8" s="1"/>
  <c r="G91" i="8" s="1"/>
  <c r="I91" i="8" s="1"/>
  <c r="J91" i="8" s="1"/>
  <c r="K91" i="8" s="1"/>
  <c r="L91" i="8" s="1"/>
  <c r="M91" i="8" s="1"/>
  <c r="N91" i="8" s="1"/>
  <c r="O91" i="8" s="1"/>
  <c r="P91" i="8" s="1"/>
  <c r="Q91" i="8" s="1"/>
  <c r="R91" i="8" s="1"/>
  <c r="S91" i="8" s="1"/>
  <c r="T91" i="8" s="1"/>
  <c r="U91" i="8" s="1"/>
  <c r="D67" i="32"/>
  <c r="D60" i="32"/>
  <c r="E60" i="32" s="1"/>
  <c r="F60" i="32" s="1"/>
  <c r="D53" i="32"/>
  <c r="E53" i="32" s="1"/>
  <c r="F53" i="32" s="1"/>
  <c r="G53" i="32" s="1"/>
  <c r="Z50" i="7"/>
  <c r="D645" i="2"/>
  <c r="E645" i="2" s="1"/>
  <c r="F645" i="2" s="1"/>
  <c r="D577" i="2"/>
  <c r="E577" i="2" s="1"/>
  <c r="F577" i="2" s="1"/>
  <c r="D509" i="2"/>
  <c r="E509" i="2" s="1"/>
  <c r="F509" i="2" s="1"/>
  <c r="H509" i="2" s="1"/>
  <c r="I509" i="2" s="1"/>
  <c r="J509" i="2" s="1"/>
  <c r="K509" i="2" s="1"/>
  <c r="L509" i="2" s="1"/>
  <c r="M509" i="2" s="1"/>
  <c r="N509" i="2" s="1"/>
  <c r="O509" i="2" s="1"/>
  <c r="P509" i="2" s="1"/>
  <c r="Q509" i="2" s="1"/>
  <c r="R509" i="2" s="1"/>
  <c r="S509" i="2" s="1"/>
  <c r="T509" i="2" s="1"/>
  <c r="D441" i="2"/>
  <c r="E441" i="2" s="1"/>
  <c r="F441" i="2" s="1"/>
  <c r="I48" i="7"/>
  <c r="I47" i="7"/>
  <c r="H47" i="7" s="1"/>
  <c r="H14" i="8" s="1"/>
  <c r="I46" i="7"/>
  <c r="H46" i="7" s="1"/>
  <c r="H13" i="8" s="1"/>
  <c r="I44" i="7"/>
  <c r="I11" i="8" s="1"/>
  <c r="I43" i="7"/>
  <c r="H43" i="7" s="1"/>
  <c r="H10" i="8" s="1"/>
  <c r="I42" i="7"/>
  <c r="H42" i="7" s="1"/>
  <c r="H9" i="8" s="1"/>
  <c r="I41" i="7"/>
  <c r="I8" i="8" s="1"/>
  <c r="I40" i="7"/>
  <c r="I7" i="8" s="1"/>
  <c r="F46" i="7"/>
  <c r="F13" i="8" s="1"/>
  <c r="G46" i="7"/>
  <c r="G13" i="8" s="1"/>
  <c r="J46" i="7"/>
  <c r="J13" i="8" s="1"/>
  <c r="F47" i="7"/>
  <c r="F14" i="8" s="1"/>
  <c r="G47" i="7"/>
  <c r="G14" i="8" s="1"/>
  <c r="J47" i="7"/>
  <c r="J14" i="8" s="1"/>
  <c r="F48" i="7"/>
  <c r="F15" i="8" s="1"/>
  <c r="G48" i="7"/>
  <c r="G15" i="8" s="1"/>
  <c r="J48" i="7"/>
  <c r="J15" i="8" s="1"/>
  <c r="D6" i="8"/>
  <c r="C40" i="7"/>
  <c r="D40" i="7" s="1"/>
  <c r="D7" i="8" s="1"/>
  <c r="C41" i="7"/>
  <c r="C42" i="7"/>
  <c r="D42" i="7" s="1"/>
  <c r="D9" i="8" s="1"/>
  <c r="C43" i="7"/>
  <c r="D43" i="7" s="1"/>
  <c r="C44" i="7"/>
  <c r="D44" i="7" s="1"/>
  <c r="D11" i="8" s="1"/>
  <c r="C46" i="7"/>
  <c r="D46" i="7" s="1"/>
  <c r="D13" i="8" s="1"/>
  <c r="C47" i="7"/>
  <c r="D47" i="7" s="1"/>
  <c r="D14" i="8" s="1"/>
  <c r="C48" i="7"/>
  <c r="D48" i="7" s="1"/>
  <c r="D15" i="8" s="1"/>
  <c r="J40" i="7"/>
  <c r="J42" i="7"/>
  <c r="J9" i="8" s="1"/>
  <c r="J43" i="7"/>
  <c r="J10" i="8" s="1"/>
  <c r="J44" i="7"/>
  <c r="J11" i="8" s="1"/>
  <c r="G40" i="7"/>
  <c r="G7" i="8" s="1"/>
  <c r="G41" i="7"/>
  <c r="G8" i="8" s="1"/>
  <c r="G42" i="7"/>
  <c r="G9" i="8" s="1"/>
  <c r="G43" i="7"/>
  <c r="G10" i="8" s="1"/>
  <c r="G44" i="7"/>
  <c r="G11" i="8" s="1"/>
  <c r="F40" i="7"/>
  <c r="F41" i="7"/>
  <c r="F8" i="8" s="1"/>
  <c r="F42" i="7"/>
  <c r="F9" i="8" s="1"/>
  <c r="F43" i="7"/>
  <c r="F10" i="8" s="1"/>
  <c r="F44" i="7"/>
  <c r="F11" i="8" s="1"/>
  <c r="E40" i="7"/>
  <c r="E7" i="8" s="1"/>
  <c r="E41" i="7"/>
  <c r="E8" i="8" s="1"/>
  <c r="E42" i="7"/>
  <c r="E9" i="8" s="1"/>
  <c r="E43" i="7"/>
  <c r="E10" i="8" s="1"/>
  <c r="E44" i="7"/>
  <c r="E11" i="8" s="1"/>
  <c r="E46" i="7"/>
  <c r="E13" i="8" s="1"/>
  <c r="E47" i="7"/>
  <c r="E14" i="8" s="1"/>
  <c r="E48" i="7"/>
  <c r="E15" i="8" s="1"/>
  <c r="J6" i="8"/>
  <c r="I6" i="8"/>
  <c r="H6" i="8"/>
  <c r="G6" i="8"/>
  <c r="F6" i="8"/>
  <c r="E6" i="8"/>
  <c r="I18" i="5"/>
  <c r="D12" i="32"/>
  <c r="E12" i="32"/>
  <c r="F12" i="32"/>
  <c r="G12" i="32"/>
  <c r="H12" i="32"/>
  <c r="I12" i="32"/>
  <c r="D11" i="32"/>
  <c r="E11" i="32"/>
  <c r="E13" i="32" s="1"/>
  <c r="F11" i="32"/>
  <c r="G11" i="32"/>
  <c r="H11" i="32"/>
  <c r="I11" i="32"/>
  <c r="C10" i="32"/>
  <c r="D4" i="32"/>
  <c r="D10" i="32" s="1"/>
  <c r="C60" i="17"/>
  <c r="G55" i="17"/>
  <c r="F55" i="17"/>
  <c r="E55" i="17"/>
  <c r="D55" i="17"/>
  <c r="C55" i="17"/>
  <c r="G30" i="17"/>
  <c r="G31" i="17"/>
  <c r="G32" i="17"/>
  <c r="G33" i="17"/>
  <c r="G34" i="17"/>
  <c r="G40" i="17" s="1"/>
  <c r="G35" i="17"/>
  <c r="G36" i="17"/>
  <c r="G37" i="17"/>
  <c r="G38" i="17"/>
  <c r="F40" i="17"/>
  <c r="E40" i="17"/>
  <c r="D40" i="17"/>
  <c r="C40" i="17"/>
  <c r="C12" i="17"/>
  <c r="C14" i="17"/>
  <c r="C13" i="17"/>
  <c r="C15" i="17"/>
  <c r="C16" i="17"/>
  <c r="C17" i="17"/>
  <c r="C18" i="17"/>
  <c r="C19" i="17"/>
  <c r="C22" i="17" s="1"/>
  <c r="C20" i="17"/>
  <c r="P13" i="17"/>
  <c r="P14" i="17"/>
  <c r="P15" i="17"/>
  <c r="P16" i="17"/>
  <c r="P17" i="17"/>
  <c r="O22" i="17"/>
  <c r="N22" i="17"/>
  <c r="M22" i="17"/>
  <c r="L22" i="17"/>
  <c r="J20" i="17"/>
  <c r="J19" i="17"/>
  <c r="J18" i="17"/>
  <c r="J17" i="17"/>
  <c r="J16" i="17"/>
  <c r="J15" i="17"/>
  <c r="J14" i="17"/>
  <c r="J13" i="17"/>
  <c r="J12" i="17"/>
  <c r="F22" i="17"/>
  <c r="G22" i="17"/>
  <c r="H22" i="17"/>
  <c r="I22" i="17"/>
  <c r="F5" i="8"/>
  <c r="G5" i="8" s="1"/>
  <c r="H5" i="8" s="1"/>
  <c r="B6" i="8"/>
  <c r="B29" i="8" s="1"/>
  <c r="B7" i="8"/>
  <c r="B47" i="8" s="1"/>
  <c r="B62" i="8" s="1"/>
  <c r="B8" i="8"/>
  <c r="B9" i="8"/>
  <c r="B32" i="8" s="1"/>
  <c r="B10" i="8"/>
  <c r="B50" i="8" s="1"/>
  <c r="B65" i="8" s="1"/>
  <c r="B11" i="8"/>
  <c r="B12" i="8"/>
  <c r="B52" i="8" s="1"/>
  <c r="B67" i="8" s="1"/>
  <c r="B13" i="8"/>
  <c r="B53" i="8" s="1"/>
  <c r="B68" i="8" s="1"/>
  <c r="B14" i="8"/>
  <c r="B37" i="8" s="1"/>
  <c r="B15" i="8"/>
  <c r="B55" i="8" s="1"/>
  <c r="B70" i="8" s="1"/>
  <c r="B16" i="8"/>
  <c r="F20" i="8"/>
  <c r="G20" i="8" s="1"/>
  <c r="H20" i="8" s="1"/>
  <c r="F28" i="8"/>
  <c r="G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F45" i="8"/>
  <c r="G45" i="8" s="1"/>
  <c r="I45" i="8" s="1"/>
  <c r="J45" i="8" s="1"/>
  <c r="K45" i="8" s="1"/>
  <c r="L45" i="8" s="1"/>
  <c r="M45" i="8" s="1"/>
  <c r="N45" i="8" s="1"/>
  <c r="O45" i="8" s="1"/>
  <c r="P45" i="8" s="1"/>
  <c r="Q45" i="8" s="1"/>
  <c r="R45" i="8" s="1"/>
  <c r="S45" i="8" s="1"/>
  <c r="T45" i="8" s="1"/>
  <c r="U45" i="8" s="1"/>
  <c r="F60" i="8"/>
  <c r="G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E75" i="8"/>
  <c r="F75" i="8" s="1"/>
  <c r="G75" i="8" s="1"/>
  <c r="I75" i="8" s="1"/>
  <c r="J75" i="8" s="1"/>
  <c r="K75" i="8" s="1"/>
  <c r="L75" i="8" s="1"/>
  <c r="M75" i="8" s="1"/>
  <c r="N75" i="8" s="1"/>
  <c r="O75" i="8" s="1"/>
  <c r="P75" i="8" s="1"/>
  <c r="Q75" i="8" s="1"/>
  <c r="R75" i="8" s="1"/>
  <c r="S75" i="8" s="1"/>
  <c r="T75" i="8" s="1"/>
  <c r="U75" i="8" s="1"/>
  <c r="E79" i="8"/>
  <c r="F79" i="8" s="1"/>
  <c r="G79" i="8" s="1"/>
  <c r="E83" i="8"/>
  <c r="F37" i="7"/>
  <c r="G37" i="7" s="1"/>
  <c r="I37" i="7" s="1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D17" i="32"/>
  <c r="E17" i="32" s="1"/>
  <c r="F17" i="32" s="1"/>
  <c r="G17" i="32" s="1"/>
  <c r="D23" i="32"/>
  <c r="E23" i="32" s="1"/>
  <c r="F23" i="32" s="1"/>
  <c r="D29" i="32"/>
  <c r="E29" i="32" s="1"/>
  <c r="F29" i="32" s="1"/>
  <c r="G29" i="32" s="1"/>
  <c r="D35" i="32"/>
  <c r="E35" i="32" s="1"/>
  <c r="F35" i="32" s="1"/>
  <c r="G35" i="32" s="1"/>
  <c r="D42" i="32"/>
  <c r="E42" i="32" s="1"/>
  <c r="F42" i="32" s="1"/>
  <c r="D3" i="2"/>
  <c r="E3" i="2" s="1"/>
  <c r="F3" i="2" s="1"/>
  <c r="D25" i="9"/>
  <c r="E25" i="9" s="1"/>
  <c r="F25" i="9" s="1"/>
  <c r="H25" i="9"/>
  <c r="I25" i="9" s="1"/>
  <c r="J25" i="9" s="1"/>
  <c r="K25" i="9" s="1"/>
  <c r="L25" i="9" s="1"/>
  <c r="M25" i="9" s="1"/>
  <c r="N25" i="9" s="1"/>
  <c r="O25" i="9" s="1"/>
  <c r="P25" i="9" s="1"/>
  <c r="Q25" i="9" s="1"/>
  <c r="R25" i="9" s="1"/>
  <c r="S25" i="9" s="1"/>
  <c r="H62" i="9"/>
  <c r="I62" i="9" s="1"/>
  <c r="J62" i="9" s="1"/>
  <c r="K62" i="9" s="1"/>
  <c r="L62" i="9" s="1"/>
  <c r="M62" i="9" s="1"/>
  <c r="N62" i="9" s="1"/>
  <c r="O62" i="9" s="1"/>
  <c r="P62" i="9" s="1"/>
  <c r="Q62" i="9" s="1"/>
  <c r="R62" i="9" s="1"/>
  <c r="S62" i="9" s="1"/>
  <c r="D32" i="9"/>
  <c r="E32" i="9" s="1"/>
  <c r="F32" i="9" s="1"/>
  <c r="D73" i="2"/>
  <c r="E73" i="2" s="1"/>
  <c r="F73" i="2" s="1"/>
  <c r="D144" i="2"/>
  <c r="E144" i="2" s="1"/>
  <c r="F144" i="2" s="1"/>
  <c r="H144" i="2" s="1"/>
  <c r="I144" i="2" s="1"/>
  <c r="J144" i="2" s="1"/>
  <c r="K144" i="2" s="1"/>
  <c r="L144" i="2" s="1"/>
  <c r="M144" i="2" s="1"/>
  <c r="N144" i="2" s="1"/>
  <c r="O144" i="2" s="1"/>
  <c r="P144" i="2" s="1"/>
  <c r="Q144" i="2" s="1"/>
  <c r="R144" i="2" s="1"/>
  <c r="S144" i="2" s="1"/>
  <c r="T144" i="2" s="1"/>
  <c r="D211" i="2"/>
  <c r="E211" i="2" s="1"/>
  <c r="F211" i="2" s="1"/>
  <c r="H211" i="2" s="1"/>
  <c r="I211" i="2" s="1"/>
  <c r="J211" i="2" s="1"/>
  <c r="K211" i="2" s="1"/>
  <c r="L211" i="2" s="1"/>
  <c r="M211" i="2" s="1"/>
  <c r="N211" i="2" s="1"/>
  <c r="O211" i="2" s="1"/>
  <c r="P211" i="2" s="1"/>
  <c r="Q211" i="2" s="1"/>
  <c r="R211" i="2" s="1"/>
  <c r="S211" i="2" s="1"/>
  <c r="T211" i="2" s="1"/>
  <c r="D280" i="2"/>
  <c r="E280" i="2" s="1"/>
  <c r="F280" i="2" s="1"/>
  <c r="D284" i="2"/>
  <c r="E284" i="2" s="1"/>
  <c r="F284" i="2" s="1"/>
  <c r="H284" i="2" s="1"/>
  <c r="I284" i="2" s="1"/>
  <c r="J284" i="2" s="1"/>
  <c r="K284" i="2" s="1"/>
  <c r="L284" i="2" s="1"/>
  <c r="M284" i="2" s="1"/>
  <c r="N284" i="2" s="1"/>
  <c r="O284" i="2" s="1"/>
  <c r="P284" i="2" s="1"/>
  <c r="Q284" i="2" s="1"/>
  <c r="R284" i="2" s="1"/>
  <c r="S284" i="2" s="1"/>
  <c r="T284" i="2" s="1"/>
  <c r="D288" i="2"/>
  <c r="E288" i="2" s="1"/>
  <c r="F288" i="2" s="1"/>
  <c r="G288" i="2" s="1"/>
  <c r="E291" i="2"/>
  <c r="F291" i="2" s="1"/>
  <c r="D299" i="2"/>
  <c r="E299" i="2" s="1"/>
  <c r="F299" i="2" s="1"/>
  <c r="D368" i="2"/>
  <c r="E368" i="2" s="1"/>
  <c r="F368" i="2" s="1"/>
  <c r="M4" i="35"/>
  <c r="B2" i="36"/>
  <c r="J49" i="7"/>
  <c r="J16" i="8" s="1"/>
  <c r="F49" i="7"/>
  <c r="F16" i="8" s="1"/>
  <c r="I18" i="7"/>
  <c r="N18" i="7"/>
  <c r="G49" i="7"/>
  <c r="G16" i="8" s="1"/>
  <c r="O18" i="7"/>
  <c r="E18" i="7"/>
  <c r="K18" i="7"/>
  <c r="P49" i="7"/>
  <c r="P16" i="8" s="1"/>
  <c r="C49" i="7"/>
  <c r="D49" i="7" s="1"/>
  <c r="D16" i="8" s="1"/>
  <c r="L18" i="7"/>
  <c r="M18" i="7"/>
  <c r="AE89" i="1"/>
  <c r="Q306" i="2"/>
  <c r="Q318" i="2"/>
  <c r="Q665" i="2" s="1"/>
  <c r="Q322" i="2"/>
  <c r="Q669" i="2" s="1"/>
  <c r="Q326" i="2"/>
  <c r="Q537" i="2" s="1"/>
  <c r="Q338" i="2"/>
  <c r="Q342" i="2"/>
  <c r="Q553" i="2" s="1"/>
  <c r="Q346" i="2"/>
  <c r="Q693" i="2" s="1"/>
  <c r="Q350" i="2"/>
  <c r="Q697" i="2" s="1"/>
  <c r="Q493" i="2" s="1"/>
  <c r="Q419" i="2" s="1"/>
  <c r="Q54" i="2" s="1"/>
  <c r="Q354" i="2"/>
  <c r="Q633" i="2" s="1"/>
  <c r="Q358" i="2"/>
  <c r="Q637" i="2" s="1"/>
  <c r="Q362" i="2"/>
  <c r="Q709" i="2" s="1"/>
  <c r="Q315" i="2"/>
  <c r="Q319" i="2"/>
  <c r="Q666" i="2" s="1"/>
  <c r="Q335" i="2"/>
  <c r="Q614" i="2" s="1"/>
  <c r="Q339" i="2"/>
  <c r="Q618" i="2" s="1"/>
  <c r="Q343" i="2"/>
  <c r="Q347" i="2"/>
  <c r="Q694" i="2" s="1"/>
  <c r="Q355" i="2"/>
  <c r="Q634" i="2" s="1"/>
  <c r="Q363" i="2"/>
  <c r="Q710" i="2" s="1"/>
  <c r="AS71" i="36"/>
  <c r="P11" i="34"/>
  <c r="O11" i="34"/>
  <c r="N4" i="35"/>
  <c r="AT71" i="36"/>
  <c r="R6" i="7"/>
  <c r="R6" i="8"/>
  <c r="Q655" i="2"/>
  <c r="E683" i="2"/>
  <c r="Q584" i="2"/>
  <c r="P684" i="2"/>
  <c r="Q670" i="2"/>
  <c r="P536" i="2"/>
  <c r="M613" i="2"/>
  <c r="M642" i="2"/>
  <c r="M506" i="2" s="1"/>
  <c r="M432" i="2" s="1"/>
  <c r="M67" i="2" s="1"/>
  <c r="P607" i="2"/>
  <c r="Q14" i="5"/>
  <c r="Q516" i="2"/>
  <c r="P598" i="2"/>
  <c r="N549" i="2"/>
  <c r="M631" i="2"/>
  <c r="M495" i="2" s="1"/>
  <c r="M421" i="2" s="1"/>
  <c r="M56" i="2" s="1"/>
  <c r="E635" i="2"/>
  <c r="D633" i="2"/>
  <c r="D497" i="2" s="1"/>
  <c r="D423" i="2" s="1"/>
  <c r="D58" i="2" s="1"/>
  <c r="O551" i="2"/>
  <c r="D681" i="2"/>
  <c r="K641" i="2"/>
  <c r="K505" i="2" s="1"/>
  <c r="K431" i="2" s="1"/>
  <c r="K66" i="2" s="1"/>
  <c r="N700" i="2"/>
  <c r="N632" i="2"/>
  <c r="L627" i="2"/>
  <c r="L491" i="2" s="1"/>
  <c r="L417" i="2" s="1"/>
  <c r="L52" i="2" s="1"/>
  <c r="P652" i="2"/>
  <c r="P516" i="2"/>
  <c r="Q612" i="2"/>
  <c r="Q544" i="2"/>
  <c r="H615" i="2"/>
  <c r="H547" i="2"/>
  <c r="O633" i="2"/>
  <c r="M602" i="2"/>
  <c r="K656" i="2"/>
  <c r="O516" i="2"/>
  <c r="P616" i="2"/>
  <c r="P692" i="2"/>
  <c r="P701" i="2"/>
  <c r="P497" i="2" s="1"/>
  <c r="P423" i="2" s="1"/>
  <c r="P58" i="2" s="1"/>
  <c r="Q40" i="5"/>
  <c r="Q42" i="5" s="1"/>
  <c r="D630" i="2"/>
  <c r="D494" i="2" s="1"/>
  <c r="D420" i="2" s="1"/>
  <c r="D55" i="2" s="1"/>
  <c r="H583" i="2"/>
  <c r="P541" i="2"/>
  <c r="Q589" i="2"/>
  <c r="P549" i="2"/>
  <c r="Q677" i="2"/>
  <c r="P708" i="2"/>
  <c r="P504" i="2" s="1"/>
  <c r="P430" i="2" s="1"/>
  <c r="P65" i="2" s="1"/>
  <c r="P584" i="2"/>
  <c r="P700" i="2"/>
  <c r="M637" i="2"/>
  <c r="M501" i="2" s="1"/>
  <c r="M427" i="2" s="1"/>
  <c r="M62" i="2" s="1"/>
  <c r="L607" i="2"/>
  <c r="L653" i="2"/>
  <c r="M650" i="2"/>
  <c r="N585" i="2"/>
  <c r="E623" i="2"/>
  <c r="E487" i="2" s="1"/>
  <c r="E413" i="2" s="1"/>
  <c r="E48" i="2" s="1"/>
  <c r="J535" i="2"/>
  <c r="E674" i="2"/>
  <c r="H598" i="2"/>
  <c r="F705" i="2"/>
  <c r="F501" i="2" s="1"/>
  <c r="F427" i="2" s="1"/>
  <c r="F62" i="2" s="1"/>
  <c r="Q639" i="2"/>
  <c r="Q503" i="2" s="1"/>
  <c r="Q429" i="2" s="1"/>
  <c r="Q64" i="2" s="1"/>
  <c r="H686" i="2"/>
  <c r="D584" i="2"/>
  <c r="F540" i="2"/>
  <c r="H654" i="2"/>
  <c r="H699" i="2"/>
  <c r="H495" i="2" s="1"/>
  <c r="H421" i="2" s="1"/>
  <c r="H56" i="2" s="1"/>
  <c r="F701" i="2"/>
  <c r="F647" i="2"/>
  <c r="D664" i="2"/>
  <c r="I592" i="2"/>
  <c r="C582" i="2"/>
  <c r="H603" i="2"/>
  <c r="P702" i="2"/>
  <c r="P498" i="2" s="1"/>
  <c r="P424" i="2" s="1"/>
  <c r="P59" i="2" s="1"/>
  <c r="E590" i="2"/>
  <c r="E526" i="2"/>
  <c r="P699" i="2"/>
  <c r="P495" i="2" s="1"/>
  <c r="P421" i="2" s="1"/>
  <c r="P56" i="2" s="1"/>
  <c r="D637" i="2"/>
  <c r="E610" i="2"/>
  <c r="H602" i="2"/>
  <c r="D641" i="2"/>
  <c r="F664" i="2"/>
  <c r="H530" i="2"/>
  <c r="H462" i="2" s="1"/>
  <c r="H388" i="2" s="1"/>
  <c r="H23" i="2" s="1"/>
  <c r="I684" i="2"/>
  <c r="K583" i="2"/>
  <c r="F584" i="2"/>
  <c r="J611" i="2"/>
  <c r="H586" i="2"/>
  <c r="C525" i="2"/>
  <c r="M648" i="2"/>
  <c r="M444" i="2" s="1"/>
  <c r="M370" i="2" s="1"/>
  <c r="M5" i="2" s="1"/>
  <c r="C702" i="2"/>
  <c r="C634" i="2"/>
  <c r="C653" i="2"/>
  <c r="J640" i="2"/>
  <c r="J708" i="2"/>
  <c r="I696" i="2"/>
  <c r="I492" i="2" s="1"/>
  <c r="I418" i="2" s="1"/>
  <c r="I53" i="2" s="1"/>
  <c r="I596" i="2"/>
  <c r="I528" i="2"/>
  <c r="H514" i="2"/>
  <c r="G303" i="2"/>
  <c r="G650" i="2" s="1"/>
  <c r="F631" i="2"/>
  <c r="F495" i="2" s="1"/>
  <c r="F421" i="2" s="1"/>
  <c r="F56" i="2" s="1"/>
  <c r="E707" i="2"/>
  <c r="L694" i="2"/>
  <c r="L690" i="2"/>
  <c r="N688" i="2"/>
  <c r="N684" i="2"/>
  <c r="N548" i="2"/>
  <c r="M537" i="2"/>
  <c r="B87" i="35"/>
  <c r="C16" i="34" s="1"/>
  <c r="C41" i="34" s="1"/>
  <c r="C54" i="34" s="1"/>
  <c r="E658" i="2"/>
  <c r="E662" i="2"/>
  <c r="P521" i="2"/>
  <c r="P453" i="2" s="1"/>
  <c r="P379" i="2" s="1"/>
  <c r="P14" i="2" s="1"/>
  <c r="K619" i="2"/>
  <c r="J671" i="2"/>
  <c r="H534" i="2"/>
  <c r="J511" i="2"/>
  <c r="E538" i="2"/>
  <c r="E542" i="2"/>
  <c r="F608" i="2"/>
  <c r="H582" i="2"/>
  <c r="H446" i="2" s="1"/>
  <c r="H372" i="2" s="1"/>
  <c r="H7" i="2" s="1"/>
  <c r="G307" i="2"/>
  <c r="G352" i="2"/>
  <c r="G631" i="2" s="1"/>
  <c r="J627" i="2"/>
  <c r="J491" i="2" s="1"/>
  <c r="J417" i="2" s="1"/>
  <c r="J52" i="2" s="1"/>
  <c r="G323" i="2"/>
  <c r="G670" i="2" s="1"/>
  <c r="H610" i="2"/>
  <c r="K708" i="2"/>
  <c r="F528" i="2"/>
  <c r="D652" i="2"/>
  <c r="G319" i="2"/>
  <c r="I692" i="2"/>
  <c r="I488" i="2" s="1"/>
  <c r="I414" i="2" s="1"/>
  <c r="I49" i="2" s="1"/>
  <c r="M617" i="2"/>
  <c r="I616" i="2"/>
  <c r="F579" i="2"/>
  <c r="F652" i="2"/>
  <c r="C585" i="2"/>
  <c r="E690" i="2"/>
  <c r="E486" i="2" s="1"/>
  <c r="E412" i="2" s="1"/>
  <c r="E47" i="2" s="1"/>
  <c r="I660" i="2"/>
  <c r="K700" i="2"/>
  <c r="K496" i="2" s="1"/>
  <c r="K422" i="2" s="1"/>
  <c r="K57" i="2" s="1"/>
  <c r="H678" i="2"/>
  <c r="C698" i="2"/>
  <c r="C494" i="2" s="1"/>
  <c r="C420" i="2" s="1"/>
  <c r="C55" i="2" s="1"/>
  <c r="K704" i="2"/>
  <c r="K500" i="2" s="1"/>
  <c r="K426" i="2" s="1"/>
  <c r="K61" i="2" s="1"/>
  <c r="M706" i="2"/>
  <c r="K519" i="2"/>
  <c r="O659" i="2"/>
  <c r="O455" i="2" s="1"/>
  <c r="O381" i="2" s="1"/>
  <c r="O16" i="2" s="1"/>
  <c r="N584" i="2"/>
  <c r="L639" i="2"/>
  <c r="L707" i="2"/>
  <c r="M702" i="2"/>
  <c r="M634" i="2"/>
  <c r="L696" i="2"/>
  <c r="M691" i="2"/>
  <c r="M687" i="2"/>
  <c r="K685" i="2"/>
  <c r="O547" i="2"/>
  <c r="O615" i="2"/>
  <c r="O479" i="2" s="1"/>
  <c r="O405" i="2" s="1"/>
  <c r="O40" i="2" s="1"/>
  <c r="L614" i="2"/>
  <c r="L610" i="2"/>
  <c r="L542" i="2"/>
  <c r="L536" i="2"/>
  <c r="O671" i="2"/>
  <c r="O603" i="2"/>
  <c r="K599" i="2"/>
  <c r="L598" i="2"/>
  <c r="L666" i="2"/>
  <c r="O597" i="2"/>
  <c r="N664" i="2"/>
  <c r="O527" i="2"/>
  <c r="O663" i="2"/>
  <c r="K527" i="2"/>
  <c r="K663" i="2"/>
  <c r="M525" i="2"/>
  <c r="K525" i="2"/>
  <c r="N524" i="2"/>
  <c r="L590" i="2"/>
  <c r="L658" i="2"/>
  <c r="M657" i="2"/>
  <c r="L520" i="2"/>
  <c r="O519" i="2"/>
  <c r="L518" i="2"/>
  <c r="L586" i="2"/>
  <c r="M653" i="2"/>
  <c r="M585" i="2"/>
  <c r="M449" i="2" s="1"/>
  <c r="M375" i="2" s="1"/>
  <c r="M10" i="2" s="1"/>
  <c r="O651" i="2"/>
  <c r="O583" i="2"/>
  <c r="O515" i="2"/>
  <c r="L514" i="2"/>
  <c r="L582" i="2"/>
  <c r="Q535" i="2"/>
  <c r="P653" i="2"/>
  <c r="P589" i="2"/>
  <c r="P626" i="2"/>
  <c r="M681" i="2"/>
  <c r="K551" i="2"/>
  <c r="O632" i="2"/>
  <c r="O496" i="2" s="1"/>
  <c r="O422" i="2" s="1"/>
  <c r="O57" i="2" s="1"/>
  <c r="J579" i="2"/>
  <c r="O523" i="2"/>
  <c r="L699" i="2"/>
  <c r="L495" i="2" s="1"/>
  <c r="L421" i="2" s="1"/>
  <c r="L56" i="2" s="1"/>
  <c r="L656" i="2"/>
  <c r="N709" i="2"/>
  <c r="N505" i="2" s="1"/>
  <c r="N431" i="2" s="1"/>
  <c r="N66" i="2" s="1"/>
  <c r="O708" i="2"/>
  <c r="O504" i="2" s="1"/>
  <c r="O430" i="2" s="1"/>
  <c r="O65" i="2" s="1"/>
  <c r="M693" i="2"/>
  <c r="M667" i="2"/>
  <c r="M704" i="2"/>
  <c r="M500" i="2" s="1"/>
  <c r="M426" i="2" s="1"/>
  <c r="M61" i="2" s="1"/>
  <c r="O681" i="2"/>
  <c r="M521" i="2"/>
  <c r="M529" i="2"/>
  <c r="L635" i="2"/>
  <c r="L499" i="2" s="1"/>
  <c r="L425" i="2" s="1"/>
  <c r="L60" i="2" s="1"/>
  <c r="M615" i="2"/>
  <c r="N620" i="2"/>
  <c r="O535" i="2"/>
  <c r="M673" i="2"/>
  <c r="M630" i="2"/>
  <c r="M494" i="2" s="1"/>
  <c r="M420" i="2" s="1"/>
  <c r="M55" i="2" s="1"/>
  <c r="O704" i="2"/>
  <c r="L650" i="2"/>
  <c r="N701" i="2"/>
  <c r="K667" i="2"/>
  <c r="N705" i="2"/>
  <c r="N501" i="2" s="1"/>
  <c r="N427" i="2" s="1"/>
  <c r="N62" i="2" s="1"/>
  <c r="O627" i="2"/>
  <c r="O491" i="2" s="1"/>
  <c r="O417" i="2" s="1"/>
  <c r="O52" i="2" s="1"/>
  <c r="N518" i="2"/>
  <c r="F102" i="36"/>
  <c r="G102" i="36" s="1"/>
  <c r="H102" i="36" s="1"/>
  <c r="J102" i="36" s="1"/>
  <c r="K102" i="36" s="1"/>
  <c r="L102" i="36" s="1"/>
  <c r="M102" i="36" s="1"/>
  <c r="N102" i="36" s="1"/>
  <c r="O102" i="36" s="1"/>
  <c r="P102" i="36" s="1"/>
  <c r="Q102" i="36" s="1"/>
  <c r="R102" i="36" s="1"/>
  <c r="S102" i="36" s="1"/>
  <c r="T102" i="36" s="1"/>
  <c r="U102" i="36" s="1"/>
  <c r="V102" i="36" s="1"/>
  <c r="K627" i="2"/>
  <c r="K651" i="2"/>
  <c r="K587" i="2"/>
  <c r="O667" i="2"/>
  <c r="B54" i="8"/>
  <c r="B69" i="8" s="1"/>
  <c r="C710" i="2"/>
  <c r="C642" i="2"/>
  <c r="J528" i="2"/>
  <c r="J664" i="2"/>
  <c r="I685" i="2"/>
  <c r="I617" i="2"/>
  <c r="I589" i="2"/>
  <c r="I657" i="2"/>
  <c r="F589" i="2"/>
  <c r="F657" i="2"/>
  <c r="F521" i="2"/>
  <c r="E603" i="2"/>
  <c r="E535" i="2"/>
  <c r="D553" i="2"/>
  <c r="D485" i="2" s="1"/>
  <c r="D411" i="2" s="1"/>
  <c r="D46" i="2" s="1"/>
  <c r="D689" i="2"/>
  <c r="D601" i="2"/>
  <c r="D669" i="2"/>
  <c r="I13" i="8"/>
  <c r="F27" i="5"/>
  <c r="F29" i="5" s="1"/>
  <c r="F26" i="5"/>
  <c r="F28" i="5" s="1"/>
  <c r="L27" i="5"/>
  <c r="L29" i="5" s="1"/>
  <c r="L26" i="5"/>
  <c r="L28" i="5" s="1"/>
  <c r="C689" i="2"/>
  <c r="C681" i="2"/>
  <c r="C679" i="2"/>
  <c r="C529" i="2"/>
  <c r="C665" i="2"/>
  <c r="C597" i="2"/>
  <c r="C589" i="2"/>
  <c r="C657" i="2"/>
  <c r="J704" i="2"/>
  <c r="J636" i="2"/>
  <c r="J619" i="2"/>
  <c r="J687" i="2"/>
  <c r="J551" i="2"/>
  <c r="J547" i="2"/>
  <c r="J683" i="2"/>
  <c r="J607" i="2"/>
  <c r="J539" i="2"/>
  <c r="J675" i="2"/>
  <c r="J663" i="2"/>
  <c r="J595" i="2"/>
  <c r="J591" i="2"/>
  <c r="J523" i="2"/>
  <c r="J655" i="2"/>
  <c r="J519" i="2"/>
  <c r="J515" i="2"/>
  <c r="J447" i="2" s="1"/>
  <c r="J373" i="2" s="1"/>
  <c r="J8" i="2" s="1"/>
  <c r="J651" i="2"/>
  <c r="I709" i="2"/>
  <c r="I641" i="2"/>
  <c r="I637" i="2"/>
  <c r="I705" i="2"/>
  <c r="I688" i="2"/>
  <c r="I552" i="2"/>
  <c r="I620" i="2"/>
  <c r="I612" i="2"/>
  <c r="I680" i="2"/>
  <c r="I676" i="2"/>
  <c r="I540" i="2"/>
  <c r="I604" i="2"/>
  <c r="I536" i="2"/>
  <c r="I590" i="2"/>
  <c r="I516" i="2"/>
  <c r="I584" i="2"/>
  <c r="I647" i="2"/>
  <c r="I511" i="2"/>
  <c r="H635" i="2"/>
  <c r="H499" i="2" s="1"/>
  <c r="H425" i="2" s="1"/>
  <c r="H60" i="2" s="1"/>
  <c r="G356" i="2"/>
  <c r="G347" i="2"/>
  <c r="G694" i="2" s="1"/>
  <c r="H626" i="2"/>
  <c r="H490" i="2" s="1"/>
  <c r="H416" i="2" s="1"/>
  <c r="H51" i="2" s="1"/>
  <c r="H618" i="2"/>
  <c r="H550" i="2"/>
  <c r="H546" i="2"/>
  <c r="G327" i="2"/>
  <c r="H606" i="2"/>
  <c r="H674" i="2"/>
  <c r="H668" i="2"/>
  <c r="H522" i="2"/>
  <c r="H454" i="2" s="1"/>
  <c r="H380" i="2" s="1"/>
  <c r="H15" i="2" s="1"/>
  <c r="H658" i="2"/>
  <c r="G311" i="2"/>
  <c r="G590" i="2" s="1"/>
  <c r="F709" i="2"/>
  <c r="F641" i="2"/>
  <c r="F552" i="2"/>
  <c r="F688" i="2"/>
  <c r="F620" i="2"/>
  <c r="F680" i="2"/>
  <c r="F612" i="2"/>
  <c r="F604" i="2"/>
  <c r="F536" i="2"/>
  <c r="F532" i="2"/>
  <c r="F668" i="2"/>
  <c r="F600" i="2"/>
  <c r="F592" i="2"/>
  <c r="F524" i="2"/>
  <c r="F660" i="2"/>
  <c r="F520" i="2"/>
  <c r="F656" i="2"/>
  <c r="F588" i="2"/>
  <c r="E550" i="2"/>
  <c r="E618" i="2"/>
  <c r="E682" i="2"/>
  <c r="E546" i="2"/>
  <c r="E602" i="2"/>
  <c r="E466" i="2" s="1"/>
  <c r="E392" i="2" s="1"/>
  <c r="E27" i="2" s="1"/>
  <c r="E534" i="2"/>
  <c r="E598" i="2"/>
  <c r="E666" i="2"/>
  <c r="E528" i="2"/>
  <c r="E518" i="2"/>
  <c r="E654" i="2"/>
  <c r="E582" i="2"/>
  <c r="E446" i="2" s="1"/>
  <c r="E372" i="2" s="1"/>
  <c r="E7" i="2" s="1"/>
  <c r="E650" i="2"/>
  <c r="D628" i="2"/>
  <c r="D696" i="2"/>
  <c r="D624" i="2"/>
  <c r="D692" i="2"/>
  <c r="D620" i="2"/>
  <c r="D688" i="2"/>
  <c r="D552" i="2"/>
  <c r="D484" i="2" s="1"/>
  <c r="D410" i="2" s="1"/>
  <c r="D45" i="2" s="1"/>
  <c r="D668" i="2"/>
  <c r="D532" i="2"/>
  <c r="D600" i="2"/>
  <c r="D592" i="2"/>
  <c r="D524" i="2"/>
  <c r="D588" i="2"/>
  <c r="D520" i="2"/>
  <c r="D647" i="2"/>
  <c r="D443" i="2" s="1"/>
  <c r="D369" i="2" s="1"/>
  <c r="D4" i="2" s="1"/>
  <c r="D579" i="2"/>
  <c r="D511" i="2"/>
  <c r="L708" i="2"/>
  <c r="C648" i="2"/>
  <c r="C621" i="2"/>
  <c r="J587" i="2"/>
  <c r="J543" i="2"/>
  <c r="J475" i="2" s="1"/>
  <c r="J401" i="2" s="1"/>
  <c r="J36" i="2" s="1"/>
  <c r="H542" i="2"/>
  <c r="I650" i="2"/>
  <c r="I608" i="2"/>
  <c r="C661" i="2"/>
  <c r="C521" i="2"/>
  <c r="C693" i="2"/>
  <c r="C489" i="2" s="1"/>
  <c r="C415" i="2" s="1"/>
  <c r="C50" i="2" s="1"/>
  <c r="C638" i="2"/>
  <c r="C502" i="2" s="1"/>
  <c r="C428" i="2" s="1"/>
  <c r="C63" i="2" s="1"/>
  <c r="F538" i="2"/>
  <c r="E614" i="2"/>
  <c r="F692" i="2"/>
  <c r="F488" i="2" s="1"/>
  <c r="F414" i="2" s="1"/>
  <c r="F49" i="2" s="1"/>
  <c r="D596" i="2"/>
  <c r="I544" i="2"/>
  <c r="E586" i="2"/>
  <c r="J527" i="2"/>
  <c r="J615" i="2"/>
  <c r="N541" i="2"/>
  <c r="K620" i="2"/>
  <c r="K635" i="2"/>
  <c r="K499" i="2" s="1"/>
  <c r="K425" i="2" s="1"/>
  <c r="K60" i="2" s="1"/>
  <c r="J26" i="5"/>
  <c r="J28" i="5" s="1"/>
  <c r="B33" i="8"/>
  <c r="D33" i="5"/>
  <c r="D35" i="5" s="1"/>
  <c r="C624" i="2"/>
  <c r="C692" i="2"/>
  <c r="G691" i="2"/>
  <c r="G623" i="2"/>
  <c r="H619" i="2"/>
  <c r="H551" i="2"/>
  <c r="H675" i="2"/>
  <c r="H591" i="2"/>
  <c r="H523" i="2"/>
  <c r="E704" i="2"/>
  <c r="E636" i="2"/>
  <c r="D617" i="2"/>
  <c r="D481" i="2" s="1"/>
  <c r="D407" i="2" s="1"/>
  <c r="D42" i="2" s="1"/>
  <c r="D549" i="2"/>
  <c r="D685" i="2"/>
  <c r="D537" i="2"/>
  <c r="D469" i="2" s="1"/>
  <c r="D395" i="2" s="1"/>
  <c r="D30" i="2" s="1"/>
  <c r="D673" i="2"/>
  <c r="L710" i="2"/>
  <c r="N634" i="2"/>
  <c r="N498" i="2" s="1"/>
  <c r="N424" i="2" s="1"/>
  <c r="N59" i="2" s="1"/>
  <c r="M690" i="2"/>
  <c r="K616" i="2"/>
  <c r="L547" i="2"/>
  <c r="K614" i="2"/>
  <c r="O612" i="2"/>
  <c r="O680" i="2"/>
  <c r="M678" i="2"/>
  <c r="M610" i="2"/>
  <c r="N537" i="2"/>
  <c r="O604" i="2"/>
  <c r="L531" i="2"/>
  <c r="L599" i="2"/>
  <c r="O520" i="2"/>
  <c r="L655" i="2"/>
  <c r="M518" i="2"/>
  <c r="K516" i="2"/>
  <c r="K448" i="2" s="1"/>
  <c r="K374" i="2" s="1"/>
  <c r="K9" i="2" s="1"/>
  <c r="K584" i="2"/>
  <c r="O579" i="2"/>
  <c r="M7" i="8"/>
  <c r="H41" i="7"/>
  <c r="H8" i="8" s="1"/>
  <c r="I10" i="8"/>
  <c r="C641" i="2"/>
  <c r="C505" i="2" s="1"/>
  <c r="C431" i="2" s="1"/>
  <c r="C66" i="2" s="1"/>
  <c r="C709" i="2"/>
  <c r="C542" i="2"/>
  <c r="C678" i="2"/>
  <c r="C538" i="2"/>
  <c r="C606" i="2"/>
  <c r="C602" i="2"/>
  <c r="C670" i="2"/>
  <c r="C586" i="2"/>
  <c r="C654" i="2"/>
  <c r="C518" i="2"/>
  <c r="J709" i="2"/>
  <c r="J641" i="2"/>
  <c r="J548" i="2"/>
  <c r="J684" i="2"/>
  <c r="J520" i="2"/>
  <c r="J656" i="2"/>
  <c r="J452" i="2" s="1"/>
  <c r="J378" i="2" s="1"/>
  <c r="J13" i="2" s="1"/>
  <c r="I693" i="2"/>
  <c r="I625" i="2"/>
  <c r="I669" i="2"/>
  <c r="I533" i="2"/>
  <c r="I593" i="2"/>
  <c r="I525" i="2"/>
  <c r="I623" i="2"/>
  <c r="I487" i="2" s="1"/>
  <c r="I413" i="2" s="1"/>
  <c r="I48" i="2" s="1"/>
  <c r="C684" i="2"/>
  <c r="E615" i="2"/>
  <c r="F580" i="2"/>
  <c r="F444" i="2" s="1"/>
  <c r="F370" i="2" s="1"/>
  <c r="F5" i="2" s="1"/>
  <c r="F689" i="2"/>
  <c r="D613" i="2"/>
  <c r="I706" i="2"/>
  <c r="H663" i="2"/>
  <c r="G350" i="2"/>
  <c r="G697" i="2" s="1"/>
  <c r="G493" i="2" s="1"/>
  <c r="G419" i="2" s="1"/>
  <c r="G54" i="2" s="1"/>
  <c r="J592" i="2"/>
  <c r="I601" i="2"/>
  <c r="D621" i="2"/>
  <c r="E671" i="2"/>
  <c r="C514" i="2"/>
  <c r="I521" i="2"/>
  <c r="C614" i="2"/>
  <c r="D642" i="2"/>
  <c r="D506" i="2" s="1"/>
  <c r="D432" i="2" s="1"/>
  <c r="D67" i="2" s="1"/>
  <c r="E695" i="2"/>
  <c r="E491" i="2" s="1"/>
  <c r="E417" i="2" s="1"/>
  <c r="E52" i="2" s="1"/>
  <c r="F634" i="2"/>
  <c r="F498" i="2" s="1"/>
  <c r="F424" i="2" s="1"/>
  <c r="F59" i="2" s="1"/>
  <c r="D638" i="2"/>
  <c r="D502" i="2" s="1"/>
  <c r="D428" i="2" s="1"/>
  <c r="D63" i="2" s="1"/>
  <c r="G340" i="2"/>
  <c r="C534" i="2"/>
  <c r="K628" i="2"/>
  <c r="K492" i="2" s="1"/>
  <c r="K418" i="2" s="1"/>
  <c r="K53" i="2" s="1"/>
  <c r="E708" i="2"/>
  <c r="J524" i="2"/>
  <c r="J668" i="2"/>
  <c r="M641" i="2"/>
  <c r="M505" i="2" s="1"/>
  <c r="M431" i="2" s="1"/>
  <c r="M66" i="2" s="1"/>
  <c r="J596" i="2"/>
  <c r="J460" i="2" s="1"/>
  <c r="J386" i="2" s="1"/>
  <c r="J21" i="2" s="1"/>
  <c r="K602" i="2"/>
  <c r="F706" i="2"/>
  <c r="N642" i="2"/>
  <c r="N506" i="2" s="1"/>
  <c r="N432" i="2" s="1"/>
  <c r="N67" i="2" s="1"/>
  <c r="K692" i="2"/>
  <c r="K488" i="2" s="1"/>
  <c r="K414" i="2" s="1"/>
  <c r="K49" i="2" s="1"/>
  <c r="F33" i="5"/>
  <c r="F35" i="5" s="1"/>
  <c r="F45" i="5" s="1"/>
  <c r="C690" i="2"/>
  <c r="C486" i="2" s="1"/>
  <c r="C412" i="2" s="1"/>
  <c r="C47" i="2" s="1"/>
  <c r="J608" i="2"/>
  <c r="J540" i="2"/>
  <c r="I702" i="2"/>
  <c r="I634" i="2"/>
  <c r="I630" i="2"/>
  <c r="I698" i="2"/>
  <c r="H691" i="2"/>
  <c r="H623" i="2"/>
  <c r="H487" i="2" s="1"/>
  <c r="H413" i="2" s="1"/>
  <c r="H48" i="2" s="1"/>
  <c r="H587" i="2"/>
  <c r="H519" i="2"/>
  <c r="F642" i="2"/>
  <c r="F710" i="2"/>
  <c r="F698" i="2"/>
  <c r="F630" i="2"/>
  <c r="F625" i="2"/>
  <c r="F489" i="2" s="1"/>
  <c r="F415" i="2" s="1"/>
  <c r="F50" i="2" s="1"/>
  <c r="E531" i="2"/>
  <c r="E599" i="2"/>
  <c r="D693" i="2"/>
  <c r="D625" i="2"/>
  <c r="N708" i="2"/>
  <c r="O707" i="2"/>
  <c r="O639" i="2"/>
  <c r="L700" i="2"/>
  <c r="L496" i="2" s="1"/>
  <c r="L422" i="2" s="1"/>
  <c r="L57" i="2" s="1"/>
  <c r="N597" i="2"/>
  <c r="N580" i="2"/>
  <c r="N444" i="2" s="1"/>
  <c r="N370" i="2" s="1"/>
  <c r="N5" i="2" s="1"/>
  <c r="S20" i="31"/>
  <c r="D41" i="7"/>
  <c r="D8" i="8" s="1"/>
  <c r="I14" i="8"/>
  <c r="Q636" i="2"/>
  <c r="Q500" i="2" s="1"/>
  <c r="Q426" i="2" s="1"/>
  <c r="Q61" i="2" s="1"/>
  <c r="Q632" i="2"/>
  <c r="Q48" i="7"/>
  <c r="Q15" i="8" s="1"/>
  <c r="Q18" i="7"/>
  <c r="Q623" i="2"/>
  <c r="Q487" i="2" s="1"/>
  <c r="Q413" i="2" s="1"/>
  <c r="Q48" i="2" s="1"/>
  <c r="Q522" i="2"/>
  <c r="B49" i="8"/>
  <c r="B64" i="8" s="1"/>
  <c r="D60" i="17"/>
  <c r="B8" i="36"/>
  <c r="B9" i="36"/>
  <c r="B83" i="36" s="1"/>
  <c r="I15" i="8"/>
  <c r="H48" i="7"/>
  <c r="H15" i="8" s="1"/>
  <c r="D40" i="5"/>
  <c r="D32" i="5"/>
  <c r="D34" i="5" s="1"/>
  <c r="C11" i="32"/>
  <c r="G41" i="5"/>
  <c r="G14" i="5"/>
  <c r="G40" i="5"/>
  <c r="H33" i="5"/>
  <c r="H35" i="5" s="1"/>
  <c r="H45" i="5" s="1"/>
  <c r="K40" i="5"/>
  <c r="K32" i="5"/>
  <c r="K34" i="5" s="1"/>
  <c r="K14" i="5"/>
  <c r="L33" i="5"/>
  <c r="L35" i="5" s="1"/>
  <c r="C4" i="7"/>
  <c r="C707" i="2"/>
  <c r="G304" i="2"/>
  <c r="H515" i="2"/>
  <c r="K639" i="2"/>
  <c r="N636" i="2"/>
  <c r="N704" i="2"/>
  <c r="M538" i="2"/>
  <c r="N533" i="2"/>
  <c r="N601" i="2"/>
  <c r="N465" i="2" s="1"/>
  <c r="N391" i="2" s="1"/>
  <c r="N26" i="2" s="1"/>
  <c r="K664" i="2"/>
  <c r="K596" i="2"/>
  <c r="M526" i="2"/>
  <c r="L591" i="2"/>
  <c r="L659" i="2"/>
  <c r="M33" i="5"/>
  <c r="M35" i="5" s="1"/>
  <c r="O32" i="5"/>
  <c r="O34" i="5" s="1"/>
  <c r="O40" i="5"/>
  <c r="O42" i="5" s="1"/>
  <c r="L4" i="7"/>
  <c r="AJ72" i="36"/>
  <c r="AJ65" i="36" s="1"/>
  <c r="K623" i="2"/>
  <c r="K487" i="2" s="1"/>
  <c r="K413" i="2" s="1"/>
  <c r="K48" i="2" s="1"/>
  <c r="O14" i="5"/>
  <c r="M27" i="5"/>
  <c r="M29" i="5" s="1"/>
  <c r="O33" i="5"/>
  <c r="O35" i="5" s="1"/>
  <c r="AD72" i="36"/>
  <c r="AD65" i="36" s="1"/>
  <c r="J92" i="35"/>
  <c r="F7" i="8"/>
  <c r="B128" i="35"/>
  <c r="C17" i="34" s="1"/>
  <c r="C42" i="34" s="1"/>
  <c r="C55" i="34" s="1"/>
  <c r="H91" i="35"/>
  <c r="C91" i="35"/>
  <c r="C110" i="35" s="1"/>
  <c r="F91" i="35"/>
  <c r="D91" i="35"/>
  <c r="B50" i="34"/>
  <c r="V50" i="34" s="1"/>
  <c r="B5" i="36"/>
  <c r="B45" i="36" s="1"/>
  <c r="B6" i="36"/>
  <c r="B69" i="36" s="1"/>
  <c r="B12" i="36"/>
  <c r="B63" i="36" s="1"/>
  <c r="C62" i="9"/>
  <c r="D62" i="9" s="1"/>
  <c r="E62" i="9" s="1"/>
  <c r="F62" i="9" s="1"/>
  <c r="D40" i="9"/>
  <c r="E40" i="9" s="1"/>
  <c r="F40" i="9" s="1"/>
  <c r="P698" i="2"/>
  <c r="P494" i="2" s="1"/>
  <c r="P420" i="2" s="1"/>
  <c r="P55" i="2" s="1"/>
  <c r="P7" i="8"/>
  <c r="P538" i="2"/>
  <c r="G550" i="2"/>
  <c r="G618" i="2"/>
  <c r="Q550" i="2"/>
  <c r="Q686" i="2"/>
  <c r="E91" i="35"/>
  <c r="J91" i="35"/>
  <c r="I91" i="35"/>
  <c r="H44" i="7"/>
  <c r="H11" i="8" s="1"/>
  <c r="F83" i="8"/>
  <c r="G83" i="8" s="1"/>
  <c r="E87" i="8"/>
  <c r="F87" i="8" s="1"/>
  <c r="G87" i="8" s="1"/>
  <c r="I87" i="8" s="1"/>
  <c r="J87" i="8" s="1"/>
  <c r="K87" i="8" s="1"/>
  <c r="L87" i="8" s="1"/>
  <c r="M87" i="8" s="1"/>
  <c r="N87" i="8" s="1"/>
  <c r="O87" i="8" s="1"/>
  <c r="P87" i="8" s="1"/>
  <c r="Q87" i="8" s="1"/>
  <c r="R87" i="8" s="1"/>
  <c r="S87" i="8" s="1"/>
  <c r="T87" i="8" s="1"/>
  <c r="U87" i="8" s="1"/>
  <c r="G27" i="5"/>
  <c r="G29" i="5" s="1"/>
  <c r="J40" i="5"/>
  <c r="I15" i="5"/>
  <c r="I33" i="5" s="1"/>
  <c r="I35" i="5" s="1"/>
  <c r="K26" i="5"/>
  <c r="K28" i="5" s="1"/>
  <c r="K44" i="5" s="1"/>
  <c r="K53" i="5" s="1"/>
  <c r="I5" i="32" s="1"/>
  <c r="C541" i="2"/>
  <c r="C537" i="2"/>
  <c r="C605" i="2"/>
  <c r="C673" i="2"/>
  <c r="C532" i="2"/>
  <c r="C598" i="2"/>
  <c r="C530" i="2"/>
  <c r="C666" i="2"/>
  <c r="C590" i="2"/>
  <c r="C658" i="2"/>
  <c r="J696" i="2"/>
  <c r="J628" i="2"/>
  <c r="J624" i="2"/>
  <c r="J692" i="2"/>
  <c r="J552" i="2"/>
  <c r="J484" i="2" s="1"/>
  <c r="J410" i="2" s="1"/>
  <c r="J45" i="2" s="1"/>
  <c r="J688" i="2"/>
  <c r="J612" i="2"/>
  <c r="J544" i="2"/>
  <c r="J536" i="2"/>
  <c r="J604" i="2"/>
  <c r="J670" i="2"/>
  <c r="J584" i="2"/>
  <c r="J652" i="2"/>
  <c r="I632" i="2"/>
  <c r="I689" i="2"/>
  <c r="I621" i="2"/>
  <c r="I549" i="2"/>
  <c r="I681" i="2"/>
  <c r="I545" i="2"/>
  <c r="I609" i="2"/>
  <c r="I541" i="2"/>
  <c r="I677" i="2"/>
  <c r="I537" i="2"/>
  <c r="I673" i="2"/>
  <c r="I532" i="2"/>
  <c r="I668" i="2"/>
  <c r="I597" i="2"/>
  <c r="I529" i="2"/>
  <c r="I653" i="2"/>
  <c r="I517" i="2"/>
  <c r="I648" i="2"/>
  <c r="I580" i="2"/>
  <c r="G361" i="2"/>
  <c r="H708" i="2"/>
  <c r="G359" i="2"/>
  <c r="G706" i="2" s="1"/>
  <c r="G357" i="2"/>
  <c r="H636" i="2"/>
  <c r="H500" i="2" s="1"/>
  <c r="H426" i="2" s="1"/>
  <c r="H61" i="2" s="1"/>
  <c r="H700" i="2"/>
  <c r="G353" i="2"/>
  <c r="G700" i="2" s="1"/>
  <c r="H632" i="2"/>
  <c r="H630" i="2"/>
  <c r="H695" i="2"/>
  <c r="H491" i="2" s="1"/>
  <c r="H417" i="2" s="1"/>
  <c r="H52" i="2" s="1"/>
  <c r="G348" i="2"/>
  <c r="H688" i="2"/>
  <c r="H683" i="2"/>
  <c r="G336" i="2"/>
  <c r="G334" i="2"/>
  <c r="G613" i="2" s="1"/>
  <c r="G332" i="2"/>
  <c r="H543" i="2"/>
  <c r="H539" i="2"/>
  <c r="G324" i="2"/>
  <c r="H535" i="2"/>
  <c r="G320" i="2"/>
  <c r="G318" i="2"/>
  <c r="G597" i="2" s="1"/>
  <c r="G316" i="2"/>
  <c r="G663" i="2" s="1"/>
  <c r="H595" i="2"/>
  <c r="G312" i="2"/>
  <c r="G659" i="2" s="1"/>
  <c r="H659" i="2"/>
  <c r="F617" i="2"/>
  <c r="F549" i="2"/>
  <c r="F613" i="2"/>
  <c r="F681" i="2"/>
  <c r="F609" i="2"/>
  <c r="F541" i="2"/>
  <c r="F537" i="2"/>
  <c r="F469" i="2" s="1"/>
  <c r="F395" i="2" s="1"/>
  <c r="F30" i="2" s="1"/>
  <c r="F673" i="2"/>
  <c r="F533" i="2"/>
  <c r="F669" i="2"/>
  <c r="F597" i="2"/>
  <c r="F665" i="2"/>
  <c r="F595" i="2"/>
  <c r="F593" i="2"/>
  <c r="F525" i="2"/>
  <c r="F517" i="2"/>
  <c r="F585" i="2"/>
  <c r="E700" i="2"/>
  <c r="E632" i="2"/>
  <c r="E551" i="2"/>
  <c r="E687" i="2"/>
  <c r="E543" i="2"/>
  <c r="E679" i="2"/>
  <c r="E611" i="2"/>
  <c r="E539" i="2"/>
  <c r="E607" i="2"/>
  <c r="E595" i="2"/>
  <c r="E663" i="2"/>
  <c r="E591" i="2"/>
  <c r="E455" i="2" s="1"/>
  <c r="E381" i="2" s="1"/>
  <c r="E16" i="2" s="1"/>
  <c r="E659" i="2"/>
  <c r="E523" i="2"/>
  <c r="E519" i="2"/>
  <c r="E655" i="2"/>
  <c r="E587" i="2"/>
  <c r="E651" i="2"/>
  <c r="E583" i="2"/>
  <c r="E515" i="2"/>
  <c r="D700" i="2"/>
  <c r="D548" i="2"/>
  <c r="D616" i="2"/>
  <c r="D544" i="2"/>
  <c r="D680" i="2"/>
  <c r="D612" i="2"/>
  <c r="D540" i="2"/>
  <c r="D608" i="2"/>
  <c r="D672" i="2"/>
  <c r="D536" i="2"/>
  <c r="D597" i="2"/>
  <c r="D525" i="2"/>
  <c r="D593" i="2"/>
  <c r="D661" i="2"/>
  <c r="D591" i="2"/>
  <c r="D589" i="2"/>
  <c r="D657" i="2"/>
  <c r="D517" i="2"/>
  <c r="D585" i="2"/>
  <c r="D580" i="2"/>
  <c r="D648" i="2"/>
  <c r="O17" i="36"/>
  <c r="O635" i="2"/>
  <c r="O499" i="2" s="1"/>
  <c r="O425" i="2" s="1"/>
  <c r="O60" i="2" s="1"/>
  <c r="L634" i="2"/>
  <c r="L702" i="2"/>
  <c r="M633" i="2"/>
  <c r="K633" i="2"/>
  <c r="O699" i="2"/>
  <c r="K699" i="2"/>
  <c r="K631" i="2"/>
  <c r="L630" i="2"/>
  <c r="O694" i="2"/>
  <c r="M626" i="2"/>
  <c r="M490" i="2" s="1"/>
  <c r="M416" i="2" s="1"/>
  <c r="M51" i="2" s="1"/>
  <c r="L691" i="2"/>
  <c r="L623" i="2"/>
  <c r="N553" i="2"/>
  <c r="L689" i="2"/>
  <c r="O552" i="2"/>
  <c r="L687" i="2"/>
  <c r="L619" i="2"/>
  <c r="O686" i="2"/>
  <c r="M618" i="2"/>
  <c r="M686" i="2"/>
  <c r="L617" i="2"/>
  <c r="N680" i="2"/>
  <c r="L680" i="2"/>
  <c r="O543" i="2"/>
  <c r="N540" i="2"/>
  <c r="M539" i="2"/>
  <c r="K675" i="2"/>
  <c r="K607" i="2"/>
  <c r="L606" i="2"/>
  <c r="L538" i="2"/>
  <c r="N536" i="2"/>
  <c r="N672" i="2"/>
  <c r="K603" i="2"/>
  <c r="L602" i="2"/>
  <c r="M669" i="2"/>
  <c r="M533" i="2"/>
  <c r="N647" i="2"/>
  <c r="N579" i="2"/>
  <c r="P27" i="5"/>
  <c r="P29" i="5" s="1"/>
  <c r="P26" i="5"/>
  <c r="P28" i="5" s="1"/>
  <c r="N14" i="5"/>
  <c r="P32" i="5"/>
  <c r="P34" i="5" s="1"/>
  <c r="P33" i="5"/>
  <c r="P35" i="5" s="1"/>
  <c r="P14" i="5"/>
  <c r="P41" i="5"/>
  <c r="P40" i="5"/>
  <c r="P42" i="5" s="1"/>
  <c r="B35" i="8"/>
  <c r="E67" i="32"/>
  <c r="F67" i="32" s="1"/>
  <c r="H67" i="32" s="1"/>
  <c r="I67" i="32" s="1"/>
  <c r="J67" i="32" s="1"/>
  <c r="K67" i="32" s="1"/>
  <c r="L67" i="32" s="1"/>
  <c r="M67" i="32" s="1"/>
  <c r="N67" i="32" s="1"/>
  <c r="O67" i="32" s="1"/>
  <c r="P67" i="32" s="1"/>
  <c r="Q67" i="32" s="1"/>
  <c r="R67" i="32" s="1"/>
  <c r="S67" i="32" s="1"/>
  <c r="T67" i="32" s="1"/>
  <c r="D71" i="32"/>
  <c r="E71" i="32" s="1"/>
  <c r="F71" i="32" s="1"/>
  <c r="H71" i="32" s="1"/>
  <c r="I71" i="32" s="1"/>
  <c r="J71" i="32" s="1"/>
  <c r="K71" i="32" s="1"/>
  <c r="L71" i="32" s="1"/>
  <c r="M71" i="32" s="1"/>
  <c r="N71" i="32" s="1"/>
  <c r="O71" i="32" s="1"/>
  <c r="P71" i="32" s="1"/>
  <c r="Q71" i="32" s="1"/>
  <c r="R71" i="32" s="1"/>
  <c r="S71" i="32" s="1"/>
  <c r="T71" i="32" s="1"/>
  <c r="C701" i="2"/>
  <c r="C633" i="2"/>
  <c r="J599" i="2"/>
  <c r="J531" i="2"/>
  <c r="M553" i="2"/>
  <c r="L686" i="2"/>
  <c r="L611" i="2"/>
  <c r="L543" i="2"/>
  <c r="O610" i="2"/>
  <c r="O668" i="2"/>
  <c r="K532" i="2"/>
  <c r="K600" i="2"/>
  <c r="M530" i="2"/>
  <c r="L529" i="2"/>
  <c r="L662" i="2"/>
  <c r="N656" i="2"/>
  <c r="N588" i="2"/>
  <c r="M516" i="2"/>
  <c r="Q33" i="5"/>
  <c r="Q35" i="5" s="1"/>
  <c r="Q32" i="5"/>
  <c r="Q34" i="5" s="1"/>
  <c r="P18" i="31"/>
  <c r="P28" i="31" s="1"/>
  <c r="P29" i="36" s="1"/>
  <c r="P656" i="2"/>
  <c r="R14" i="31"/>
  <c r="G299" i="2"/>
  <c r="H299" i="2"/>
  <c r="I299" i="2" s="1"/>
  <c r="J299" i="2" s="1"/>
  <c r="K299" i="2" s="1"/>
  <c r="L299" i="2" s="1"/>
  <c r="M299" i="2" s="1"/>
  <c r="N299" i="2" s="1"/>
  <c r="O299" i="2" s="1"/>
  <c r="P299" i="2" s="1"/>
  <c r="Q299" i="2" s="1"/>
  <c r="R299" i="2" s="1"/>
  <c r="S299" i="2" s="1"/>
  <c r="T299" i="2" s="1"/>
  <c r="H280" i="2"/>
  <c r="I280" i="2" s="1"/>
  <c r="J280" i="2" s="1"/>
  <c r="K280" i="2" s="1"/>
  <c r="L280" i="2" s="1"/>
  <c r="M280" i="2" s="1"/>
  <c r="N280" i="2" s="1"/>
  <c r="O280" i="2" s="1"/>
  <c r="P280" i="2" s="1"/>
  <c r="Q280" i="2" s="1"/>
  <c r="R280" i="2" s="1"/>
  <c r="S280" i="2" s="1"/>
  <c r="T280" i="2" s="1"/>
  <c r="G280" i="2"/>
  <c r="G144" i="2"/>
  <c r="G32" i="9"/>
  <c r="H32" i="9" s="1"/>
  <c r="I32" i="9" s="1"/>
  <c r="J32" i="9" s="1"/>
  <c r="K32" i="9" s="1"/>
  <c r="L32" i="9" s="1"/>
  <c r="M32" i="9" s="1"/>
  <c r="N32" i="9" s="1"/>
  <c r="O32" i="9" s="1"/>
  <c r="P32" i="9" s="1"/>
  <c r="Q32" i="9" s="1"/>
  <c r="R32" i="9" s="1"/>
  <c r="S32" i="9" s="1"/>
  <c r="H29" i="32"/>
  <c r="I29" i="32" s="1"/>
  <c r="J29" i="32" s="1"/>
  <c r="K29" i="32" s="1"/>
  <c r="L29" i="32" s="1"/>
  <c r="M29" i="32" s="1"/>
  <c r="N29" i="32" s="1"/>
  <c r="O29" i="32" s="1"/>
  <c r="P29" i="32" s="1"/>
  <c r="Q29" i="32" s="1"/>
  <c r="R29" i="32" s="1"/>
  <c r="S29" i="32" s="1"/>
  <c r="T29" i="32" s="1"/>
  <c r="H37" i="7"/>
  <c r="H45" i="8"/>
  <c r="G509" i="2"/>
  <c r="H645" i="2"/>
  <c r="I645" i="2" s="1"/>
  <c r="J645" i="2" s="1"/>
  <c r="K645" i="2" s="1"/>
  <c r="L645" i="2" s="1"/>
  <c r="M645" i="2" s="1"/>
  <c r="N645" i="2" s="1"/>
  <c r="O645" i="2" s="1"/>
  <c r="P645" i="2" s="1"/>
  <c r="Q645" i="2" s="1"/>
  <c r="R645" i="2" s="1"/>
  <c r="S645" i="2" s="1"/>
  <c r="T645" i="2" s="1"/>
  <c r="G645" i="2"/>
  <c r="I95" i="8"/>
  <c r="J95" i="8" s="1"/>
  <c r="K95" i="8" s="1"/>
  <c r="L95" i="8" s="1"/>
  <c r="M95" i="8" s="1"/>
  <c r="N95" i="8" s="1"/>
  <c r="O95" i="8" s="1"/>
  <c r="P95" i="8" s="1"/>
  <c r="Q95" i="8" s="1"/>
  <c r="R95" i="8" s="1"/>
  <c r="S95" i="8" s="1"/>
  <c r="T95" i="8" s="1"/>
  <c r="U95" i="8" s="1"/>
  <c r="H95" i="8"/>
  <c r="H21" i="8"/>
  <c r="L24" i="8"/>
  <c r="P21" i="8"/>
  <c r="H291" i="2"/>
  <c r="I291" i="2" s="1"/>
  <c r="J291" i="2" s="1"/>
  <c r="K291" i="2" s="1"/>
  <c r="L291" i="2" s="1"/>
  <c r="M291" i="2" s="1"/>
  <c r="N291" i="2" s="1"/>
  <c r="O291" i="2" s="1"/>
  <c r="P291" i="2" s="1"/>
  <c r="Q291" i="2" s="1"/>
  <c r="R291" i="2" s="1"/>
  <c r="S291" i="2" s="1"/>
  <c r="T291" i="2" s="1"/>
  <c r="G291" i="2"/>
  <c r="H35" i="32"/>
  <c r="I35" i="32" s="1"/>
  <c r="J35" i="32" s="1"/>
  <c r="K35" i="32" s="1"/>
  <c r="L35" i="32" s="1"/>
  <c r="M35" i="32" s="1"/>
  <c r="N35" i="32" s="1"/>
  <c r="O35" i="32" s="1"/>
  <c r="P35" i="32" s="1"/>
  <c r="Q35" i="32" s="1"/>
  <c r="R35" i="32" s="1"/>
  <c r="S35" i="32" s="1"/>
  <c r="T35" i="32" s="1"/>
  <c r="H23" i="32"/>
  <c r="I23" i="32" s="1"/>
  <c r="J23" i="32" s="1"/>
  <c r="K23" i="32" s="1"/>
  <c r="L23" i="32" s="1"/>
  <c r="M23" i="32" s="1"/>
  <c r="N23" i="32" s="1"/>
  <c r="O23" i="32" s="1"/>
  <c r="P23" i="32" s="1"/>
  <c r="Q23" i="32" s="1"/>
  <c r="R23" i="32" s="1"/>
  <c r="S23" i="32" s="1"/>
  <c r="T23" i="32" s="1"/>
  <c r="G23" i="32"/>
  <c r="H17" i="32"/>
  <c r="I17" i="32" s="1"/>
  <c r="J17" i="32" s="1"/>
  <c r="K17" i="32" s="1"/>
  <c r="L17" i="32" s="1"/>
  <c r="M17" i="32" s="1"/>
  <c r="N17" i="32" s="1"/>
  <c r="O17" i="32" s="1"/>
  <c r="P17" i="32" s="1"/>
  <c r="Q17" i="32" s="1"/>
  <c r="R17" i="32" s="1"/>
  <c r="S17" i="32" s="1"/>
  <c r="T17" i="32" s="1"/>
  <c r="H60" i="8"/>
  <c r="H53" i="32"/>
  <c r="I53" i="32" s="1"/>
  <c r="J53" i="32" s="1"/>
  <c r="K53" i="32" s="1"/>
  <c r="L53" i="32" s="1"/>
  <c r="M53" i="32" s="1"/>
  <c r="N53" i="32" s="1"/>
  <c r="O53" i="32" s="1"/>
  <c r="P53" i="32" s="1"/>
  <c r="Q53" i="32" s="1"/>
  <c r="R53" i="32" s="1"/>
  <c r="S53" i="32" s="1"/>
  <c r="T53" i="32" s="1"/>
  <c r="D12" i="36"/>
  <c r="J98" i="36"/>
  <c r="K98" i="36" s="1"/>
  <c r="L98" i="36" s="1"/>
  <c r="M98" i="36" s="1"/>
  <c r="N98" i="36" s="1"/>
  <c r="O98" i="36" s="1"/>
  <c r="P98" i="36" s="1"/>
  <c r="Q98" i="36" s="1"/>
  <c r="R98" i="36" s="1"/>
  <c r="S98" i="36" s="1"/>
  <c r="T98" i="36" s="1"/>
  <c r="U98" i="36" s="1"/>
  <c r="V98" i="36" s="1"/>
  <c r="I98" i="36"/>
  <c r="Q17" i="36"/>
  <c r="Q19" i="36" s="1"/>
  <c r="M196" i="2"/>
  <c r="G626" i="2"/>
  <c r="M477" i="2"/>
  <c r="M403" i="2" s="1"/>
  <c r="M38" i="2" s="1"/>
  <c r="O447" i="2"/>
  <c r="O373" i="2" s="1"/>
  <c r="O8" i="2" s="1"/>
  <c r="AC8" i="35"/>
  <c r="I453" i="2"/>
  <c r="I379" i="2" s="1"/>
  <c r="I14" i="2" s="1"/>
  <c r="G654" i="2"/>
  <c r="G699" i="2"/>
  <c r="G495" i="2" s="1"/>
  <c r="G421" i="2" s="1"/>
  <c r="G56" i="2" s="1"/>
  <c r="H459" i="2"/>
  <c r="H385" i="2" s="1"/>
  <c r="H20" i="2" s="1"/>
  <c r="M498" i="2"/>
  <c r="M424" i="2" s="1"/>
  <c r="M59" i="2" s="1"/>
  <c r="L486" i="2"/>
  <c r="L412" i="2" s="1"/>
  <c r="L47" i="2" s="1"/>
  <c r="L490" i="2"/>
  <c r="L416" i="2" s="1"/>
  <c r="L51" i="2" s="1"/>
  <c r="E503" i="2"/>
  <c r="E429" i="2" s="1"/>
  <c r="E64" i="2" s="1"/>
  <c r="L504" i="2"/>
  <c r="L430" i="2" s="1"/>
  <c r="L65" i="2" s="1"/>
  <c r="D492" i="2"/>
  <c r="D418" i="2" s="1"/>
  <c r="D53" i="2" s="1"/>
  <c r="E478" i="2"/>
  <c r="E404" i="2" s="1"/>
  <c r="E39" i="2" s="1"/>
  <c r="H470" i="2"/>
  <c r="H396" i="2" s="1"/>
  <c r="H31" i="2" s="1"/>
  <c r="I448" i="2"/>
  <c r="I374" i="2" s="1"/>
  <c r="I9" i="2" s="1"/>
  <c r="I468" i="2"/>
  <c r="I394" i="2" s="1"/>
  <c r="I29" i="2" s="1"/>
  <c r="I501" i="2"/>
  <c r="I427" i="2" s="1"/>
  <c r="I62" i="2" s="1"/>
  <c r="C506" i="2"/>
  <c r="C432" i="2" s="1"/>
  <c r="K459" i="2"/>
  <c r="K385" i="2" s="1"/>
  <c r="K20" i="2" s="1"/>
  <c r="I457" i="2"/>
  <c r="I383" i="2" s="1"/>
  <c r="I18" i="2" s="1"/>
  <c r="J480" i="2"/>
  <c r="J406" i="2" s="1"/>
  <c r="J41" i="2" s="1"/>
  <c r="H483" i="2"/>
  <c r="H409" i="2" s="1"/>
  <c r="H44" i="2" s="1"/>
  <c r="C488" i="2"/>
  <c r="C414" i="2" s="1"/>
  <c r="C49" i="2" s="1"/>
  <c r="I83" i="8"/>
  <c r="J83" i="8" s="1"/>
  <c r="K83" i="8" s="1"/>
  <c r="L83" i="8" s="1"/>
  <c r="M83" i="8" s="1"/>
  <c r="N83" i="8" s="1"/>
  <c r="O83" i="8" s="1"/>
  <c r="P83" i="8" s="1"/>
  <c r="Q83" i="8" s="1"/>
  <c r="R83" i="8" s="1"/>
  <c r="S83" i="8" s="1"/>
  <c r="T83" i="8" s="1"/>
  <c r="U83" i="8" s="1"/>
  <c r="H83" i="8"/>
  <c r="D196" i="2"/>
  <c r="J196" i="2"/>
  <c r="G515" i="2"/>
  <c r="G651" i="2"/>
  <c r="G530" i="2"/>
  <c r="G534" i="2"/>
  <c r="G466" i="2" s="1"/>
  <c r="G392" i="2" s="1"/>
  <c r="G27" i="2" s="1"/>
  <c r="G514" i="2"/>
  <c r="G582" i="2"/>
  <c r="K196" i="2"/>
  <c r="G583" i="2"/>
  <c r="G602" i="2"/>
  <c r="C466" i="2"/>
  <c r="C392" i="2" s="1"/>
  <c r="C27" i="2" s="1"/>
  <c r="K463" i="2"/>
  <c r="K389" i="2" s="1"/>
  <c r="K24" i="2" s="1"/>
  <c r="C498" i="2"/>
  <c r="C424" i="2" s="1"/>
  <c r="C59" i="2" s="1"/>
  <c r="N504" i="2"/>
  <c r="N430" i="2" s="1"/>
  <c r="N65" i="2" s="1"/>
  <c r="F506" i="2"/>
  <c r="F432" i="2" s="1"/>
  <c r="F67" i="2" s="1"/>
  <c r="K503" i="2"/>
  <c r="K429" i="2" s="1"/>
  <c r="K64" i="2" s="1"/>
  <c r="F484" i="2"/>
  <c r="F410" i="2" s="1"/>
  <c r="F45" i="2" s="1"/>
  <c r="L446" i="2"/>
  <c r="L372" i="2" s="1"/>
  <c r="L7" i="2" s="1"/>
  <c r="N204" i="2"/>
  <c r="E450" i="2"/>
  <c r="E376" i="2" s="1"/>
  <c r="E11" i="2" s="1"/>
  <c r="G71" i="32"/>
  <c r="L463" i="2"/>
  <c r="L389" i="2" s="1"/>
  <c r="L24" i="2" s="1"/>
  <c r="F453" i="2"/>
  <c r="F379" i="2" s="1"/>
  <c r="F14" i="2" s="1"/>
  <c r="L506" i="2"/>
  <c r="L432" i="2" s="1"/>
  <c r="L67" i="2" s="1"/>
  <c r="C470" i="2"/>
  <c r="C396" i="2" s="1"/>
  <c r="C31" i="2" s="1"/>
  <c r="E500" i="2"/>
  <c r="E426" i="2" s="1"/>
  <c r="E61" i="2" s="1"/>
  <c r="G687" i="2"/>
  <c r="O503" i="2"/>
  <c r="O429" i="2" s="1"/>
  <c r="O64" i="2" s="1"/>
  <c r="D489" i="2"/>
  <c r="D415" i="2" s="1"/>
  <c r="D50" i="2" s="1"/>
  <c r="J472" i="2"/>
  <c r="J398" i="2" s="1"/>
  <c r="J33" i="2" s="1"/>
  <c r="Q12" i="32"/>
  <c r="C454" i="2"/>
  <c r="C380" i="2" s="1"/>
  <c r="C15" i="2" s="1"/>
  <c r="F156" i="2" s="1"/>
  <c r="G67" i="32"/>
  <c r="F204" i="2"/>
  <c r="I449" i="2"/>
  <c r="I375" i="2" s="1"/>
  <c r="I10" i="2" s="1"/>
  <c r="C462" i="2"/>
  <c r="C388" i="2" s="1"/>
  <c r="C23" i="2" s="1"/>
  <c r="N452" i="2"/>
  <c r="N378" i="2" s="1"/>
  <c r="N13" i="2" s="1"/>
  <c r="L475" i="2"/>
  <c r="L401" i="2" s="1"/>
  <c r="L36" i="2" s="1"/>
  <c r="O495" i="2"/>
  <c r="O421" i="2" s="1"/>
  <c r="O56" i="2" s="1"/>
  <c r="E459" i="2"/>
  <c r="E385" i="2" s="1"/>
  <c r="E20" i="2" s="1"/>
  <c r="I485" i="2"/>
  <c r="I411" i="2" s="1"/>
  <c r="I46" i="2" s="1"/>
  <c r="J468" i="2"/>
  <c r="J394" i="2" s="1"/>
  <c r="J29" i="2" s="1"/>
  <c r="G523" i="2"/>
  <c r="G667" i="2"/>
  <c r="G531" i="2"/>
  <c r="G599" i="2"/>
  <c r="G611" i="2"/>
  <c r="G543" i="2"/>
  <c r="G679" i="2"/>
  <c r="G636" i="2"/>
  <c r="G704" i="2"/>
  <c r="G708" i="2"/>
  <c r="G640" i="2"/>
  <c r="G595" i="2"/>
  <c r="P44" i="5"/>
  <c r="P53" i="5" s="1"/>
  <c r="N5" i="32" s="1"/>
  <c r="L494" i="2"/>
  <c r="L420" i="2" s="1"/>
  <c r="L55" i="2" s="1"/>
  <c r="M497" i="2"/>
  <c r="M423" i="2" s="1"/>
  <c r="M58" i="2" s="1"/>
  <c r="L498" i="2"/>
  <c r="L424" i="2" s="1"/>
  <c r="L59" i="2" s="1"/>
  <c r="D468" i="2"/>
  <c r="D394" i="2" s="1"/>
  <c r="D29" i="2" s="1"/>
  <c r="D480" i="2"/>
  <c r="D406" i="2" s="1"/>
  <c r="D41" i="2" s="1"/>
  <c r="E451" i="2"/>
  <c r="E377" i="2" s="1"/>
  <c r="E12" i="2" s="1"/>
  <c r="F461" i="2"/>
  <c r="F387" i="2" s="1"/>
  <c r="F22" i="2" s="1"/>
  <c r="G671" i="2"/>
  <c r="G535" i="2"/>
  <c r="G603" i="2"/>
  <c r="G615" i="2"/>
  <c r="G683" i="2"/>
  <c r="G547" i="2"/>
  <c r="G695" i="2"/>
  <c r="G627" i="2"/>
  <c r="I469" i="2"/>
  <c r="I395" i="2" s="1"/>
  <c r="I30" i="2" s="1"/>
  <c r="J476" i="2"/>
  <c r="J402" i="2" s="1"/>
  <c r="J37" i="2" s="1"/>
  <c r="J492" i="2"/>
  <c r="J418" i="2" s="1"/>
  <c r="J53" i="2" s="1"/>
  <c r="B52" i="36"/>
  <c r="B75" i="36"/>
  <c r="B83" i="17"/>
  <c r="B56" i="36"/>
  <c r="R17" i="36"/>
  <c r="P12" i="32"/>
  <c r="R6" i="5"/>
  <c r="R27" i="5" s="1"/>
  <c r="R29" i="5" s="1"/>
  <c r="P11" i="32"/>
  <c r="E191" i="2"/>
  <c r="K191" i="2"/>
  <c r="E204" i="2"/>
  <c r="D191" i="2"/>
  <c r="Q204" i="2"/>
  <c r="J204" i="2"/>
  <c r="H191" i="2"/>
  <c r="M204" i="2"/>
  <c r="M191" i="2"/>
  <c r="H204" i="2"/>
  <c r="C67" i="2"/>
  <c r="F208" i="2" s="1"/>
  <c r="N207" i="2"/>
  <c r="N274" i="2" s="1"/>
  <c r="I207" i="2"/>
  <c r="C207" i="2"/>
  <c r="C274" i="2" s="1"/>
  <c r="K207" i="2"/>
  <c r="M207" i="2"/>
  <c r="M274" i="2" s="1"/>
  <c r="O207" i="2"/>
  <c r="J207" i="2"/>
  <c r="S17" i="36"/>
  <c r="AI7" i="35"/>
  <c r="S11" i="32"/>
  <c r="AI8" i="35"/>
  <c r="Q188" i="2" l="1"/>
  <c r="P188" i="2"/>
  <c r="D15" i="17"/>
  <c r="D13" i="17"/>
  <c r="D14" i="17"/>
  <c r="E16" i="17"/>
  <c r="H207" i="2"/>
  <c r="D208" i="2"/>
  <c r="D275" i="2" s="1"/>
  <c r="O26" i="5"/>
  <c r="O28" i="5" s="1"/>
  <c r="O44" i="5" s="1"/>
  <c r="H517" i="2"/>
  <c r="G322" i="2"/>
  <c r="G669" i="2" s="1"/>
  <c r="F476" i="2"/>
  <c r="F402" i="2" s="1"/>
  <c r="F37" i="2" s="1"/>
  <c r="C688" i="2"/>
  <c r="P691" i="2"/>
  <c r="P487" i="2" s="1"/>
  <c r="P413" i="2" s="1"/>
  <c r="P48" i="2" s="1"/>
  <c r="L454" i="2"/>
  <c r="L380" i="2" s="1"/>
  <c r="L15" i="2" s="1"/>
  <c r="E454" i="2"/>
  <c r="E380" i="2" s="1"/>
  <c r="E15" i="2" s="1"/>
  <c r="Q642" i="2"/>
  <c r="D50" i="35"/>
  <c r="H156" i="2"/>
  <c r="C696" i="2"/>
  <c r="H617" i="2"/>
  <c r="G42" i="5"/>
  <c r="C637" i="2"/>
  <c r="F472" i="2"/>
  <c r="F398" i="2" s="1"/>
  <c r="F33" i="2" s="1"/>
  <c r="Q533" i="2"/>
  <c r="I32" i="5"/>
  <c r="I34" i="5" s="1"/>
  <c r="M9" i="35"/>
  <c r="J581" i="2"/>
  <c r="H208" i="2"/>
  <c r="E447" i="2"/>
  <c r="E373" i="2" s="1"/>
  <c r="E8" i="2" s="1"/>
  <c r="G314" i="2"/>
  <c r="G593" i="2" s="1"/>
  <c r="G355" i="2"/>
  <c r="I619" i="2"/>
  <c r="S33" i="5"/>
  <c r="S35" i="5" s="1"/>
  <c r="K648" i="2"/>
  <c r="L474" i="2"/>
  <c r="L400" i="2" s="1"/>
  <c r="L35" i="2" s="1"/>
  <c r="O693" i="2"/>
  <c r="H450" i="2"/>
  <c r="H376" i="2" s="1"/>
  <c r="H11" i="2" s="1"/>
  <c r="Q601" i="2"/>
  <c r="Q465" i="2" s="1"/>
  <c r="Q391" i="2" s="1"/>
  <c r="Q26" i="2" s="1"/>
  <c r="H541" i="2"/>
  <c r="H26" i="5"/>
  <c r="H28" i="5" s="1"/>
  <c r="G632" i="2"/>
  <c r="E621" i="2"/>
  <c r="J606" i="2"/>
  <c r="C12" i="32"/>
  <c r="Q482" i="2"/>
  <c r="Q408" i="2" s="1"/>
  <c r="Q43" i="2" s="1"/>
  <c r="S32" i="5"/>
  <c r="S34" i="5" s="1"/>
  <c r="J483" i="2"/>
  <c r="J409" i="2" s="1"/>
  <c r="J44" i="2" s="1"/>
  <c r="H482" i="2"/>
  <c r="H408" i="2" s="1"/>
  <c r="H43" i="2" s="1"/>
  <c r="D168" i="2"/>
  <c r="G211" i="2"/>
  <c r="H40" i="7"/>
  <c r="H7" i="8" s="1"/>
  <c r="C620" i="2"/>
  <c r="G207" i="2"/>
  <c r="D456" i="2"/>
  <c r="D382" i="2" s="1"/>
  <c r="D17" i="2" s="1"/>
  <c r="M18" i="31"/>
  <c r="M28" i="31" s="1"/>
  <c r="M29" i="36" s="1"/>
  <c r="C156" i="2"/>
  <c r="C223" i="2" s="1"/>
  <c r="G504" i="2"/>
  <c r="G430" i="2" s="1"/>
  <c r="G65" i="2" s="1"/>
  <c r="L452" i="2"/>
  <c r="L378" i="2" s="1"/>
  <c r="L13" i="2" s="1"/>
  <c r="L503" i="2"/>
  <c r="L429" i="2" s="1"/>
  <c r="L64" i="2" s="1"/>
  <c r="P707" i="2"/>
  <c r="J22" i="17"/>
  <c r="P22" i="17"/>
  <c r="I13" i="32"/>
  <c r="E15" i="5"/>
  <c r="E32" i="5" s="1"/>
  <c r="E34" i="5" s="1"/>
  <c r="N4" i="7"/>
  <c r="K156" i="2"/>
  <c r="E27" i="5"/>
  <c r="E29" i="5" s="1"/>
  <c r="J614" i="2"/>
  <c r="H447" i="2"/>
  <c r="H373" i="2" s="1"/>
  <c r="H8" i="2" s="1"/>
  <c r="C680" i="2"/>
  <c r="S649" i="2"/>
  <c r="S581" i="2"/>
  <c r="P13" i="32"/>
  <c r="L19" i="36"/>
  <c r="D16" i="36"/>
  <c r="C21" i="8" s="1"/>
  <c r="M16" i="36"/>
  <c r="L21" i="8" s="1"/>
  <c r="H16" i="36"/>
  <c r="G21" i="8" s="1"/>
  <c r="D22" i="8"/>
  <c r="D24" i="8" s="1"/>
  <c r="N16" i="36"/>
  <c r="M21" i="8" s="1"/>
  <c r="G16" i="36"/>
  <c r="F21" i="8" s="1"/>
  <c r="J22" i="8"/>
  <c r="K24" i="8" s="1"/>
  <c r="O16" i="36"/>
  <c r="N21" i="8" s="1"/>
  <c r="R16" i="36"/>
  <c r="Q21" i="8" s="1"/>
  <c r="Q23" i="8" s="1"/>
  <c r="K16" i="36"/>
  <c r="J21" i="8" s="1"/>
  <c r="P16" i="36"/>
  <c r="Q18" i="36" s="1"/>
  <c r="S11" i="31"/>
  <c r="G18" i="31"/>
  <c r="G28" i="31" s="1"/>
  <c r="F29" i="36" s="1"/>
  <c r="K18" i="31"/>
  <c r="K28" i="31" s="1"/>
  <c r="K29" i="36" s="1"/>
  <c r="O18" i="31"/>
  <c r="O28" i="31" s="1"/>
  <c r="O29" i="36" s="1"/>
  <c r="I20" i="8"/>
  <c r="J20" i="8" s="1"/>
  <c r="K20" i="8" s="1"/>
  <c r="L20" i="8" s="1"/>
  <c r="M20" i="8" s="1"/>
  <c r="N20" i="8" s="1"/>
  <c r="O20" i="8" s="1"/>
  <c r="P20" i="8" s="1"/>
  <c r="Q20" i="8" s="1"/>
  <c r="R20" i="8" s="1"/>
  <c r="S20" i="8" s="1"/>
  <c r="T20" i="8" s="1"/>
  <c r="U20" i="8" s="1"/>
  <c r="G17" i="8"/>
  <c r="I5" i="8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H75" i="8"/>
  <c r="B36" i="8"/>
  <c r="H91" i="8"/>
  <c r="B38" i="8"/>
  <c r="O4" i="7"/>
  <c r="I9" i="8"/>
  <c r="I50" i="7"/>
  <c r="G50" i="7"/>
  <c r="E50" i="7"/>
  <c r="F4" i="7"/>
  <c r="F50" i="7"/>
  <c r="B30" i="8"/>
  <c r="Q4" i="7"/>
  <c r="C50" i="7"/>
  <c r="B46" i="8"/>
  <c r="B61" i="8" s="1"/>
  <c r="E4" i="7"/>
  <c r="AN72" i="36"/>
  <c r="AN65" i="36" s="1"/>
  <c r="Z12" i="36"/>
  <c r="AU12" i="36" s="1"/>
  <c r="B39" i="36"/>
  <c r="AM72" i="36"/>
  <c r="AM65" i="36" s="1"/>
  <c r="J111" i="36"/>
  <c r="K111" i="36" s="1"/>
  <c r="L111" i="36" s="1"/>
  <c r="M111" i="36" s="1"/>
  <c r="N111" i="36" s="1"/>
  <c r="O111" i="36" s="1"/>
  <c r="P111" i="36" s="1"/>
  <c r="Q111" i="36" s="1"/>
  <c r="R111" i="36" s="1"/>
  <c r="S111" i="36" s="1"/>
  <c r="T111" i="36" s="1"/>
  <c r="U111" i="36" s="1"/>
  <c r="V111" i="36" s="1"/>
  <c r="B77" i="17"/>
  <c r="AL72" i="36"/>
  <c r="AL65" i="36" s="1"/>
  <c r="I94" i="36"/>
  <c r="G115" i="36"/>
  <c r="H115" i="36" s="1"/>
  <c r="J115" i="36" s="1"/>
  <c r="K115" i="36" s="1"/>
  <c r="L115" i="36" s="1"/>
  <c r="M115" i="36" s="1"/>
  <c r="N115" i="36" s="1"/>
  <c r="O115" i="36" s="1"/>
  <c r="P115" i="36" s="1"/>
  <c r="Q115" i="36" s="1"/>
  <c r="R115" i="36" s="1"/>
  <c r="S115" i="36" s="1"/>
  <c r="T115" i="36" s="1"/>
  <c r="U115" i="36" s="1"/>
  <c r="V115" i="36" s="1"/>
  <c r="I119" i="36"/>
  <c r="J119" i="36"/>
  <c r="K119" i="36" s="1"/>
  <c r="L119" i="36" s="1"/>
  <c r="M119" i="36" s="1"/>
  <c r="N119" i="36" s="1"/>
  <c r="O119" i="36" s="1"/>
  <c r="P119" i="36" s="1"/>
  <c r="Q119" i="36" s="1"/>
  <c r="R119" i="36" s="1"/>
  <c r="S119" i="36" s="1"/>
  <c r="T119" i="36" s="1"/>
  <c r="U119" i="36" s="1"/>
  <c r="V119" i="36" s="1"/>
  <c r="B79" i="36"/>
  <c r="I102" i="36"/>
  <c r="E10" i="36"/>
  <c r="B68" i="36"/>
  <c r="AO72" i="36"/>
  <c r="AO65" i="36" s="1"/>
  <c r="AA12" i="35"/>
  <c r="AI12" i="35"/>
  <c r="C50" i="35"/>
  <c r="C69" i="35" s="1"/>
  <c r="C87" i="35" s="1"/>
  <c r="D16" i="34" s="1"/>
  <c r="D41" i="34" s="1"/>
  <c r="D54" i="34" s="1"/>
  <c r="F9" i="36" s="1"/>
  <c r="L9" i="35"/>
  <c r="AF12" i="35"/>
  <c r="AD12" i="35"/>
  <c r="V12" i="35"/>
  <c r="V30" i="35" s="1"/>
  <c r="V47" i="35" s="1"/>
  <c r="X16" i="34" s="1"/>
  <c r="D37" i="34" s="1"/>
  <c r="D50" i="34" s="1"/>
  <c r="AC50" i="35"/>
  <c r="H174" i="35"/>
  <c r="AD50" i="35"/>
  <c r="D110" i="35"/>
  <c r="E110" i="35" s="1"/>
  <c r="F110" i="35" s="1"/>
  <c r="G110" i="35" s="1"/>
  <c r="H110" i="35" s="1"/>
  <c r="BH17" i="36"/>
  <c r="AX17" i="36"/>
  <c r="V91" i="35"/>
  <c r="V110" i="35" s="1"/>
  <c r="V128" i="35" s="1"/>
  <c r="X18" i="34" s="1"/>
  <c r="BC17" i="36"/>
  <c r="BB17" i="36"/>
  <c r="Y50" i="35"/>
  <c r="D9" i="35"/>
  <c r="H9" i="35"/>
  <c r="Y9" i="35"/>
  <c r="F174" i="35"/>
  <c r="G133" i="35"/>
  <c r="BG17" i="36"/>
  <c r="Z50" i="35"/>
  <c r="AK50" i="35"/>
  <c r="AE50" i="35"/>
  <c r="D69" i="35"/>
  <c r="AV17" i="36"/>
  <c r="AV12" i="36" s="1"/>
  <c r="U9" i="35"/>
  <c r="Z91" i="35"/>
  <c r="X91" i="35"/>
  <c r="B80" i="36"/>
  <c r="B46" i="36"/>
  <c r="B10" i="36"/>
  <c r="B73" i="36" s="1"/>
  <c r="AD5" i="35"/>
  <c r="AD9" i="35" s="1"/>
  <c r="AW17" i="36"/>
  <c r="BD17" i="36"/>
  <c r="BF17" i="36"/>
  <c r="F133" i="35"/>
  <c r="B76" i="17"/>
  <c r="Z6" i="36"/>
  <c r="Z46" i="36" s="1"/>
  <c r="B60" i="36"/>
  <c r="AL51" i="35"/>
  <c r="X51" i="35" s="1"/>
  <c r="E7" i="36"/>
  <c r="AZ17" i="36"/>
  <c r="BA17" i="36"/>
  <c r="BE17" i="36"/>
  <c r="AY17" i="36"/>
  <c r="B32" i="36"/>
  <c r="B86" i="36"/>
  <c r="E50" i="35"/>
  <c r="D174" i="35"/>
  <c r="D193" i="35" s="1"/>
  <c r="K91" i="35"/>
  <c r="AC11" i="34"/>
  <c r="E9" i="35"/>
  <c r="J9" i="35"/>
  <c r="G9" i="35"/>
  <c r="X9" i="35"/>
  <c r="C128" i="35"/>
  <c r="D17" i="34" s="1"/>
  <c r="D42" i="34" s="1"/>
  <c r="D55" i="34" s="1"/>
  <c r="F10" i="36" s="1"/>
  <c r="C132" i="35"/>
  <c r="C151" i="35" s="1"/>
  <c r="K9" i="35"/>
  <c r="H173" i="35"/>
  <c r="G12" i="35"/>
  <c r="H133" i="35"/>
  <c r="Z12" i="35"/>
  <c r="W12" i="35"/>
  <c r="AJ12" i="35"/>
  <c r="F12" i="35"/>
  <c r="D92" i="35"/>
  <c r="D111" i="35" s="1"/>
  <c r="I92" i="35"/>
  <c r="AC5" i="35"/>
  <c r="Z9" i="35"/>
  <c r="AD11" i="34"/>
  <c r="D133" i="35"/>
  <c r="D152" i="35" s="1"/>
  <c r="E152" i="35" s="1"/>
  <c r="AB12" i="35"/>
  <c r="AH12" i="35"/>
  <c r="AC12" i="35"/>
  <c r="AL13" i="35"/>
  <c r="AL14" i="35" s="1"/>
  <c r="AE11" i="34"/>
  <c r="D132" i="35"/>
  <c r="AG11" i="34"/>
  <c r="AA5" i="36"/>
  <c r="AB5" i="36" s="1"/>
  <c r="AC5" i="36" s="1"/>
  <c r="AD5" i="36" s="1"/>
  <c r="AE5" i="36" s="1"/>
  <c r="AF5" i="36" s="1"/>
  <c r="AG5" i="36" s="1"/>
  <c r="AH5" i="36" s="1"/>
  <c r="AI5" i="36" s="1"/>
  <c r="AJ5" i="36" s="1"/>
  <c r="AK5" i="36" s="1"/>
  <c r="AL5" i="36" s="1"/>
  <c r="AM5" i="36" s="1"/>
  <c r="AN5" i="36" s="1"/>
  <c r="AO5" i="36" s="1"/>
  <c r="AP5" i="36" s="1"/>
  <c r="AQ5" i="36" s="1"/>
  <c r="AR5" i="36" s="1"/>
  <c r="S134" i="35"/>
  <c r="G134" i="35" s="1"/>
  <c r="AK12" i="35"/>
  <c r="Y12" i="35"/>
  <c r="C173" i="35"/>
  <c r="C192" i="35" s="1"/>
  <c r="H42" i="32"/>
  <c r="I42" i="32" s="1"/>
  <c r="J42" i="32" s="1"/>
  <c r="K42" i="32" s="1"/>
  <c r="L42" i="32" s="1"/>
  <c r="M42" i="32" s="1"/>
  <c r="N42" i="32" s="1"/>
  <c r="O42" i="32" s="1"/>
  <c r="P42" i="32" s="1"/>
  <c r="Q42" i="32" s="1"/>
  <c r="R42" i="32" s="1"/>
  <c r="S42" i="32" s="1"/>
  <c r="T42" i="32" s="1"/>
  <c r="G42" i="32"/>
  <c r="D46" i="32"/>
  <c r="E46" i="32" s="1"/>
  <c r="F46" i="32" s="1"/>
  <c r="J41" i="5"/>
  <c r="J42" i="5" s="1"/>
  <c r="R32" i="5"/>
  <c r="R34" i="5" s="1"/>
  <c r="H14" i="5"/>
  <c r="F14" i="5"/>
  <c r="H32" i="5"/>
  <c r="H34" i="5" s="1"/>
  <c r="H44" i="5" s="1"/>
  <c r="H53" i="5" s="1"/>
  <c r="E44" i="5"/>
  <c r="J32" i="5"/>
  <c r="J34" i="5" s="1"/>
  <c r="J44" i="5" s="1"/>
  <c r="J53" i="5" s="1"/>
  <c r="H5" i="32" s="1"/>
  <c r="M14" i="5"/>
  <c r="N27" i="5"/>
  <c r="N29" i="5" s="1"/>
  <c r="L14" i="5"/>
  <c r="C13" i="32"/>
  <c r="F32" i="5"/>
  <c r="F34" i="5" s="1"/>
  <c r="F44" i="5" s="1"/>
  <c r="M40" i="5"/>
  <c r="E40" i="5"/>
  <c r="E53" i="5" s="1"/>
  <c r="C5" i="32" s="1"/>
  <c r="J33" i="5"/>
  <c r="J35" i="5" s="1"/>
  <c r="M32" i="5"/>
  <c r="M34" i="5" s="1"/>
  <c r="M44" i="5" s="1"/>
  <c r="J13" i="32"/>
  <c r="M13" i="32"/>
  <c r="F41" i="5"/>
  <c r="H41" i="5"/>
  <c r="H42" i="5" s="1"/>
  <c r="H13" i="32"/>
  <c r="D13" i="32"/>
  <c r="P658" i="2"/>
  <c r="P522" i="2"/>
  <c r="Q698" i="2"/>
  <c r="Q630" i="2"/>
  <c r="L168" i="2"/>
  <c r="G446" i="2"/>
  <c r="G372" i="2" s="1"/>
  <c r="G7" i="2" s="1"/>
  <c r="Q196" i="2"/>
  <c r="I196" i="2"/>
  <c r="H196" i="2"/>
  <c r="Q685" i="2"/>
  <c r="Q617" i="2"/>
  <c r="H73" i="2"/>
  <c r="I73" i="2" s="1"/>
  <c r="J73" i="2" s="1"/>
  <c r="K73" i="2" s="1"/>
  <c r="L73" i="2" s="1"/>
  <c r="M73" i="2" s="1"/>
  <c r="N73" i="2" s="1"/>
  <c r="O73" i="2" s="1"/>
  <c r="P73" i="2" s="1"/>
  <c r="Q73" i="2" s="1"/>
  <c r="R73" i="2" s="1"/>
  <c r="S73" i="2" s="1"/>
  <c r="T73" i="2" s="1"/>
  <c r="G73" i="2"/>
  <c r="C640" i="2"/>
  <c r="C708" i="2"/>
  <c r="J630" i="2"/>
  <c r="J494" i="2" s="1"/>
  <c r="J420" i="2" s="1"/>
  <c r="J55" i="2" s="1"/>
  <c r="J263" i="2" s="1"/>
  <c r="J698" i="2"/>
  <c r="I690" i="2"/>
  <c r="I622" i="2"/>
  <c r="F526" i="2"/>
  <c r="F458" i="2" s="1"/>
  <c r="F384" i="2" s="1"/>
  <c r="F19" i="2" s="1"/>
  <c r="F594" i="2"/>
  <c r="F662" i="2"/>
  <c r="F650" i="2"/>
  <c r="F582" i="2"/>
  <c r="F514" i="2"/>
  <c r="D631" i="2"/>
  <c r="D495" i="2" s="1"/>
  <c r="D421" i="2" s="1"/>
  <c r="D56" i="2" s="1"/>
  <c r="D699" i="2"/>
  <c r="O641" i="2"/>
  <c r="O709" i="2"/>
  <c r="M639" i="2"/>
  <c r="M707" i="2"/>
  <c r="N638" i="2"/>
  <c r="N502" i="2" s="1"/>
  <c r="N428" i="2" s="1"/>
  <c r="N63" i="2" s="1"/>
  <c r="N271" i="2" s="1"/>
  <c r="N706" i="2"/>
  <c r="K705" i="2"/>
  <c r="K637" i="2"/>
  <c r="K501" i="2" s="1"/>
  <c r="K427" i="2" s="1"/>
  <c r="K62" i="2" s="1"/>
  <c r="L704" i="2"/>
  <c r="L500" i="2" s="1"/>
  <c r="L426" i="2" s="1"/>
  <c r="L61" i="2" s="1"/>
  <c r="L636" i="2"/>
  <c r="M703" i="2"/>
  <c r="M635" i="2"/>
  <c r="N698" i="2"/>
  <c r="N494" i="2" s="1"/>
  <c r="N420" i="2" s="1"/>
  <c r="N55" i="2" s="1"/>
  <c r="N630" i="2"/>
  <c r="Q684" i="2"/>
  <c r="Q616" i="2"/>
  <c r="Q548" i="2"/>
  <c r="Q599" i="2"/>
  <c r="Q667" i="2"/>
  <c r="Q531" i="2"/>
  <c r="Q587" i="2"/>
  <c r="Q519" i="2"/>
  <c r="K649" i="2"/>
  <c r="K445" i="2" s="1"/>
  <c r="K371" i="2" s="1"/>
  <c r="K6" i="2" s="1"/>
  <c r="K214" i="2" s="1"/>
  <c r="L468" i="2"/>
  <c r="L394" i="2" s="1"/>
  <c r="L29" i="2" s="1"/>
  <c r="O581" i="2"/>
  <c r="O649" i="2"/>
  <c r="C168" i="2"/>
  <c r="C235" i="2" s="1"/>
  <c r="G658" i="2"/>
  <c r="P622" i="2"/>
  <c r="P690" i="2"/>
  <c r="P705" i="2"/>
  <c r="P637" i="2"/>
  <c r="F649" i="2"/>
  <c r="F581" i="2"/>
  <c r="G168" i="2"/>
  <c r="G586" i="2"/>
  <c r="G518" i="2"/>
  <c r="K630" i="2"/>
  <c r="K698" i="2"/>
  <c r="L492" i="2"/>
  <c r="L418" i="2" s="1"/>
  <c r="L53" i="2" s="1"/>
  <c r="M695" i="2"/>
  <c r="M627" i="2"/>
  <c r="N626" i="2"/>
  <c r="N694" i="2"/>
  <c r="K693" i="2"/>
  <c r="K625" i="2"/>
  <c r="L624" i="2"/>
  <c r="L692" i="2"/>
  <c r="N690" i="2"/>
  <c r="N622" i="2"/>
  <c r="O621" i="2"/>
  <c r="O553" i="2"/>
  <c r="O689" i="2"/>
  <c r="K689" i="2"/>
  <c r="K621" i="2"/>
  <c r="K485" i="2" s="1"/>
  <c r="K411" i="2" s="1"/>
  <c r="K46" i="2" s="1"/>
  <c r="M619" i="2"/>
  <c r="M483" i="2" s="1"/>
  <c r="M409" i="2" s="1"/>
  <c r="M44" i="2" s="1"/>
  <c r="M551" i="2"/>
  <c r="N686" i="2"/>
  <c r="N550" i="2"/>
  <c r="N618" i="2"/>
  <c r="O617" i="2"/>
  <c r="O685" i="2"/>
  <c r="O549" i="2"/>
  <c r="O481" i="2" s="1"/>
  <c r="O407" i="2" s="1"/>
  <c r="O42" i="2" s="1"/>
  <c r="K617" i="2"/>
  <c r="K481" i="2" s="1"/>
  <c r="K407" i="2" s="1"/>
  <c r="K42" i="2" s="1"/>
  <c r="K549" i="2"/>
  <c r="L616" i="2"/>
  <c r="L548" i="2"/>
  <c r="L684" i="2"/>
  <c r="M547" i="2"/>
  <c r="M683" i="2"/>
  <c r="N682" i="2"/>
  <c r="N546" i="2"/>
  <c r="O545" i="2"/>
  <c r="O477" i="2" s="1"/>
  <c r="O403" i="2" s="1"/>
  <c r="O38" i="2" s="1"/>
  <c r="O613" i="2"/>
  <c r="K681" i="2"/>
  <c r="K613" i="2"/>
  <c r="L544" i="2"/>
  <c r="L612" i="2"/>
  <c r="N678" i="2"/>
  <c r="N542" i="2"/>
  <c r="N610" i="2"/>
  <c r="O541" i="2"/>
  <c r="O677" i="2"/>
  <c r="O609" i="2"/>
  <c r="K677" i="2"/>
  <c r="K609" i="2"/>
  <c r="K541" i="2"/>
  <c r="K473" i="2" s="1"/>
  <c r="K399" i="2" s="1"/>
  <c r="K34" i="2" s="1"/>
  <c r="L540" i="2"/>
  <c r="L676" i="2"/>
  <c r="L608" i="2"/>
  <c r="M675" i="2"/>
  <c r="M607" i="2"/>
  <c r="N538" i="2"/>
  <c r="N674" i="2"/>
  <c r="K605" i="2"/>
  <c r="K537" i="2"/>
  <c r="L672" i="2"/>
  <c r="L604" i="2"/>
  <c r="M535" i="2"/>
  <c r="M671" i="2"/>
  <c r="N602" i="2"/>
  <c r="N670" i="2"/>
  <c r="N534" i="2"/>
  <c r="N466" i="2" s="1"/>
  <c r="N392" i="2" s="1"/>
  <c r="N27" i="2" s="1"/>
  <c r="N235" i="2" s="1"/>
  <c r="O533" i="2"/>
  <c r="O601" i="2"/>
  <c r="O669" i="2"/>
  <c r="K601" i="2"/>
  <c r="K669" i="2"/>
  <c r="K533" i="2"/>
  <c r="L600" i="2"/>
  <c r="L532" i="2"/>
  <c r="L668" i="2"/>
  <c r="M531" i="2"/>
  <c r="M599" i="2"/>
  <c r="N598" i="2"/>
  <c r="N462" i="2" s="1"/>
  <c r="N388" i="2" s="1"/>
  <c r="N23" i="2" s="1"/>
  <c r="N666" i="2"/>
  <c r="O529" i="2"/>
  <c r="O461" i="2" s="1"/>
  <c r="O387" i="2" s="1"/>
  <c r="O22" i="2" s="1"/>
  <c r="O665" i="2"/>
  <c r="K529" i="2"/>
  <c r="K461" i="2" s="1"/>
  <c r="K387" i="2" s="1"/>
  <c r="K22" i="2" s="1"/>
  <c r="K665" i="2"/>
  <c r="K597" i="2"/>
  <c r="L528" i="2"/>
  <c r="L596" i="2"/>
  <c r="L664" i="2"/>
  <c r="M663" i="2"/>
  <c r="M527" i="2"/>
  <c r="M595" i="2"/>
  <c r="N662" i="2"/>
  <c r="N594" i="2"/>
  <c r="N526" i="2"/>
  <c r="O593" i="2"/>
  <c r="O457" i="2" s="1"/>
  <c r="O383" i="2" s="1"/>
  <c r="O18" i="2" s="1"/>
  <c r="O661" i="2"/>
  <c r="K593" i="2"/>
  <c r="K661" i="2"/>
  <c r="L592" i="2"/>
  <c r="L524" i="2"/>
  <c r="L660" i="2"/>
  <c r="O521" i="2"/>
  <c r="O657" i="2"/>
  <c r="O589" i="2"/>
  <c r="K657" i="2"/>
  <c r="K589" i="2"/>
  <c r="K521" i="2"/>
  <c r="K453" i="2" s="1"/>
  <c r="K379" i="2" s="1"/>
  <c r="K14" i="2" s="1"/>
  <c r="P583" i="2"/>
  <c r="P447" i="2" s="1"/>
  <c r="P373" i="2" s="1"/>
  <c r="P8" i="2" s="1"/>
  <c r="P515" i="2"/>
  <c r="P651" i="2"/>
  <c r="P588" i="2"/>
  <c r="P452" i="2" s="1"/>
  <c r="P378" i="2" s="1"/>
  <c r="P13" i="2" s="1"/>
  <c r="P520" i="2"/>
  <c r="P594" i="2"/>
  <c r="P662" i="2"/>
  <c r="P526" i="2"/>
  <c r="P458" i="2" s="1"/>
  <c r="P384" i="2" s="1"/>
  <c r="P19" i="2" s="1"/>
  <c r="P530" i="2"/>
  <c r="P666" i="2"/>
  <c r="P672" i="2"/>
  <c r="P604" i="2"/>
  <c r="P468" i="2" s="1"/>
  <c r="P394" i="2" s="1"/>
  <c r="P29" i="2" s="1"/>
  <c r="P543" i="2"/>
  <c r="P679" i="2"/>
  <c r="P617" i="2"/>
  <c r="P685" i="2"/>
  <c r="P481" i="2" s="1"/>
  <c r="P407" i="2" s="1"/>
  <c r="P42" i="2" s="1"/>
  <c r="J463" i="2"/>
  <c r="J389" i="2" s="1"/>
  <c r="J24" i="2" s="1"/>
  <c r="C497" i="2"/>
  <c r="C423" i="2" s="1"/>
  <c r="C58" i="2" s="1"/>
  <c r="I444" i="2"/>
  <c r="I370" i="2" s="1"/>
  <c r="I5" i="2" s="1"/>
  <c r="I473" i="2"/>
  <c r="I399" i="2" s="1"/>
  <c r="I34" i="2" s="1"/>
  <c r="F494" i="2"/>
  <c r="F420" i="2" s="1"/>
  <c r="F55" i="2" s="1"/>
  <c r="I489" i="2"/>
  <c r="I415" i="2" s="1"/>
  <c r="I50" i="2" s="1"/>
  <c r="O476" i="2"/>
  <c r="O402" i="2" s="1"/>
  <c r="O37" i="2" s="1"/>
  <c r="D496" i="2"/>
  <c r="D422" i="2" s="1"/>
  <c r="D57" i="2" s="1"/>
  <c r="I204" i="2"/>
  <c r="L207" i="2"/>
  <c r="O191" i="2"/>
  <c r="P208" i="2"/>
  <c r="Q207" i="2"/>
  <c r="N443" i="2"/>
  <c r="N369" i="2" s="1"/>
  <c r="N4" i="2" s="1"/>
  <c r="M465" i="2"/>
  <c r="M391" i="2" s="1"/>
  <c r="M26" i="2" s="1"/>
  <c r="N468" i="2"/>
  <c r="N394" i="2" s="1"/>
  <c r="N29" i="2" s="1"/>
  <c r="F449" i="2"/>
  <c r="F375" i="2" s="1"/>
  <c r="F10" i="2" s="1"/>
  <c r="J488" i="2"/>
  <c r="J414" i="2" s="1"/>
  <c r="J49" i="2" s="1"/>
  <c r="F452" i="2"/>
  <c r="F378" i="2" s="1"/>
  <c r="F13" i="2" s="1"/>
  <c r="F464" i="2"/>
  <c r="F390" i="2" s="1"/>
  <c r="F25" i="2" s="1"/>
  <c r="M649" i="2"/>
  <c r="G190" i="2"/>
  <c r="G257" i="2" s="1"/>
  <c r="D472" i="2"/>
  <c r="D398" i="2" s="1"/>
  <c r="D33" i="2" s="1"/>
  <c r="I477" i="2"/>
  <c r="I403" i="2" s="1"/>
  <c r="I38" i="2" s="1"/>
  <c r="C469" i="2"/>
  <c r="C395" i="2" s="1"/>
  <c r="C30" i="2" s="1"/>
  <c r="I171" i="2" s="1"/>
  <c r="I238" i="2" s="1"/>
  <c r="I496" i="2"/>
  <c r="I422" i="2" s="1"/>
  <c r="I57" i="2" s="1"/>
  <c r="G517" i="2"/>
  <c r="G585" i="2"/>
  <c r="G449" i="2" s="1"/>
  <c r="G375" i="2" s="1"/>
  <c r="G10" i="2" s="1"/>
  <c r="G653" i="2"/>
  <c r="K702" i="2"/>
  <c r="K634" i="2"/>
  <c r="M700" i="2"/>
  <c r="M632" i="2"/>
  <c r="N619" i="2"/>
  <c r="N687" i="2"/>
  <c r="N551" i="2"/>
  <c r="N483" i="2" s="1"/>
  <c r="N409" i="2" s="1"/>
  <c r="N44" i="2" s="1"/>
  <c r="M684" i="2"/>
  <c r="M616" i="2"/>
  <c r="K682" i="2"/>
  <c r="K546" i="2"/>
  <c r="K478" i="2" s="1"/>
  <c r="K404" i="2" s="1"/>
  <c r="K39" i="2" s="1"/>
  <c r="M680" i="2"/>
  <c r="M544" i="2"/>
  <c r="K678" i="2"/>
  <c r="K610" i="2"/>
  <c r="K542" i="2"/>
  <c r="K606" i="2"/>
  <c r="K674" i="2"/>
  <c r="K662" i="2"/>
  <c r="K594" i="2"/>
  <c r="L521" i="2"/>
  <c r="L657" i="2"/>
  <c r="K518" i="2"/>
  <c r="K586" i="2"/>
  <c r="K654" i="2"/>
  <c r="Q545" i="2"/>
  <c r="Q613" i="2"/>
  <c r="Q681" i="2"/>
  <c r="F168" i="2"/>
  <c r="O156" i="2"/>
  <c r="K274" i="2"/>
  <c r="Q168" i="2"/>
  <c r="J168" i="2"/>
  <c r="K168" i="2"/>
  <c r="P156" i="2"/>
  <c r="I168" i="2"/>
  <c r="G638" i="2"/>
  <c r="M652" i="2"/>
  <c r="L597" i="2"/>
  <c r="L461" i="2" s="1"/>
  <c r="L387" i="2" s="1"/>
  <c r="L22" i="2" s="1"/>
  <c r="O678" i="2"/>
  <c r="O474" i="2" s="1"/>
  <c r="O400" i="2" s="1"/>
  <c r="O35" i="2" s="1"/>
  <c r="L685" i="2"/>
  <c r="L481" i="2" s="1"/>
  <c r="L407" i="2" s="1"/>
  <c r="L42" i="2" s="1"/>
  <c r="O618" i="2"/>
  <c r="O482" i="2" s="1"/>
  <c r="O408" i="2" s="1"/>
  <c r="O43" i="2" s="1"/>
  <c r="K622" i="2"/>
  <c r="K486" i="2" s="1"/>
  <c r="K412" i="2" s="1"/>
  <c r="K47" i="2" s="1"/>
  <c r="D523" i="2"/>
  <c r="D455" i="2" s="1"/>
  <c r="D381" i="2" s="1"/>
  <c r="D16" i="2" s="1"/>
  <c r="D457" i="2"/>
  <c r="D383" i="2" s="1"/>
  <c r="D18" i="2" s="1"/>
  <c r="D476" i="2"/>
  <c r="D402" i="2" s="1"/>
  <c r="D37" i="2" s="1"/>
  <c r="F457" i="2"/>
  <c r="F383" i="2" s="1"/>
  <c r="F18" i="2" s="1"/>
  <c r="H613" i="2"/>
  <c r="H698" i="2"/>
  <c r="H494" i="2" s="1"/>
  <c r="H420" i="2" s="1"/>
  <c r="H55" i="2" s="1"/>
  <c r="I687" i="2"/>
  <c r="I483" i="2" s="1"/>
  <c r="I409" i="2" s="1"/>
  <c r="I44" i="2" s="1"/>
  <c r="M548" i="2"/>
  <c r="M480" i="2" s="1"/>
  <c r="M406" i="2" s="1"/>
  <c r="M41" i="2" s="1"/>
  <c r="G363" i="2"/>
  <c r="G642" i="2" s="1"/>
  <c r="O698" i="2"/>
  <c r="O494" i="2" s="1"/>
  <c r="O420" i="2" s="1"/>
  <c r="O55" i="2" s="1"/>
  <c r="L709" i="2"/>
  <c r="L505" i="2" s="1"/>
  <c r="L431" i="2" s="1"/>
  <c r="L66" i="2" s="1"/>
  <c r="L625" i="2"/>
  <c r="C536" i="2"/>
  <c r="C604" i="2"/>
  <c r="J631" i="2"/>
  <c r="J699" i="2"/>
  <c r="J530" i="2"/>
  <c r="J598" i="2"/>
  <c r="J666" i="2"/>
  <c r="J590" i="2"/>
  <c r="J658" i="2"/>
  <c r="I704" i="2"/>
  <c r="I500" i="2" s="1"/>
  <c r="I426" i="2" s="1"/>
  <c r="I61" i="2" s="1"/>
  <c r="I636" i="2"/>
  <c r="I627" i="2"/>
  <c r="I695" i="2"/>
  <c r="I655" i="2"/>
  <c r="I587" i="2"/>
  <c r="H669" i="2"/>
  <c r="H533" i="2"/>
  <c r="F708" i="2"/>
  <c r="F640" i="2"/>
  <c r="F659" i="2"/>
  <c r="F523" i="2"/>
  <c r="F515" i="2"/>
  <c r="F583" i="2"/>
  <c r="E625" i="2"/>
  <c r="E693" i="2"/>
  <c r="E525" i="2"/>
  <c r="E593" i="2"/>
  <c r="D623" i="2"/>
  <c r="D691" i="2"/>
  <c r="D687" i="2"/>
  <c r="D619" i="2"/>
  <c r="D551" i="2"/>
  <c r="D543" i="2"/>
  <c r="D679" i="2"/>
  <c r="D611" i="2"/>
  <c r="D671" i="2"/>
  <c r="D603" i="2"/>
  <c r="D535" i="2"/>
  <c r="D519" i="2"/>
  <c r="D655" i="2"/>
  <c r="D587" i="2"/>
  <c r="D651" i="2"/>
  <c r="D515" i="2"/>
  <c r="N639" i="2"/>
  <c r="N707" i="2"/>
  <c r="O702" i="2"/>
  <c r="O634" i="2"/>
  <c r="M696" i="2"/>
  <c r="M628" i="2"/>
  <c r="M624" i="2"/>
  <c r="M488" i="2" s="1"/>
  <c r="M414" i="2" s="1"/>
  <c r="M49" i="2" s="1"/>
  <c r="M692" i="2"/>
  <c r="L545" i="2"/>
  <c r="L613" i="2"/>
  <c r="N611" i="2"/>
  <c r="N475" i="2" s="1"/>
  <c r="N401" i="2" s="1"/>
  <c r="N36" i="2" s="1"/>
  <c r="N543" i="2"/>
  <c r="L609" i="2"/>
  <c r="L541" i="2"/>
  <c r="L677" i="2"/>
  <c r="O538" i="2"/>
  <c r="O674" i="2"/>
  <c r="O606" i="2"/>
  <c r="M672" i="2"/>
  <c r="M536" i="2"/>
  <c r="M604" i="2"/>
  <c r="O670" i="2"/>
  <c r="O534" i="2"/>
  <c r="M668" i="2"/>
  <c r="M532" i="2"/>
  <c r="K666" i="2"/>
  <c r="K598" i="2"/>
  <c r="N527" i="2"/>
  <c r="N595" i="2"/>
  <c r="N663" i="2"/>
  <c r="M524" i="2"/>
  <c r="M592" i="2"/>
  <c r="M660" i="2"/>
  <c r="N587" i="2"/>
  <c r="N519" i="2"/>
  <c r="O514" i="2"/>
  <c r="O650" i="2"/>
  <c r="O582" i="2"/>
  <c r="L580" i="2"/>
  <c r="L444" i="2" s="1"/>
  <c r="L370" i="2" s="1"/>
  <c r="L5" i="2" s="1"/>
  <c r="L648" i="2"/>
  <c r="E156" i="2"/>
  <c r="E223" i="2" s="1"/>
  <c r="G625" i="2"/>
  <c r="G489" i="2" s="1"/>
  <c r="G415" i="2" s="1"/>
  <c r="G50" i="2" s="1"/>
  <c r="G630" i="2"/>
  <c r="G529" i="2"/>
  <c r="K514" i="2"/>
  <c r="L601" i="2"/>
  <c r="L553" i="2"/>
  <c r="L485" i="2" s="1"/>
  <c r="L411" i="2" s="1"/>
  <c r="L46" i="2" s="1"/>
  <c r="E648" i="2"/>
  <c r="E444" i="2" s="1"/>
  <c r="E370" i="2" s="1"/>
  <c r="E5" i="2" s="1"/>
  <c r="E661" i="2"/>
  <c r="E673" i="2"/>
  <c r="E541" i="2"/>
  <c r="E689" i="2"/>
  <c r="E485" i="2" s="1"/>
  <c r="E411" i="2" s="1"/>
  <c r="E46" i="2" s="1"/>
  <c r="E702" i="2"/>
  <c r="E498" i="2" s="1"/>
  <c r="E424" i="2" s="1"/>
  <c r="E59" i="2" s="1"/>
  <c r="F591" i="2"/>
  <c r="F603" i="2"/>
  <c r="F547" i="2"/>
  <c r="F632" i="2"/>
  <c r="F496" i="2" s="1"/>
  <c r="F422" i="2" s="1"/>
  <c r="F57" i="2" s="1"/>
  <c r="H521" i="2"/>
  <c r="H545" i="2"/>
  <c r="H477" i="2" s="1"/>
  <c r="H403" i="2" s="1"/>
  <c r="H38" i="2" s="1"/>
  <c r="H634" i="2"/>
  <c r="H498" i="2" s="1"/>
  <c r="H424" i="2" s="1"/>
  <c r="H59" i="2" s="1"/>
  <c r="H706" i="2"/>
  <c r="H502" i="2" s="1"/>
  <c r="H428" i="2" s="1"/>
  <c r="H63" i="2" s="1"/>
  <c r="H271" i="2" s="1"/>
  <c r="I591" i="2"/>
  <c r="J650" i="2"/>
  <c r="J654" i="2"/>
  <c r="J602" i="2"/>
  <c r="J466" i="2" s="1"/>
  <c r="J392" i="2" s="1"/>
  <c r="J27" i="2" s="1"/>
  <c r="J235" i="2" s="1"/>
  <c r="J674" i="2"/>
  <c r="J470" i="2" s="1"/>
  <c r="J396" i="2" s="1"/>
  <c r="J31" i="2" s="1"/>
  <c r="J682" i="2"/>
  <c r="J478" i="2" s="1"/>
  <c r="J404" i="2" s="1"/>
  <c r="J39" i="2" s="1"/>
  <c r="J622" i="2"/>
  <c r="J486" i="2" s="1"/>
  <c r="J412" i="2" s="1"/>
  <c r="J47" i="2" s="1"/>
  <c r="J694" i="2"/>
  <c r="J490" i="2" s="1"/>
  <c r="J416" i="2" s="1"/>
  <c r="J51" i="2" s="1"/>
  <c r="J703" i="2"/>
  <c r="J499" i="2" s="1"/>
  <c r="J425" i="2" s="1"/>
  <c r="J60" i="2" s="1"/>
  <c r="F655" i="2"/>
  <c r="D704" i="2"/>
  <c r="D500" i="2" s="1"/>
  <c r="D426" i="2" s="1"/>
  <c r="D61" i="2" s="1"/>
  <c r="M600" i="2"/>
  <c r="M612" i="2"/>
  <c r="J522" i="2"/>
  <c r="L701" i="2"/>
  <c r="L497" i="2" s="1"/>
  <c r="L423" i="2" s="1"/>
  <c r="L58" i="2" s="1"/>
  <c r="O710" i="2"/>
  <c r="O506" i="2" s="1"/>
  <c r="O432" i="2" s="1"/>
  <c r="O67" i="2" s="1"/>
  <c r="K526" i="2"/>
  <c r="L589" i="2"/>
  <c r="C704" i="2"/>
  <c r="C636" i="2"/>
  <c r="C700" i="2"/>
  <c r="C632" i="2"/>
  <c r="C695" i="2"/>
  <c r="C627" i="2"/>
  <c r="C687" i="2"/>
  <c r="C551" i="2"/>
  <c r="C619" i="2"/>
  <c r="C543" i="2"/>
  <c r="C475" i="2" s="1"/>
  <c r="C401" i="2" s="1"/>
  <c r="C36" i="2" s="1"/>
  <c r="N177" i="2" s="1"/>
  <c r="N244" i="2" s="1"/>
  <c r="C611" i="2"/>
  <c r="C600" i="2"/>
  <c r="C668" i="2"/>
  <c r="C528" i="2"/>
  <c r="C596" i="2"/>
  <c r="C664" i="2"/>
  <c r="J678" i="2"/>
  <c r="J542" i="2"/>
  <c r="J474" i="2" s="1"/>
  <c r="J400" i="2" s="1"/>
  <c r="J35" i="2" s="1"/>
  <c r="J662" i="2"/>
  <c r="J526" i="2"/>
  <c r="I640" i="2"/>
  <c r="I708" i="2"/>
  <c r="I607" i="2"/>
  <c r="I539" i="2"/>
  <c r="I603" i="2"/>
  <c r="I535" i="2"/>
  <c r="H685" i="2"/>
  <c r="H481" i="2" s="1"/>
  <c r="H407" i="2" s="1"/>
  <c r="H42" i="2" s="1"/>
  <c r="G338" i="2"/>
  <c r="H605" i="2"/>
  <c r="G326" i="2"/>
  <c r="G673" i="2" s="1"/>
  <c r="H537" i="2"/>
  <c r="H673" i="2"/>
  <c r="H665" i="2"/>
  <c r="H529" i="2"/>
  <c r="H461" i="2" s="1"/>
  <c r="H387" i="2" s="1"/>
  <c r="H22" i="2" s="1"/>
  <c r="H593" i="2"/>
  <c r="H661" i="2"/>
  <c r="H648" i="2"/>
  <c r="H580" i="2"/>
  <c r="G301" i="2"/>
  <c r="F704" i="2"/>
  <c r="F636" i="2"/>
  <c r="F623" i="2"/>
  <c r="F691" i="2"/>
  <c r="F551" i="2"/>
  <c r="F687" i="2"/>
  <c r="F619" i="2"/>
  <c r="F539" i="2"/>
  <c r="F675" i="2"/>
  <c r="F663" i="2"/>
  <c r="F527" i="2"/>
  <c r="F459" i="2" s="1"/>
  <c r="F385" i="2" s="1"/>
  <c r="F20" i="2" s="1"/>
  <c r="E710" i="2"/>
  <c r="E642" i="2"/>
  <c r="E638" i="2"/>
  <c r="E706" i="2"/>
  <c r="E630" i="2"/>
  <c r="E698" i="2"/>
  <c r="E597" i="2"/>
  <c r="E529" i="2"/>
  <c r="E589" i="2"/>
  <c r="E521" i="2"/>
  <c r="D627" i="2"/>
  <c r="D695" i="2"/>
  <c r="D547" i="2"/>
  <c r="D615" i="2"/>
  <c r="D607" i="2"/>
  <c r="D675" i="2"/>
  <c r="D539" i="2"/>
  <c r="K642" i="2"/>
  <c r="K710" i="2"/>
  <c r="M708" i="2"/>
  <c r="M640" i="2"/>
  <c r="O638" i="2"/>
  <c r="O706" i="2"/>
  <c r="L637" i="2"/>
  <c r="L705" i="2"/>
  <c r="N695" i="2"/>
  <c r="N627" i="2"/>
  <c r="K626" i="2"/>
  <c r="K694" i="2"/>
  <c r="N623" i="2"/>
  <c r="N691" i="2"/>
  <c r="M688" i="2"/>
  <c r="M620" i="2"/>
  <c r="M552" i="2"/>
  <c r="K550" i="2"/>
  <c r="K618" i="2"/>
  <c r="O546" i="2"/>
  <c r="O682" i="2"/>
  <c r="O614" i="2"/>
  <c r="M540" i="2"/>
  <c r="M608" i="2"/>
  <c r="N539" i="2"/>
  <c r="N675" i="2"/>
  <c r="L537" i="2"/>
  <c r="L605" i="2"/>
  <c r="N671" i="2"/>
  <c r="N535" i="2"/>
  <c r="K534" i="2"/>
  <c r="K466" i="2" s="1"/>
  <c r="K392" i="2" s="1"/>
  <c r="K27" i="2" s="1"/>
  <c r="K235" i="2" s="1"/>
  <c r="K670" i="2"/>
  <c r="N599" i="2"/>
  <c r="N667" i="2"/>
  <c r="N531" i="2"/>
  <c r="O530" i="2"/>
  <c r="O666" i="2"/>
  <c r="O598" i="2"/>
  <c r="M596" i="2"/>
  <c r="M528" i="2"/>
  <c r="M664" i="2"/>
  <c r="O526" i="2"/>
  <c r="O594" i="2"/>
  <c r="O662" i="2"/>
  <c r="O590" i="2"/>
  <c r="O522" i="2"/>
  <c r="M588" i="2"/>
  <c r="M656" i="2"/>
  <c r="M520" i="2"/>
  <c r="O518" i="2"/>
  <c r="O586" i="2"/>
  <c r="O654" i="2"/>
  <c r="L517" i="2"/>
  <c r="L585" i="2"/>
  <c r="M511" i="2"/>
  <c r="M647" i="2"/>
  <c r="G665" i="2"/>
  <c r="K650" i="2"/>
  <c r="K446" i="2" s="1"/>
  <c r="K372" i="2" s="1"/>
  <c r="K7" i="2" s="1"/>
  <c r="L669" i="2"/>
  <c r="L465" i="2" s="1"/>
  <c r="L391" i="2" s="1"/>
  <c r="L26" i="2" s="1"/>
  <c r="L470" i="2"/>
  <c r="L396" i="2" s="1"/>
  <c r="L31" i="2" s="1"/>
  <c r="K471" i="2"/>
  <c r="K397" i="2" s="1"/>
  <c r="K32" i="2" s="1"/>
  <c r="M482" i="2"/>
  <c r="M408" i="2" s="1"/>
  <c r="M43" i="2" s="1"/>
  <c r="E537" i="2"/>
  <c r="E677" i="2"/>
  <c r="F651" i="2"/>
  <c r="F671" i="2"/>
  <c r="F467" i="2" s="1"/>
  <c r="F393" i="2" s="1"/>
  <c r="F28" i="2" s="1"/>
  <c r="F473" i="2"/>
  <c r="F399" i="2" s="1"/>
  <c r="F34" i="2" s="1"/>
  <c r="F683" i="2"/>
  <c r="I659" i="2"/>
  <c r="I455" i="2" s="1"/>
  <c r="I381" i="2" s="1"/>
  <c r="I16" i="2" s="1"/>
  <c r="J514" i="2"/>
  <c r="J446" i="2" s="1"/>
  <c r="J372" i="2" s="1"/>
  <c r="J7" i="2" s="1"/>
  <c r="J518" i="2"/>
  <c r="K538" i="2"/>
  <c r="J610" i="2"/>
  <c r="C672" i="2"/>
  <c r="F519" i="2"/>
  <c r="K530" i="2"/>
  <c r="O602" i="2"/>
  <c r="O466" i="2" s="1"/>
  <c r="O392" i="2" s="1"/>
  <c r="O27" i="2" s="1"/>
  <c r="O235" i="2" s="1"/>
  <c r="M676" i="2"/>
  <c r="M472" i="2" s="1"/>
  <c r="M398" i="2" s="1"/>
  <c r="M33" i="2" s="1"/>
  <c r="N631" i="2"/>
  <c r="N495" i="2" s="1"/>
  <c r="N421" i="2" s="1"/>
  <c r="N56" i="2" s="1"/>
  <c r="N655" i="2"/>
  <c r="N603" i="2"/>
  <c r="K686" i="2"/>
  <c r="Q662" i="2"/>
  <c r="Q594" i="2"/>
  <c r="Q526" i="2"/>
  <c r="Q458" i="2" s="1"/>
  <c r="Q384" i="2" s="1"/>
  <c r="Q19" i="2" s="1"/>
  <c r="K460" i="2"/>
  <c r="K386" i="2" s="1"/>
  <c r="K21" i="2" s="1"/>
  <c r="J500" i="2"/>
  <c r="H467" i="2"/>
  <c r="H393" i="2" s="1"/>
  <c r="H28" i="2" s="1"/>
  <c r="J467" i="2"/>
  <c r="J393" i="2" s="1"/>
  <c r="J28" i="2" s="1"/>
  <c r="P207" i="2"/>
  <c r="L483" i="2"/>
  <c r="L409" i="2" s="1"/>
  <c r="L44" i="2" s="1"/>
  <c r="L455" i="2"/>
  <c r="L381" i="2" s="1"/>
  <c r="L16" i="2" s="1"/>
  <c r="I494" i="2"/>
  <c r="I420" i="2" s="1"/>
  <c r="I55" i="2" s="1"/>
  <c r="C501" i="2"/>
  <c r="C427" i="2" s="1"/>
  <c r="C62" i="2" s="1"/>
  <c r="G203" i="2" s="1"/>
  <c r="J505" i="2"/>
  <c r="J431" i="2" s="1"/>
  <c r="J66" i="2" s="1"/>
  <c r="G487" i="2"/>
  <c r="G413" i="2" s="1"/>
  <c r="G48" i="2" s="1"/>
  <c r="F456" i="2"/>
  <c r="F382" i="2" s="1"/>
  <c r="F17" i="2" s="1"/>
  <c r="F468" i="2"/>
  <c r="F394" i="2" s="1"/>
  <c r="F29" i="2" s="1"/>
  <c r="F505" i="2"/>
  <c r="F431" i="2" s="1"/>
  <c r="F66" i="2" s="1"/>
  <c r="F274" i="2" s="1"/>
  <c r="I476" i="2"/>
  <c r="I402" i="2" s="1"/>
  <c r="I37" i="2" s="1"/>
  <c r="M487" i="2"/>
  <c r="M413" i="2" s="1"/>
  <c r="M48" i="2" s="1"/>
  <c r="M469" i="2"/>
  <c r="M395" i="2" s="1"/>
  <c r="M30" i="2" s="1"/>
  <c r="Q598" i="2"/>
  <c r="J459" i="2"/>
  <c r="J385" i="2" s="1"/>
  <c r="J20" i="2" s="1"/>
  <c r="D464" i="2"/>
  <c r="D390" i="2" s="1"/>
  <c r="D25" i="2" s="1"/>
  <c r="E482" i="2"/>
  <c r="E408" i="2" s="1"/>
  <c r="E43" i="2" s="1"/>
  <c r="M453" i="2"/>
  <c r="M379" i="2" s="1"/>
  <c r="M14" i="2" s="1"/>
  <c r="F460" i="2"/>
  <c r="F386" i="2" s="1"/>
  <c r="F21" i="2" s="1"/>
  <c r="M486" i="2"/>
  <c r="M412" i="2" s="1"/>
  <c r="M47" i="2" s="1"/>
  <c r="P19" i="36"/>
  <c r="F81" i="17"/>
  <c r="BC16" i="36"/>
  <c r="BB16" i="36"/>
  <c r="BE16" i="36"/>
  <c r="AV16" i="36"/>
  <c r="AV11" i="36" s="1"/>
  <c r="AY16" i="36"/>
  <c r="AZ16" i="36"/>
  <c r="BD16" i="36"/>
  <c r="BF16" i="36"/>
  <c r="BA16" i="36"/>
  <c r="BH16" i="36"/>
  <c r="AW16" i="36"/>
  <c r="AX16" i="36"/>
  <c r="BG16" i="36"/>
  <c r="D11" i="36"/>
  <c r="R19" i="36"/>
  <c r="S19" i="36"/>
  <c r="H28" i="8"/>
  <c r="M199" i="2"/>
  <c r="P199" i="2"/>
  <c r="I199" i="2"/>
  <c r="E199" i="2"/>
  <c r="B48" i="36"/>
  <c r="B71" i="36"/>
  <c r="G537" i="2"/>
  <c r="Q581" i="2"/>
  <c r="Q649" i="2"/>
  <c r="Q445" i="2" s="1"/>
  <c r="I581" i="2"/>
  <c r="I649" i="2"/>
  <c r="D649" i="2"/>
  <c r="D581" i="2"/>
  <c r="M203" i="2"/>
  <c r="M270" i="2" s="1"/>
  <c r="C208" i="2"/>
  <c r="C275" i="2" s="1"/>
  <c r="E208" i="2"/>
  <c r="O208" i="2"/>
  <c r="Q208" i="2"/>
  <c r="I41" i="5"/>
  <c r="G681" i="2"/>
  <c r="I40" i="5"/>
  <c r="G677" i="2"/>
  <c r="G473" i="2" s="1"/>
  <c r="G399" i="2" s="1"/>
  <c r="G34" i="2" s="1"/>
  <c r="AJ13" i="35"/>
  <c r="E17" i="17"/>
  <c r="E13" i="17"/>
  <c r="E15" i="17"/>
  <c r="F54" i="5"/>
  <c r="D6" i="32" s="1"/>
  <c r="F46" i="5"/>
  <c r="N191" i="2"/>
  <c r="G191" i="2"/>
  <c r="I191" i="2"/>
  <c r="I258" i="2" s="1"/>
  <c r="C191" i="2"/>
  <c r="C258" i="2" s="1"/>
  <c r="L191" i="2"/>
  <c r="G604" i="2"/>
  <c r="G536" i="2"/>
  <c r="G672" i="2"/>
  <c r="K208" i="2"/>
  <c r="M208" i="2"/>
  <c r="M275" i="2" s="1"/>
  <c r="F191" i="2"/>
  <c r="F258" i="2" s="1"/>
  <c r="J191" i="2"/>
  <c r="G545" i="2"/>
  <c r="G477" i="2" s="1"/>
  <c r="G403" i="2" s="1"/>
  <c r="G38" i="2" s="1"/>
  <c r="G533" i="2"/>
  <c r="G609" i="2"/>
  <c r="G591" i="2"/>
  <c r="G455" i="2" s="1"/>
  <c r="G381" i="2" s="1"/>
  <c r="G16" i="2" s="1"/>
  <c r="J208" i="2"/>
  <c r="N208" i="2"/>
  <c r="N275" i="2" s="1"/>
  <c r="Q191" i="2"/>
  <c r="G601" i="2"/>
  <c r="D12" i="17"/>
  <c r="B79" i="17"/>
  <c r="B59" i="36"/>
  <c r="I156" i="2"/>
  <c r="G156" i="2"/>
  <c r="J156" i="2"/>
  <c r="M156" i="2"/>
  <c r="E14" i="17"/>
  <c r="B33" i="36"/>
  <c r="B57" i="36"/>
  <c r="I115" i="36"/>
  <c r="G666" i="2"/>
  <c r="G598" i="2"/>
  <c r="D27" i="5"/>
  <c r="D29" i="5" s="1"/>
  <c r="D45" i="5" s="1"/>
  <c r="D26" i="5"/>
  <c r="D28" i="5" s="1"/>
  <c r="D44" i="5" s="1"/>
  <c r="D53" i="5" s="1"/>
  <c r="I26" i="5"/>
  <c r="I28" i="5" s="1"/>
  <c r="I44" i="5" s="1"/>
  <c r="I53" i="5" s="1"/>
  <c r="G5" i="32" s="1"/>
  <c r="I27" i="5"/>
  <c r="I29" i="5" s="1"/>
  <c r="I45" i="5" s="1"/>
  <c r="E21" i="8"/>
  <c r="E17" i="36"/>
  <c r="C503" i="2"/>
  <c r="C429" i="2" s="1"/>
  <c r="C64" i="2" s="1"/>
  <c r="E205" i="2" s="1"/>
  <c r="E272" i="2" s="1"/>
  <c r="C635" i="2"/>
  <c r="C703" i="2"/>
  <c r="C626" i="2"/>
  <c r="C694" i="2"/>
  <c r="C607" i="2"/>
  <c r="C675" i="2"/>
  <c r="C603" i="2"/>
  <c r="C671" i="2"/>
  <c r="C535" i="2"/>
  <c r="C667" i="2"/>
  <c r="C599" i="2"/>
  <c r="C531" i="2"/>
  <c r="C595" i="2"/>
  <c r="C663" i="2"/>
  <c r="C523" i="2"/>
  <c r="C659" i="2"/>
  <c r="C519" i="2"/>
  <c r="C655" i="2"/>
  <c r="C515" i="2"/>
  <c r="C651" i="2"/>
  <c r="C583" i="2"/>
  <c r="J706" i="2"/>
  <c r="J638" i="2"/>
  <c r="J634" i="2"/>
  <c r="J702" i="2"/>
  <c r="J689" i="2"/>
  <c r="J621" i="2"/>
  <c r="J553" i="2"/>
  <c r="J617" i="2"/>
  <c r="J685" i="2"/>
  <c r="J549" i="2"/>
  <c r="J681" i="2"/>
  <c r="J545" i="2"/>
  <c r="J609" i="2"/>
  <c r="J541" i="2"/>
  <c r="J605" i="2"/>
  <c r="J537" i="2"/>
  <c r="J469" i="2" s="1"/>
  <c r="J395" i="2" s="1"/>
  <c r="J30" i="2" s="1"/>
  <c r="J673" i="2"/>
  <c r="J601" i="2"/>
  <c r="J533" i="2"/>
  <c r="J669" i="2"/>
  <c r="J529" i="2"/>
  <c r="J597" i="2"/>
  <c r="J665" i="2"/>
  <c r="J661" i="2"/>
  <c r="J593" i="2"/>
  <c r="J525" i="2"/>
  <c r="J589" i="2"/>
  <c r="J657" i="2"/>
  <c r="J653" i="2"/>
  <c r="J585" i="2"/>
  <c r="J517" i="2"/>
  <c r="J648" i="2"/>
  <c r="J580" i="2"/>
  <c r="I703" i="2"/>
  <c r="I635" i="2"/>
  <c r="I699" i="2"/>
  <c r="I631" i="2"/>
  <c r="I626" i="2"/>
  <c r="I694" i="2"/>
  <c r="I618" i="2"/>
  <c r="I550" i="2"/>
  <c r="I686" i="2"/>
  <c r="I546" i="2"/>
  <c r="I614" i="2"/>
  <c r="I678" i="2"/>
  <c r="I610" i="2"/>
  <c r="I542" i="2"/>
  <c r="I538" i="2"/>
  <c r="I674" i="2"/>
  <c r="I606" i="2"/>
  <c r="I534" i="2"/>
  <c r="I670" i="2"/>
  <c r="I530" i="2"/>
  <c r="I598" i="2"/>
  <c r="I666" i="2"/>
  <c r="I526" i="2"/>
  <c r="I594" i="2"/>
  <c r="I662" i="2"/>
  <c r="I658" i="2"/>
  <c r="I522" i="2"/>
  <c r="I586" i="2"/>
  <c r="I654" i="2"/>
  <c r="I514" i="2"/>
  <c r="I582" i="2"/>
  <c r="H709" i="2"/>
  <c r="H641" i="2"/>
  <c r="G362" i="2"/>
  <c r="H633" i="2"/>
  <c r="G354" i="2"/>
  <c r="H701" i="2"/>
  <c r="H696" i="2"/>
  <c r="G349" i="2"/>
  <c r="H624" i="2"/>
  <c r="H692" i="2"/>
  <c r="H552" i="2"/>
  <c r="H484" i="2" s="1"/>
  <c r="H410" i="2" s="1"/>
  <c r="H45" i="2" s="1"/>
  <c r="G341" i="2"/>
  <c r="H616" i="2"/>
  <c r="G337" i="2"/>
  <c r="H548" i="2"/>
  <c r="H684" i="2"/>
  <c r="H680" i="2"/>
  <c r="G333" i="2"/>
  <c r="H612" i="2"/>
  <c r="H540" i="2"/>
  <c r="H676" i="2"/>
  <c r="G329" i="2"/>
  <c r="H604" i="2"/>
  <c r="H672" i="2"/>
  <c r="H536" i="2"/>
  <c r="H600" i="2"/>
  <c r="G321" i="2"/>
  <c r="G668" i="2" s="1"/>
  <c r="H532" i="2"/>
  <c r="H524" i="2"/>
  <c r="H660" i="2"/>
  <c r="G313" i="2"/>
  <c r="G660" i="2" s="1"/>
  <c r="H656" i="2"/>
  <c r="H520" i="2"/>
  <c r="H584" i="2"/>
  <c r="H516" i="2"/>
  <c r="H652" i="2"/>
  <c r="G305" i="2"/>
  <c r="H647" i="2"/>
  <c r="G300" i="2"/>
  <c r="H511" i="2"/>
  <c r="H579" i="2"/>
  <c r="F639" i="2"/>
  <c r="F707" i="2"/>
  <c r="F635" i="2"/>
  <c r="F703" i="2"/>
  <c r="F682" i="2"/>
  <c r="F614" i="2"/>
  <c r="F542" i="2"/>
  <c r="F610" i="2"/>
  <c r="F678" i="2"/>
  <c r="F674" i="2"/>
  <c r="F606" i="2"/>
  <c r="F670" i="2"/>
  <c r="F602" i="2"/>
  <c r="F534" i="2"/>
  <c r="F598" i="2"/>
  <c r="F530" i="2"/>
  <c r="F666" i="2"/>
  <c r="F590" i="2"/>
  <c r="F658" i="2"/>
  <c r="F522" i="2"/>
  <c r="F518" i="2"/>
  <c r="F654" i="2"/>
  <c r="F586" i="2"/>
  <c r="E641" i="2"/>
  <c r="E505" i="2" s="1"/>
  <c r="E431" i="2" s="1"/>
  <c r="E66" i="2" s="1"/>
  <c r="E709" i="2"/>
  <c r="E701" i="2"/>
  <c r="E633" i="2"/>
  <c r="E624" i="2"/>
  <c r="E692" i="2"/>
  <c r="E620" i="2"/>
  <c r="E552" i="2"/>
  <c r="E616" i="2"/>
  <c r="E548" i="2"/>
  <c r="E684" i="2"/>
  <c r="E612" i="2"/>
  <c r="E544" i="2"/>
  <c r="E680" i="2"/>
  <c r="E540" i="2"/>
  <c r="E608" i="2"/>
  <c r="E676" i="2"/>
  <c r="E536" i="2"/>
  <c r="E604" i="2"/>
  <c r="E668" i="2"/>
  <c r="E532" i="2"/>
  <c r="E592" i="2"/>
  <c r="E524" i="2"/>
  <c r="E656" i="2"/>
  <c r="E588" i="2"/>
  <c r="E652" i="2"/>
  <c r="E516" i="2"/>
  <c r="E647" i="2"/>
  <c r="E511" i="2"/>
  <c r="E443" i="2" s="1"/>
  <c r="E369" i="2" s="1"/>
  <c r="E4" i="2" s="1"/>
  <c r="D707" i="2"/>
  <c r="D639" i="2"/>
  <c r="D503" i="2" s="1"/>
  <c r="D429" i="2" s="1"/>
  <c r="D64" i="2" s="1"/>
  <c r="D703" i="2"/>
  <c r="D635" i="2"/>
  <c r="D626" i="2"/>
  <c r="D694" i="2"/>
  <c r="D622" i="2"/>
  <c r="D690" i="2"/>
  <c r="D618" i="2"/>
  <c r="D550" i="2"/>
  <c r="D482" i="2" s="1"/>
  <c r="D408" i="2" s="1"/>
  <c r="D43" i="2" s="1"/>
  <c r="D686" i="2"/>
  <c r="D682" i="2"/>
  <c r="D546" i="2"/>
  <c r="D614" i="2"/>
  <c r="D610" i="2"/>
  <c r="D542" i="2"/>
  <c r="D678" i="2"/>
  <c r="D674" i="2"/>
  <c r="D538" i="2"/>
  <c r="D606" i="2"/>
  <c r="D602" i="2"/>
  <c r="D670" i="2"/>
  <c r="D598" i="2"/>
  <c r="D530" i="2"/>
  <c r="D526" i="2"/>
  <c r="D662" i="2"/>
  <c r="D594" i="2"/>
  <c r="D522" i="2"/>
  <c r="D658" i="2"/>
  <c r="D590" i="2"/>
  <c r="D654" i="2"/>
  <c r="D586" i="2"/>
  <c r="D518" i="2"/>
  <c r="D514" i="2"/>
  <c r="D650" i="2"/>
  <c r="D582" i="2"/>
  <c r="L204" i="2"/>
  <c r="C204" i="2"/>
  <c r="C271" i="2" s="1"/>
  <c r="P204" i="2"/>
  <c r="M587" i="2"/>
  <c r="M519" i="2"/>
  <c r="M655" i="2"/>
  <c r="N654" i="2"/>
  <c r="N586" i="2"/>
  <c r="O517" i="2"/>
  <c r="O585" i="2"/>
  <c r="O653" i="2"/>
  <c r="K585" i="2"/>
  <c r="K653" i="2"/>
  <c r="K517" i="2"/>
  <c r="L652" i="2"/>
  <c r="L584" i="2"/>
  <c r="M651" i="2"/>
  <c r="M515" i="2"/>
  <c r="N650" i="2"/>
  <c r="N582" i="2"/>
  <c r="N514" i="2"/>
  <c r="K444" i="2"/>
  <c r="K370" i="2" s="1"/>
  <c r="K5" i="2" s="1"/>
  <c r="L647" i="2"/>
  <c r="L511" i="2"/>
  <c r="L579" i="2"/>
  <c r="O45" i="5"/>
  <c r="O54" i="5" s="1"/>
  <c r="M6" i="32" s="1"/>
  <c r="N40" i="5"/>
  <c r="N32" i="5"/>
  <c r="N34" i="5" s="1"/>
  <c r="N44" i="5" s="1"/>
  <c r="N41" i="5"/>
  <c r="N33" i="5"/>
  <c r="N35" i="5" s="1"/>
  <c r="K7" i="8"/>
  <c r="K17" i="8" s="1"/>
  <c r="K50" i="7"/>
  <c r="L7" i="8"/>
  <c r="L17" i="8" s="1"/>
  <c r="L50" i="7"/>
  <c r="N8" i="8"/>
  <c r="N17" i="8" s="1"/>
  <c r="N50" i="7"/>
  <c r="AG12" i="35"/>
  <c r="X12" i="35"/>
  <c r="C9" i="35"/>
  <c r="F132" i="35"/>
  <c r="G132" i="35"/>
  <c r="E132" i="35"/>
  <c r="B169" i="35"/>
  <c r="C18" i="34" s="1"/>
  <c r="C43" i="34" s="1"/>
  <c r="C56" i="34" s="1"/>
  <c r="AL92" i="35"/>
  <c r="Y91" i="35"/>
  <c r="AC91" i="35"/>
  <c r="AD91" i="35"/>
  <c r="AA91" i="35"/>
  <c r="W91" i="35"/>
  <c r="AB91" i="35"/>
  <c r="J107" i="36"/>
  <c r="K107" i="36" s="1"/>
  <c r="L107" i="36" s="1"/>
  <c r="M107" i="36" s="1"/>
  <c r="N107" i="36" s="1"/>
  <c r="O107" i="36" s="1"/>
  <c r="P107" i="36" s="1"/>
  <c r="Q107" i="36" s="1"/>
  <c r="R107" i="36" s="1"/>
  <c r="S107" i="36" s="1"/>
  <c r="T107" i="36" s="1"/>
  <c r="U107" i="36" s="1"/>
  <c r="V107" i="36" s="1"/>
  <c r="I107" i="36"/>
  <c r="H49" i="7"/>
  <c r="H16" i="8" s="1"/>
  <c r="H17" i="8" s="1"/>
  <c r="I16" i="8"/>
  <c r="I6" i="35"/>
  <c r="I9" i="35" s="1"/>
  <c r="J11" i="34"/>
  <c r="AF5" i="35"/>
  <c r="AF9" i="35" s="1"/>
  <c r="AH11" i="34"/>
  <c r="C86" i="17"/>
  <c r="BN5" i="36"/>
  <c r="AY15" i="36" s="1"/>
  <c r="D5" i="36"/>
  <c r="B7" i="36"/>
  <c r="B78" i="17" s="1"/>
  <c r="B52" i="34"/>
  <c r="V52" i="34" s="1"/>
  <c r="B11" i="36"/>
  <c r="B38" i="36" s="1"/>
  <c r="B56" i="34"/>
  <c r="V56" i="34" s="1"/>
  <c r="O9" i="35"/>
  <c r="P191" i="2"/>
  <c r="P518" i="2"/>
  <c r="P654" i="2"/>
  <c r="P586" i="2"/>
  <c r="P450" i="2" s="1"/>
  <c r="P376" i="2" s="1"/>
  <c r="P11" i="2" s="1"/>
  <c r="P528" i="2"/>
  <c r="P664" i="2"/>
  <c r="P596" i="2"/>
  <c r="P675" i="2"/>
  <c r="P539" i="2"/>
  <c r="P614" i="2"/>
  <c r="P682" i="2"/>
  <c r="P546" i="2"/>
  <c r="P478" i="2" s="1"/>
  <c r="P404" i="2" s="1"/>
  <c r="P39" i="2" s="1"/>
  <c r="P689" i="2"/>
  <c r="P485" i="2" s="1"/>
  <c r="P411" i="2" s="1"/>
  <c r="P46" i="2" s="1"/>
  <c r="P621" i="2"/>
  <c r="P553" i="2"/>
  <c r="P709" i="2"/>
  <c r="P641" i="2"/>
  <c r="P579" i="2"/>
  <c r="P511" i="2"/>
  <c r="P670" i="2"/>
  <c r="P534" i="2"/>
  <c r="P602" i="2"/>
  <c r="P704" i="2"/>
  <c r="P636" i="2"/>
  <c r="P500" i="2" s="1"/>
  <c r="P426" i="2" s="1"/>
  <c r="P61" i="2" s="1"/>
  <c r="P628" i="2"/>
  <c r="P696" i="2"/>
  <c r="P552" i="2"/>
  <c r="P688" i="2"/>
  <c r="P620" i="2"/>
  <c r="Q638" i="2"/>
  <c r="Q706" i="2"/>
  <c r="Q699" i="2"/>
  <c r="Q631" i="2"/>
  <c r="Q624" i="2"/>
  <c r="Q692" i="2"/>
  <c r="Q593" i="2"/>
  <c r="Q525" i="2"/>
  <c r="Q515" i="2"/>
  <c r="Q651" i="2"/>
  <c r="Q9" i="8"/>
  <c r="Q17" i="8" s="1"/>
  <c r="Q50" i="7"/>
  <c r="F203" i="2"/>
  <c r="F270" i="2" s="1"/>
  <c r="B35" i="36"/>
  <c r="I208" i="2"/>
  <c r="G479" i="2"/>
  <c r="G405" i="2" s="1"/>
  <c r="G40" i="2" s="1"/>
  <c r="D17" i="17"/>
  <c r="B82" i="36"/>
  <c r="Z8" i="36"/>
  <c r="O188" i="2"/>
  <c r="C188" i="2"/>
  <c r="C255" i="2" s="1"/>
  <c r="G188" i="2"/>
  <c r="F188" i="2"/>
  <c r="N168" i="2"/>
  <c r="H168" i="2"/>
  <c r="O168" i="2"/>
  <c r="D16" i="17"/>
  <c r="O53" i="5"/>
  <c r="M5" i="32" s="1"/>
  <c r="P45" i="5"/>
  <c r="P54" i="5" s="1"/>
  <c r="G619" i="2"/>
  <c r="G551" i="2"/>
  <c r="C686" i="2"/>
  <c r="M474" i="2"/>
  <c r="M400" i="2" s="1"/>
  <c r="M35" i="2" s="1"/>
  <c r="C591" i="2"/>
  <c r="E520" i="2"/>
  <c r="G309" i="2"/>
  <c r="H628" i="2"/>
  <c r="O648" i="2"/>
  <c r="O444" i="2" s="1"/>
  <c r="O370" i="2" s="1"/>
  <c r="O5" i="2" s="1"/>
  <c r="E696" i="2"/>
  <c r="E492" i="2" s="1"/>
  <c r="E418" i="2" s="1"/>
  <c r="E53" i="2" s="1"/>
  <c r="C631" i="2"/>
  <c r="C495" i="2" s="1"/>
  <c r="C421" i="2" s="1"/>
  <c r="C56" i="2" s="1"/>
  <c r="D197" i="2" s="1"/>
  <c r="N9" i="35"/>
  <c r="B39" i="8"/>
  <c r="B56" i="8"/>
  <c r="B71" i="8" s="1"/>
  <c r="B31" i="8"/>
  <c r="B48" i="8"/>
  <c r="B63" i="8" s="1"/>
  <c r="J7" i="8"/>
  <c r="J17" i="8" s="1"/>
  <c r="J50" i="7"/>
  <c r="O628" i="2"/>
  <c r="O696" i="2"/>
  <c r="N693" i="2"/>
  <c r="N625" i="2"/>
  <c r="O692" i="2"/>
  <c r="O624" i="2"/>
  <c r="N621" i="2"/>
  <c r="N689" i="2"/>
  <c r="O688" i="2"/>
  <c r="O620" i="2"/>
  <c r="K552" i="2"/>
  <c r="K688" i="2"/>
  <c r="N617" i="2"/>
  <c r="N481" i="2" s="1"/>
  <c r="N407" i="2" s="1"/>
  <c r="N42" i="2" s="1"/>
  <c r="N685" i="2"/>
  <c r="L683" i="2"/>
  <c r="L615" i="2"/>
  <c r="N613" i="2"/>
  <c r="N681" i="2"/>
  <c r="N545" i="2"/>
  <c r="O608" i="2"/>
  <c r="O540" i="2"/>
  <c r="O472" i="2" s="1"/>
  <c r="O398" i="2" s="1"/>
  <c r="O33" i="2" s="1"/>
  <c r="K540" i="2"/>
  <c r="K608" i="2"/>
  <c r="K676" i="2"/>
  <c r="L675" i="2"/>
  <c r="L539" i="2"/>
  <c r="M674" i="2"/>
  <c r="M606" i="2"/>
  <c r="N605" i="2"/>
  <c r="N469" i="2" s="1"/>
  <c r="N395" i="2" s="1"/>
  <c r="N30" i="2" s="1"/>
  <c r="N673" i="2"/>
  <c r="K536" i="2"/>
  <c r="K672" i="2"/>
  <c r="K604" i="2"/>
  <c r="M534" i="2"/>
  <c r="M670" i="2"/>
  <c r="O600" i="2"/>
  <c r="O532" i="2"/>
  <c r="O464" i="2" s="1"/>
  <c r="O390" i="2" s="1"/>
  <c r="O25" i="2" s="1"/>
  <c r="M666" i="2"/>
  <c r="M598" i="2"/>
  <c r="N529" i="2"/>
  <c r="N665" i="2"/>
  <c r="O528" i="2"/>
  <c r="O664" i="2"/>
  <c r="L663" i="2"/>
  <c r="L595" i="2"/>
  <c r="M662" i="2"/>
  <c r="M594" i="2"/>
  <c r="O524" i="2"/>
  <c r="O592" i="2"/>
  <c r="M590" i="2"/>
  <c r="M522" i="2"/>
  <c r="O588" i="2"/>
  <c r="O656" i="2"/>
  <c r="L587" i="2"/>
  <c r="L519" i="2"/>
  <c r="M586" i="2"/>
  <c r="M654" i="2"/>
  <c r="O584" i="2"/>
  <c r="O652" i="2"/>
  <c r="L515" i="2"/>
  <c r="L583" i="2"/>
  <c r="L651" i="2"/>
  <c r="M582" i="2"/>
  <c r="M514" i="2"/>
  <c r="K511" i="2"/>
  <c r="K647" i="2"/>
  <c r="K579" i="2"/>
  <c r="L13" i="32"/>
  <c r="M8" i="8"/>
  <c r="M17" i="8" s="1"/>
  <c r="M50" i="7"/>
  <c r="U87" i="35"/>
  <c r="W17" i="34" s="1"/>
  <c r="C38" i="34" s="1"/>
  <c r="C51" i="34" s="1"/>
  <c r="E6" i="36" s="1"/>
  <c r="AI50" i="35"/>
  <c r="X50" i="35"/>
  <c r="AF50" i="35"/>
  <c r="AG50" i="35"/>
  <c r="AH50" i="35"/>
  <c r="AB50" i="35"/>
  <c r="AJ50" i="35"/>
  <c r="S51" i="35"/>
  <c r="F50" i="35"/>
  <c r="AC65" i="36"/>
  <c r="AC72" i="36"/>
  <c r="AH70" i="36"/>
  <c r="AH72" i="36" s="1"/>
  <c r="AH65" i="36" s="1"/>
  <c r="AG72" i="36"/>
  <c r="AG65" i="36" s="1"/>
  <c r="P587" i="2"/>
  <c r="P519" i="2"/>
  <c r="P592" i="2"/>
  <c r="P660" i="2"/>
  <c r="P597" i="2"/>
  <c r="P665" i="2"/>
  <c r="P676" i="2"/>
  <c r="P540" i="2"/>
  <c r="P472" i="2" s="1"/>
  <c r="P398" i="2" s="1"/>
  <c r="P33" i="2" s="1"/>
  <c r="P710" i="2"/>
  <c r="P642" i="2"/>
  <c r="AC9" i="35"/>
  <c r="M263" i="2"/>
  <c r="D207" i="2"/>
  <c r="E207" i="2"/>
  <c r="Z5" i="36"/>
  <c r="Z45" i="36" s="1"/>
  <c r="G522" i="2"/>
  <c r="H87" i="8"/>
  <c r="B49" i="36"/>
  <c r="H288" i="2"/>
  <c r="I288" i="2" s="1"/>
  <c r="J288" i="2" s="1"/>
  <c r="K288" i="2" s="1"/>
  <c r="L288" i="2" s="1"/>
  <c r="M288" i="2" s="1"/>
  <c r="N288" i="2" s="1"/>
  <c r="O288" i="2" s="1"/>
  <c r="P288" i="2" s="1"/>
  <c r="Q288" i="2" s="1"/>
  <c r="R288" i="2" s="1"/>
  <c r="S288" i="2" s="1"/>
  <c r="T288" i="2" s="1"/>
  <c r="L527" i="2"/>
  <c r="L603" i="2"/>
  <c r="O647" i="2"/>
  <c r="O443" i="2" s="1"/>
  <c r="O369" i="2" s="1"/>
  <c r="O4" i="2" s="1"/>
  <c r="O672" i="2"/>
  <c r="O468" i="2" s="1"/>
  <c r="O394" i="2" s="1"/>
  <c r="O29" i="2" s="1"/>
  <c r="O676" i="2"/>
  <c r="K548" i="2"/>
  <c r="K480" i="2" s="1"/>
  <c r="K406" i="2" s="1"/>
  <c r="K41" i="2" s="1"/>
  <c r="K520" i="2"/>
  <c r="K452" i="2" s="1"/>
  <c r="K378" i="2" s="1"/>
  <c r="K13" i="2" s="1"/>
  <c r="N677" i="2"/>
  <c r="N473" i="2" s="1"/>
  <c r="N399" i="2" s="1"/>
  <c r="N34" i="2" s="1"/>
  <c r="F448" i="2"/>
  <c r="F374" i="2" s="1"/>
  <c r="F9" i="2" s="1"/>
  <c r="V50" i="35"/>
  <c r="V69" i="35" s="1"/>
  <c r="W50" i="35"/>
  <c r="AA50" i="35"/>
  <c r="O660" i="2"/>
  <c r="L535" i="2"/>
  <c r="L467" i="2" s="1"/>
  <c r="L393" i="2" s="1"/>
  <c r="L28" i="2" s="1"/>
  <c r="N653" i="2"/>
  <c r="N449" i="2" s="1"/>
  <c r="N375" i="2" s="1"/>
  <c r="N10" i="2" s="1"/>
  <c r="O596" i="2"/>
  <c r="M4" i="7"/>
  <c r="B51" i="8"/>
  <c r="B66" i="8" s="1"/>
  <c r="B34" i="8"/>
  <c r="C70" i="17"/>
  <c r="G577" i="2"/>
  <c r="H577" i="2"/>
  <c r="I577" i="2" s="1"/>
  <c r="J577" i="2" s="1"/>
  <c r="K577" i="2" s="1"/>
  <c r="L577" i="2" s="1"/>
  <c r="M577" i="2" s="1"/>
  <c r="N577" i="2" s="1"/>
  <c r="O577" i="2" s="1"/>
  <c r="P577" i="2" s="1"/>
  <c r="Q577" i="2" s="1"/>
  <c r="R577" i="2" s="1"/>
  <c r="S577" i="2" s="1"/>
  <c r="T577" i="2" s="1"/>
  <c r="E103" i="8"/>
  <c r="F103" i="8" s="1"/>
  <c r="G103" i="8" s="1"/>
  <c r="F99" i="8"/>
  <c r="G99" i="8" s="1"/>
  <c r="C474" i="2"/>
  <c r="C400" i="2" s="1"/>
  <c r="C35" i="2" s="1"/>
  <c r="E470" i="2"/>
  <c r="E396" i="2" s="1"/>
  <c r="E31" i="2" s="1"/>
  <c r="E9" i="36"/>
  <c r="N628" i="2"/>
  <c r="N696" i="2"/>
  <c r="N624" i="2"/>
  <c r="N488" i="2" s="1"/>
  <c r="N414" i="2" s="1"/>
  <c r="N49" i="2" s="1"/>
  <c r="N692" i="2"/>
  <c r="M621" i="2"/>
  <c r="M689" i="2"/>
  <c r="O687" i="2"/>
  <c r="O619" i="2"/>
  <c r="M685" i="2"/>
  <c r="M549" i="2"/>
  <c r="L546" i="2"/>
  <c r="L682" i="2"/>
  <c r="N544" i="2"/>
  <c r="N612" i="2"/>
  <c r="O679" i="2"/>
  <c r="O611" i="2"/>
  <c r="K543" i="2"/>
  <c r="K679" i="2"/>
  <c r="K611" i="2"/>
  <c r="N676" i="2"/>
  <c r="N608" i="2"/>
  <c r="K535" i="2"/>
  <c r="K671" i="2"/>
  <c r="L534" i="2"/>
  <c r="L670" i="2"/>
  <c r="O599" i="2"/>
  <c r="O531" i="2"/>
  <c r="M597" i="2"/>
  <c r="M665" i="2"/>
  <c r="N528" i="2"/>
  <c r="N596" i="2"/>
  <c r="L594" i="2"/>
  <c r="L526" i="2"/>
  <c r="M661" i="2"/>
  <c r="M593" i="2"/>
  <c r="N592" i="2"/>
  <c r="N660" i="2"/>
  <c r="O587" i="2"/>
  <c r="O655" i="2"/>
  <c r="P610" i="2"/>
  <c r="P542" i="2"/>
  <c r="P678" i="2"/>
  <c r="Q541" i="2"/>
  <c r="Q609" i="2"/>
  <c r="Q672" i="2"/>
  <c r="Q536" i="2"/>
  <c r="Q524" i="2"/>
  <c r="Q660" i="2"/>
  <c r="Q514" i="2"/>
  <c r="Q582" i="2"/>
  <c r="R8" i="8"/>
  <c r="R17" i="8" s="1"/>
  <c r="R50" i="7"/>
  <c r="H649" i="2"/>
  <c r="H581" i="2"/>
  <c r="D41" i="5"/>
  <c r="D42" i="5" s="1"/>
  <c r="D14" i="5"/>
  <c r="G33" i="5"/>
  <c r="G35" i="5" s="1"/>
  <c r="G32" i="5"/>
  <c r="G34" i="5" s="1"/>
  <c r="K41" i="5"/>
  <c r="K42" i="5" s="1"/>
  <c r="K33" i="5"/>
  <c r="K35" i="5" s="1"/>
  <c r="K45" i="5" s="1"/>
  <c r="K46" i="5" s="1"/>
  <c r="H17" i="36"/>
  <c r="K4" i="7"/>
  <c r="C683" i="2"/>
  <c r="C615" i="2"/>
  <c r="C676" i="2"/>
  <c r="C540" i="2"/>
  <c r="C520" i="2"/>
  <c r="C656" i="2"/>
  <c r="C579" i="2"/>
  <c r="C647" i="2"/>
  <c r="J618" i="2"/>
  <c r="J686" i="2"/>
  <c r="I615" i="2"/>
  <c r="I547" i="2"/>
  <c r="I479" i="2" s="1"/>
  <c r="I405" i="2" s="1"/>
  <c r="I40" i="2" s="1"/>
  <c r="I679" i="2"/>
  <c r="I543" i="2"/>
  <c r="I599" i="2"/>
  <c r="I667" i="2"/>
  <c r="I463" i="2" s="1"/>
  <c r="I389" i="2" s="1"/>
  <c r="I24" i="2" s="1"/>
  <c r="I527" i="2"/>
  <c r="I595" i="2"/>
  <c r="I583" i="2"/>
  <c r="I515" i="2"/>
  <c r="H625" i="2"/>
  <c r="H693" i="2"/>
  <c r="H689" i="2"/>
  <c r="G342" i="2"/>
  <c r="H553" i="2"/>
  <c r="H609" i="2"/>
  <c r="H473" i="2" s="1"/>
  <c r="H399" i="2" s="1"/>
  <c r="H34" i="2" s="1"/>
  <c r="H677" i="2"/>
  <c r="G310" i="2"/>
  <c r="H589" i="2"/>
  <c r="H453" i="2" s="1"/>
  <c r="H379" i="2" s="1"/>
  <c r="H14" i="2" s="1"/>
  <c r="H585" i="2"/>
  <c r="H449" i="2" s="1"/>
  <c r="H375" i="2" s="1"/>
  <c r="H10" i="2" s="1"/>
  <c r="H653" i="2"/>
  <c r="F627" i="2"/>
  <c r="F695" i="2"/>
  <c r="F611" i="2"/>
  <c r="F679" i="2"/>
  <c r="F667" i="2"/>
  <c r="F599" i="2"/>
  <c r="E469" i="2"/>
  <c r="E395" i="2" s="1"/>
  <c r="E30" i="2" s="1"/>
  <c r="E517" i="2"/>
  <c r="E585" i="2"/>
  <c r="D708" i="2"/>
  <c r="D640" i="2"/>
  <c r="D595" i="2"/>
  <c r="D527" i="2"/>
  <c r="M24" i="8"/>
  <c r="K706" i="2"/>
  <c r="K638" i="2"/>
  <c r="E14" i="5"/>
  <c r="E479" i="2"/>
  <c r="E405" i="2" s="1"/>
  <c r="E40" i="2" s="1"/>
  <c r="C545" i="2"/>
  <c r="C477" i="2" s="1"/>
  <c r="C403" i="2" s="1"/>
  <c r="C38" i="2" s="1"/>
  <c r="M479" i="2"/>
  <c r="M405" i="2" s="1"/>
  <c r="M40" i="2" s="1"/>
  <c r="H611" i="2"/>
  <c r="H475" i="2" s="1"/>
  <c r="H401" i="2" s="1"/>
  <c r="H36" i="2" s="1"/>
  <c r="L469" i="2"/>
  <c r="L395" i="2" s="1"/>
  <c r="L30" i="2" s="1"/>
  <c r="F621" i="2"/>
  <c r="H655" i="2"/>
  <c r="H451" i="2" s="1"/>
  <c r="H377" i="2" s="1"/>
  <c r="H12" i="2" s="1"/>
  <c r="F13" i="32"/>
  <c r="J24" i="8"/>
  <c r="I464" i="2"/>
  <c r="I390" i="2" s="1"/>
  <c r="I25" i="2" s="1"/>
  <c r="I460" i="2"/>
  <c r="I386" i="2" s="1"/>
  <c r="I21" i="2" s="1"/>
  <c r="I456" i="2"/>
  <c r="I382" i="2" s="1"/>
  <c r="I17" i="2" s="1"/>
  <c r="I443" i="2"/>
  <c r="I369" i="2" s="1"/>
  <c r="I4" i="2" s="1"/>
  <c r="F443" i="2"/>
  <c r="F369" i="2" s="1"/>
  <c r="F4" i="2" s="1"/>
  <c r="Q496" i="2"/>
  <c r="Q422" i="2" s="1"/>
  <c r="Q57" i="2" s="1"/>
  <c r="G13" i="32"/>
  <c r="J448" i="2"/>
  <c r="J374" i="2" s="1"/>
  <c r="J9" i="2" s="1"/>
  <c r="I461" i="2"/>
  <c r="I387" i="2" s="1"/>
  <c r="I22" i="2" s="1"/>
  <c r="O13" i="32"/>
  <c r="AE91" i="35"/>
  <c r="AI72" i="36"/>
  <c r="AI65" i="36" s="1"/>
  <c r="H24" i="8"/>
  <c r="I24" i="8" s="1"/>
  <c r="R18" i="36"/>
  <c r="Q551" i="2"/>
  <c r="Q543" i="2"/>
  <c r="Q674" i="2"/>
  <c r="Q605" i="2"/>
  <c r="Q600" i="2"/>
  <c r="Q520" i="2"/>
  <c r="Q656" i="2"/>
  <c r="Q583" i="2"/>
  <c r="Q447" i="2" s="1"/>
  <c r="Q373" i="2" s="1"/>
  <c r="Q8" i="2" s="1"/>
  <c r="P627" i="2"/>
  <c r="P491" i="2" s="1"/>
  <c r="P417" i="2" s="1"/>
  <c r="P52" i="2" s="1"/>
  <c r="P687" i="2"/>
  <c r="P590" i="2"/>
  <c r="P544" i="2"/>
  <c r="P529" i="2"/>
  <c r="P545" i="2"/>
  <c r="P517" i="2"/>
  <c r="P449" i="2" s="1"/>
  <c r="P375" i="2" s="1"/>
  <c r="P10" i="2" s="1"/>
  <c r="P618" i="2"/>
  <c r="P635" i="2"/>
  <c r="P499" i="2" s="1"/>
  <c r="P425" i="2" s="1"/>
  <c r="P60" i="2" s="1"/>
  <c r="P613" i="2"/>
  <c r="P266" i="2"/>
  <c r="P612" i="2"/>
  <c r="P550" i="2"/>
  <c r="P595" i="2"/>
  <c r="P668" i="2"/>
  <c r="P674" i="2"/>
  <c r="P470" i="2" s="1"/>
  <c r="P396" i="2" s="1"/>
  <c r="P31" i="2" s="1"/>
  <c r="P663" i="2"/>
  <c r="P547" i="2"/>
  <c r="P603" i="2"/>
  <c r="P486" i="2"/>
  <c r="P412" i="2" s="1"/>
  <c r="P47" i="2" s="1"/>
  <c r="P255" i="2" s="1"/>
  <c r="P655" i="2"/>
  <c r="P706" i="2"/>
  <c r="P502" i="2" s="1"/>
  <c r="P428" i="2" s="1"/>
  <c r="P63" i="2" s="1"/>
  <c r="P271" i="2" s="1"/>
  <c r="P615" i="2"/>
  <c r="P582" i="2"/>
  <c r="P551" i="2"/>
  <c r="P625" i="2"/>
  <c r="P489" i="2" s="1"/>
  <c r="P415" i="2" s="1"/>
  <c r="P50" i="2" s="1"/>
  <c r="Q683" i="2"/>
  <c r="Q528" i="2"/>
  <c r="Q511" i="2"/>
  <c r="Q529" i="2"/>
  <c r="Q586" i="2"/>
  <c r="Q547" i="2"/>
  <c r="Q546" i="2"/>
  <c r="Q703" i="2"/>
  <c r="Q499" i="2" s="1"/>
  <c r="Q425" i="2" s="1"/>
  <c r="Q60" i="2" s="1"/>
  <c r="Q595" i="2"/>
  <c r="Q549" i="2"/>
  <c r="Q671" i="2"/>
  <c r="Q467" i="2" s="1"/>
  <c r="Q393" i="2" s="1"/>
  <c r="Q28" i="2" s="1"/>
  <c r="Q579" i="2"/>
  <c r="Q682" i="2"/>
  <c r="Q518" i="2"/>
  <c r="Q608" i="2"/>
  <c r="Q590" i="2"/>
  <c r="Q454" i="2" s="1"/>
  <c r="Q380" i="2" s="1"/>
  <c r="Q15" i="2" s="1"/>
  <c r="Q552" i="2"/>
  <c r="Q701" i="2"/>
  <c r="Q497" i="2" s="1"/>
  <c r="Q423" i="2" s="1"/>
  <c r="Q58" i="2" s="1"/>
  <c r="Q602" i="2"/>
  <c r="Q466" i="2" s="1"/>
  <c r="Q392" i="2" s="1"/>
  <c r="Q27" i="2" s="1"/>
  <c r="Q235" i="2" s="1"/>
  <c r="Q628" i="2"/>
  <c r="Q492" i="2" s="1"/>
  <c r="Q418" i="2" s="1"/>
  <c r="Q53" i="2" s="1"/>
  <c r="Q688" i="2"/>
  <c r="Q527" i="2"/>
  <c r="Q521" i="2"/>
  <c r="Q453" i="2" s="1"/>
  <c r="Q379" i="2" s="1"/>
  <c r="Q14" i="2" s="1"/>
  <c r="Q687" i="2"/>
  <c r="Q661" i="2"/>
  <c r="Q540" i="2"/>
  <c r="Q611" i="2"/>
  <c r="Q702" i="2"/>
  <c r="Q498" i="2" s="1"/>
  <c r="Q424" i="2" s="1"/>
  <c r="Q59" i="2" s="1"/>
  <c r="Q538" i="2"/>
  <c r="Q523" i="2"/>
  <c r="Q695" i="2"/>
  <c r="Q491" i="2" s="1"/>
  <c r="Q417" i="2" s="1"/>
  <c r="Q52" i="2" s="1"/>
  <c r="Q591" i="2"/>
  <c r="Q530" i="2"/>
  <c r="Q462" i="2" s="1"/>
  <c r="Q388" i="2" s="1"/>
  <c r="Q23" i="2" s="1"/>
  <c r="Q596" i="2"/>
  <c r="Q689" i="2"/>
  <c r="Q626" i="2"/>
  <c r="Q490" i="2" s="1"/>
  <c r="Q416" i="2" s="1"/>
  <c r="Q51" i="2" s="1"/>
  <c r="Q648" i="2"/>
  <c r="Q444" i="2" s="1"/>
  <c r="Q370" i="2" s="1"/>
  <c r="Q5" i="2" s="1"/>
  <c r="S40" i="5"/>
  <c r="S42" i="5" s="1"/>
  <c r="S14" i="5"/>
  <c r="R45" i="5"/>
  <c r="R14" i="5"/>
  <c r="R40" i="5"/>
  <c r="O17" i="8"/>
  <c r="P50" i="7"/>
  <c r="E19" i="14"/>
  <c r="Q45" i="5"/>
  <c r="Q26" i="5"/>
  <c r="Q28" i="5" s="1"/>
  <c r="Q44" i="5" s="1"/>
  <c r="Q53" i="5" s="1"/>
  <c r="O5" i="32" s="1"/>
  <c r="T6" i="5"/>
  <c r="T26" i="5" s="1"/>
  <c r="T28" i="5" s="1"/>
  <c r="H368" i="2"/>
  <c r="I368" i="2" s="1"/>
  <c r="J368" i="2" s="1"/>
  <c r="K368" i="2" s="1"/>
  <c r="L368" i="2" s="1"/>
  <c r="M368" i="2" s="1"/>
  <c r="N368" i="2" s="1"/>
  <c r="O368" i="2" s="1"/>
  <c r="P368" i="2" s="1"/>
  <c r="Q368" i="2" s="1"/>
  <c r="R368" i="2" s="1"/>
  <c r="S368" i="2" s="1"/>
  <c r="T368" i="2" s="1"/>
  <c r="G368" i="2"/>
  <c r="H441" i="2"/>
  <c r="I441" i="2" s="1"/>
  <c r="J441" i="2" s="1"/>
  <c r="K441" i="2" s="1"/>
  <c r="L441" i="2" s="1"/>
  <c r="M441" i="2" s="1"/>
  <c r="N441" i="2" s="1"/>
  <c r="O441" i="2" s="1"/>
  <c r="P441" i="2" s="1"/>
  <c r="Q441" i="2" s="1"/>
  <c r="R441" i="2" s="1"/>
  <c r="S441" i="2" s="1"/>
  <c r="T441" i="2" s="1"/>
  <c r="G441" i="2"/>
  <c r="G610" i="2"/>
  <c r="G678" i="2"/>
  <c r="G542" i="2"/>
  <c r="I15" i="36"/>
  <c r="J15" i="36"/>
  <c r="K15" i="36" s="1"/>
  <c r="L15" i="36" s="1"/>
  <c r="M15" i="36" s="1"/>
  <c r="N15" i="36" s="1"/>
  <c r="O15" i="36" s="1"/>
  <c r="G3" i="2"/>
  <c r="H3" i="2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M45" i="5"/>
  <c r="I502" i="2"/>
  <c r="I428" i="2" s="1"/>
  <c r="I63" i="2" s="1"/>
  <c r="K504" i="2"/>
  <c r="K430" i="2" s="1"/>
  <c r="K65" i="2" s="1"/>
  <c r="P488" i="2"/>
  <c r="P414" i="2" s="1"/>
  <c r="P49" i="2" s="1"/>
  <c r="Q506" i="2"/>
  <c r="Q432" i="2" s="1"/>
  <c r="Q67" i="2" s="1"/>
  <c r="Q275" i="2" s="1"/>
  <c r="I4" i="7"/>
  <c r="D452" i="2"/>
  <c r="D378" i="2" s="1"/>
  <c r="D13" i="2" s="1"/>
  <c r="G204" i="2"/>
  <c r="K483" i="2"/>
  <c r="K409" i="2" s="1"/>
  <c r="K44" i="2" s="1"/>
  <c r="N470" i="2"/>
  <c r="N396" i="2" s="1"/>
  <c r="N31" i="2" s="1"/>
  <c r="N461" i="2"/>
  <c r="N387" i="2" s="1"/>
  <c r="N22" i="2" s="1"/>
  <c r="M448" i="2"/>
  <c r="M374" i="2" s="1"/>
  <c r="M9" i="2" s="1"/>
  <c r="H504" i="2"/>
  <c r="H430" i="2" s="1"/>
  <c r="H65" i="2" s="1"/>
  <c r="G44" i="5"/>
  <c r="G53" i="5" s="1"/>
  <c r="E5" i="32" s="1"/>
  <c r="F502" i="2"/>
  <c r="F428" i="2" s="1"/>
  <c r="F63" i="2" s="1"/>
  <c r="F271" i="2" s="1"/>
  <c r="E504" i="2"/>
  <c r="E430" i="2" s="1"/>
  <c r="E65" i="2" s="1"/>
  <c r="O500" i="2"/>
  <c r="O426" i="2" s="1"/>
  <c r="O61" i="2" s="1"/>
  <c r="L489" i="2"/>
  <c r="L415" i="2" s="1"/>
  <c r="L50" i="2" s="1"/>
  <c r="L258" i="2" s="1"/>
  <c r="O497" i="2"/>
  <c r="O423" i="2" s="1"/>
  <c r="O58" i="2" s="1"/>
  <c r="D449" i="2"/>
  <c r="D375" i="2" s="1"/>
  <c r="D10" i="2" s="1"/>
  <c r="M19" i="36"/>
  <c r="N24" i="8"/>
  <c r="N497" i="2"/>
  <c r="N423" i="2" s="1"/>
  <c r="N58" i="2" s="1"/>
  <c r="M468" i="2"/>
  <c r="M394" i="2" s="1"/>
  <c r="M29" i="2" s="1"/>
  <c r="L450" i="2"/>
  <c r="L376" i="2" s="1"/>
  <c r="L11" i="2" s="1"/>
  <c r="K447" i="2"/>
  <c r="K373" i="2" s="1"/>
  <c r="K8" i="2" s="1"/>
  <c r="AA9" i="35"/>
  <c r="H54" i="5"/>
  <c r="F6" i="32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H79" i="8"/>
  <c r="E17" i="8"/>
  <c r="H60" i="32"/>
  <c r="I60" i="32" s="1"/>
  <c r="J60" i="32" s="1"/>
  <c r="K60" i="32" s="1"/>
  <c r="L60" i="32" s="1"/>
  <c r="M60" i="32" s="1"/>
  <c r="N60" i="32" s="1"/>
  <c r="O60" i="32" s="1"/>
  <c r="P60" i="32" s="1"/>
  <c r="Q60" i="32" s="1"/>
  <c r="R60" i="32" s="1"/>
  <c r="S60" i="32" s="1"/>
  <c r="T60" i="32" s="1"/>
  <c r="G60" i="32"/>
  <c r="N19" i="36"/>
  <c r="O24" i="8"/>
  <c r="J90" i="36"/>
  <c r="K90" i="36" s="1"/>
  <c r="L90" i="36" s="1"/>
  <c r="M90" i="36" s="1"/>
  <c r="N90" i="36" s="1"/>
  <c r="O90" i="36" s="1"/>
  <c r="P90" i="36" s="1"/>
  <c r="Q90" i="36" s="1"/>
  <c r="R90" i="36" s="1"/>
  <c r="S90" i="36" s="1"/>
  <c r="T90" i="36" s="1"/>
  <c r="U90" i="36" s="1"/>
  <c r="V90" i="36" s="1"/>
  <c r="I90" i="36"/>
  <c r="AE9" i="35"/>
  <c r="K21" i="8"/>
  <c r="M18" i="36"/>
  <c r="D21" i="8"/>
  <c r="F18" i="36"/>
  <c r="G655" i="2"/>
  <c r="G587" i="2"/>
  <c r="G519" i="2"/>
  <c r="Q11" i="32"/>
  <c r="Q13" i="32" s="1"/>
  <c r="S6" i="5"/>
  <c r="C449" i="2"/>
  <c r="C375" i="2" s="1"/>
  <c r="C10" i="2" s="1"/>
  <c r="K151" i="2" s="1"/>
  <c r="M504" i="2"/>
  <c r="M430" i="2" s="1"/>
  <c r="M65" i="2" s="1"/>
  <c r="N188" i="2"/>
  <c r="I188" i="2"/>
  <c r="D199" i="2"/>
  <c r="D266" i="2" s="1"/>
  <c r="J199" i="2"/>
  <c r="G502" i="2"/>
  <c r="G428" i="2" s="1"/>
  <c r="G63" i="2" s="1"/>
  <c r="G496" i="2"/>
  <c r="G422" i="2" s="1"/>
  <c r="G57" i="2" s="1"/>
  <c r="G467" i="2"/>
  <c r="G393" i="2" s="1"/>
  <c r="G28" i="2" s="1"/>
  <c r="P46" i="5"/>
  <c r="G494" i="2"/>
  <c r="G420" i="2" s="1"/>
  <c r="G55" i="2" s="1"/>
  <c r="G527" i="2"/>
  <c r="G459" i="2" s="1"/>
  <c r="G385" i="2" s="1"/>
  <c r="G20" i="2" s="1"/>
  <c r="G490" i="2"/>
  <c r="G416" i="2" s="1"/>
  <c r="G51" i="2" s="1"/>
  <c r="K464" i="2"/>
  <c r="K390" i="2" s="1"/>
  <c r="K25" i="2" s="1"/>
  <c r="O19" i="36"/>
  <c r="H455" i="2"/>
  <c r="H381" i="2" s="1"/>
  <c r="H16" i="2" s="1"/>
  <c r="G45" i="5"/>
  <c r="K470" i="2"/>
  <c r="K396" i="2" s="1"/>
  <c r="K31" i="2" s="1"/>
  <c r="N500" i="2"/>
  <c r="N426" i="2" s="1"/>
  <c r="N61" i="2" s="1"/>
  <c r="AB9" i="35"/>
  <c r="E463" i="2"/>
  <c r="E389" i="2" s="1"/>
  <c r="E24" i="2" s="1"/>
  <c r="D447" i="2"/>
  <c r="D373" i="2" s="1"/>
  <c r="D8" i="2" s="1"/>
  <c r="J479" i="2"/>
  <c r="J405" i="2" s="1"/>
  <c r="J40" i="2" s="1"/>
  <c r="D460" i="2"/>
  <c r="D386" i="2" s="1"/>
  <c r="D21" i="2" s="1"/>
  <c r="I484" i="2"/>
  <c r="I410" i="2" s="1"/>
  <c r="I45" i="2" s="1"/>
  <c r="I505" i="2"/>
  <c r="I431" i="2" s="1"/>
  <c r="I66" i="2" s="1"/>
  <c r="I274" i="2" s="1"/>
  <c r="L45" i="5"/>
  <c r="K491" i="2"/>
  <c r="K417" i="2" s="1"/>
  <c r="K52" i="2" s="1"/>
  <c r="Q621" i="2"/>
  <c r="Q673" i="2"/>
  <c r="Q641" i="2"/>
  <c r="Q505" i="2" s="1"/>
  <c r="Q431" i="2" s="1"/>
  <c r="Q66" i="2" s="1"/>
  <c r="Q274" i="2" s="1"/>
  <c r="J532" i="2"/>
  <c r="J464" i="2" s="1"/>
  <c r="J390" i="2" s="1"/>
  <c r="J25" i="2" s="1"/>
  <c r="C548" i="2"/>
  <c r="C480" i="2" s="1"/>
  <c r="C406" i="2" s="1"/>
  <c r="C41" i="2" s="1"/>
  <c r="L182" i="2" s="1"/>
  <c r="C618" i="2"/>
  <c r="C482" i="2" s="1"/>
  <c r="C408" i="2" s="1"/>
  <c r="C43" i="2" s="1"/>
  <c r="F543" i="2"/>
  <c r="Q476" i="2"/>
  <c r="Q402" i="2" s="1"/>
  <c r="Q37" i="2" s="1"/>
  <c r="N496" i="2"/>
  <c r="N422" i="2" s="1"/>
  <c r="N57" i="2" s="1"/>
  <c r="J613" i="2"/>
  <c r="J477" i="2" s="1"/>
  <c r="J403" i="2" s="1"/>
  <c r="J38" i="2" s="1"/>
  <c r="E499" i="2"/>
  <c r="E425" i="2" s="1"/>
  <c r="E60" i="2" s="1"/>
  <c r="H18" i="36"/>
  <c r="G24" i="8"/>
  <c r="C446" i="2"/>
  <c r="C372" i="2" s="1"/>
  <c r="C7" i="2" s="1"/>
  <c r="C148" i="2" s="1"/>
  <c r="C215" i="2" s="1"/>
  <c r="E649" i="2"/>
  <c r="M445" i="2"/>
  <c r="M371" i="2" s="1"/>
  <c r="M6" i="2" s="1"/>
  <c r="M214" i="2" s="1"/>
  <c r="F205" i="2"/>
  <c r="C205" i="2"/>
  <c r="C272" i="2" s="1"/>
  <c r="G205" i="2"/>
  <c r="N205" i="2"/>
  <c r="Q205" i="2"/>
  <c r="Q272" i="2" s="1"/>
  <c r="I205" i="2"/>
  <c r="K205" i="2"/>
  <c r="K272" i="2" s="1"/>
  <c r="M205" i="2"/>
  <c r="L205" i="2"/>
  <c r="L272" i="2" s="1"/>
  <c r="M188" i="2"/>
  <c r="J188" i="2"/>
  <c r="D188" i="2"/>
  <c r="E188" i="2"/>
  <c r="E255" i="2" s="1"/>
  <c r="L188" i="2"/>
  <c r="L255" i="2" s="1"/>
  <c r="H188" i="2"/>
  <c r="K188" i="2"/>
  <c r="N199" i="2"/>
  <c r="K199" i="2"/>
  <c r="C199" i="2"/>
  <c r="C266" i="2" s="1"/>
  <c r="F199" i="2"/>
  <c r="R26" i="5"/>
  <c r="R28" i="5" s="1"/>
  <c r="R44" i="5" s="1"/>
  <c r="R53" i="5" s="1"/>
  <c r="P5" i="32" s="1"/>
  <c r="M266" i="2"/>
  <c r="G463" i="2"/>
  <c r="G389" i="2" s="1"/>
  <c r="G24" i="2" s="1"/>
  <c r="D258" i="2"/>
  <c r="H263" i="2"/>
  <c r="E33" i="5"/>
  <c r="E35" i="5" s="1"/>
  <c r="E45" i="5" s="1"/>
  <c r="E41" i="5"/>
  <c r="G284" i="2"/>
  <c r="F17" i="8"/>
  <c r="D10" i="8"/>
  <c r="D17" i="8" s="1"/>
  <c r="D50" i="7"/>
  <c r="K204" i="2"/>
  <c r="O204" i="2"/>
  <c r="F53" i="5"/>
  <c r="D5" i="32" s="1"/>
  <c r="D70" i="17"/>
  <c r="S19" i="31"/>
  <c r="S18" i="31" s="1"/>
  <c r="S28" i="31" s="1"/>
  <c r="S29" i="36" s="1"/>
  <c r="AE12" i="35"/>
  <c r="D444" i="2"/>
  <c r="D370" i="2" s="1"/>
  <c r="D5" i="2" s="1"/>
  <c r="D453" i="2"/>
  <c r="D379" i="2" s="1"/>
  <c r="D14" i="2" s="1"/>
  <c r="E483" i="2"/>
  <c r="E409" i="2" s="1"/>
  <c r="E44" i="2" s="1"/>
  <c r="E496" i="2"/>
  <c r="E422" i="2" s="1"/>
  <c r="E57" i="2" s="1"/>
  <c r="F465" i="2"/>
  <c r="F391" i="2" s="1"/>
  <c r="F26" i="2" s="1"/>
  <c r="F481" i="2"/>
  <c r="F407" i="2" s="1"/>
  <c r="F42" i="2" s="1"/>
  <c r="J45" i="5"/>
  <c r="G482" i="2"/>
  <c r="G408" i="2" s="1"/>
  <c r="G43" i="2" s="1"/>
  <c r="F42" i="5"/>
  <c r="C457" i="2"/>
  <c r="C383" i="2" s="1"/>
  <c r="C18" i="2" s="1"/>
  <c r="H159" i="2" s="1"/>
  <c r="D488" i="2"/>
  <c r="D414" i="2" s="1"/>
  <c r="D49" i="2" s="1"/>
  <c r="J443" i="2"/>
  <c r="J369" i="2" s="1"/>
  <c r="J4" i="2" s="1"/>
  <c r="K457" i="2"/>
  <c r="K383" i="2" s="1"/>
  <c r="K18" i="2" s="1"/>
  <c r="O459" i="2"/>
  <c r="O385" i="2" s="1"/>
  <c r="O20" i="2" s="1"/>
  <c r="P535" i="2"/>
  <c r="H690" i="2"/>
  <c r="H486" i="2" s="1"/>
  <c r="H412" i="2" s="1"/>
  <c r="H47" i="2" s="1"/>
  <c r="I602" i="2"/>
  <c r="O605" i="2"/>
  <c r="L91" i="35"/>
  <c r="E672" i="2"/>
  <c r="E468" i="2" s="1"/>
  <c r="E394" i="2" s="1"/>
  <c r="E29" i="2" s="1"/>
  <c r="J504" i="2"/>
  <c r="J430" i="2" s="1"/>
  <c r="J65" i="2" s="1"/>
  <c r="O623" i="2"/>
  <c r="O487" i="2" s="1"/>
  <c r="O413" i="2" s="1"/>
  <c r="O48" i="2" s="1"/>
  <c r="E637" i="2"/>
  <c r="E501" i="2" s="1"/>
  <c r="E427" i="2" s="1"/>
  <c r="E62" i="2" s="1"/>
  <c r="I633" i="2"/>
  <c r="I497" i="2" s="1"/>
  <c r="I423" i="2" s="1"/>
  <c r="I58" i="2" s="1"/>
  <c r="I266" i="2" s="1"/>
  <c r="J693" i="2"/>
  <c r="J489" i="2" s="1"/>
  <c r="J415" i="2" s="1"/>
  <c r="J50" i="2" s="1"/>
  <c r="J258" i="2" s="1"/>
  <c r="J700" i="2"/>
  <c r="J496" i="2" s="1"/>
  <c r="J422" i="2" s="1"/>
  <c r="J57" i="2" s="1"/>
  <c r="J691" i="2"/>
  <c r="J487" i="2" s="1"/>
  <c r="J413" i="2" s="1"/>
  <c r="J48" i="2" s="1"/>
  <c r="P600" i="2"/>
  <c r="P464" i="2" s="1"/>
  <c r="P390" i="2" s="1"/>
  <c r="P25" i="2" s="1"/>
  <c r="Q668" i="2"/>
  <c r="E4" i="32"/>
  <c r="C546" i="2"/>
  <c r="C478" i="2" s="1"/>
  <c r="C404" i="2" s="1"/>
  <c r="C39" i="2" s="1"/>
  <c r="C544" i="2"/>
  <c r="Q597" i="2"/>
  <c r="L41" i="5"/>
  <c r="P650" i="2"/>
  <c r="O673" i="2"/>
  <c r="I17" i="36"/>
  <c r="J17" i="36" s="1"/>
  <c r="K19" i="36" s="1"/>
  <c r="M579" i="2"/>
  <c r="M443" i="2" s="1"/>
  <c r="M369" i="2" s="1"/>
  <c r="M4" i="2" s="1"/>
  <c r="Q675" i="2"/>
  <c r="Q640" i="2"/>
  <c r="Q504" i="2" s="1"/>
  <c r="Q430" i="2" s="1"/>
  <c r="Q65" i="2" s="1"/>
  <c r="P525" i="2"/>
  <c r="L32" i="5"/>
  <c r="L34" i="5" s="1"/>
  <c r="L44" i="5" s="1"/>
  <c r="O50" i="7"/>
  <c r="M658" i="2"/>
  <c r="G17" i="36"/>
  <c r="G19" i="36" s="1"/>
  <c r="F531" i="2"/>
  <c r="D666" i="2"/>
  <c r="R18" i="7"/>
  <c r="R4" i="7" s="1"/>
  <c r="P661" i="2"/>
  <c r="L706" i="2"/>
  <c r="L502" i="2" s="1"/>
  <c r="L428" i="2" s="1"/>
  <c r="L63" i="2" s="1"/>
  <c r="L271" i="2" s="1"/>
  <c r="P611" i="2"/>
  <c r="P475" i="2" s="1"/>
  <c r="P401" i="2" s="1"/>
  <c r="P36" i="2" s="1"/>
  <c r="G343" i="2"/>
  <c r="P677" i="2"/>
  <c r="P473" i="2" s="1"/>
  <c r="P399" i="2" s="1"/>
  <c r="P34" i="2" s="1"/>
  <c r="P647" i="2"/>
  <c r="P443" i="2" s="1"/>
  <c r="R41" i="5"/>
  <c r="Q607" i="2"/>
  <c r="AE72" i="36"/>
  <c r="AE65" i="36" s="1"/>
  <c r="O172" i="2"/>
  <c r="D172" i="2"/>
  <c r="F172" i="2"/>
  <c r="M172" i="2"/>
  <c r="H172" i="2"/>
  <c r="H239" i="2" s="1"/>
  <c r="G172" i="2"/>
  <c r="N172" i="2"/>
  <c r="F200" i="2"/>
  <c r="F267" i="2" s="1"/>
  <c r="Q200" i="2"/>
  <c r="K200" i="2"/>
  <c r="L200" i="2"/>
  <c r="L267" i="2" s="1"/>
  <c r="H200" i="2"/>
  <c r="J200" i="2"/>
  <c r="N200" i="2"/>
  <c r="N267" i="2" s="1"/>
  <c r="O200" i="2"/>
  <c r="I200" i="2"/>
  <c r="Q164" i="2"/>
  <c r="O164" i="2"/>
  <c r="K164" i="2"/>
  <c r="I164" i="2"/>
  <c r="G447" i="2"/>
  <c r="G373" i="2" s="1"/>
  <c r="G8" i="2" s="1"/>
  <c r="F275" i="2"/>
  <c r="G491" i="2"/>
  <c r="G417" i="2" s="1"/>
  <c r="G52" i="2" s="1"/>
  <c r="G500" i="2"/>
  <c r="G426" i="2" s="1"/>
  <c r="G61" i="2" s="1"/>
  <c r="G475" i="2"/>
  <c r="G401" i="2" s="1"/>
  <c r="G36" i="2" s="1"/>
  <c r="J274" i="2"/>
  <c r="L274" i="2"/>
  <c r="H223" i="2"/>
  <c r="G450" i="2"/>
  <c r="G376" i="2" s="1"/>
  <c r="G11" i="2" s="1"/>
  <c r="H496" i="2"/>
  <c r="H422" i="2" s="1"/>
  <c r="H57" i="2" s="1"/>
  <c r="J456" i="2"/>
  <c r="J382" i="2" s="1"/>
  <c r="J17" i="2" s="1"/>
  <c r="L462" i="2"/>
  <c r="L388" i="2" s="1"/>
  <c r="L23" i="2" s="1"/>
  <c r="M463" i="2"/>
  <c r="M389" i="2" s="1"/>
  <c r="M24" i="2" s="1"/>
  <c r="O467" i="2"/>
  <c r="O393" i="2" s="1"/>
  <c r="O28" i="2" s="1"/>
  <c r="O473" i="2"/>
  <c r="O399" i="2" s="1"/>
  <c r="O34" i="2" s="1"/>
  <c r="H466" i="2"/>
  <c r="H392" i="2" s="1"/>
  <c r="H27" i="2" s="1"/>
  <c r="D263" i="2"/>
  <c r="P17" i="8"/>
  <c r="C492" i="2"/>
  <c r="C418" i="2" s="1"/>
  <c r="C53" i="2" s="1"/>
  <c r="L480" i="2"/>
  <c r="L406" i="2" s="1"/>
  <c r="L41" i="2" s="1"/>
  <c r="L487" i="2"/>
  <c r="L413" i="2" s="1"/>
  <c r="L48" i="2" s="1"/>
  <c r="O490" i="2"/>
  <c r="O416" i="2" s="1"/>
  <c r="O51" i="2" s="1"/>
  <c r="K495" i="2"/>
  <c r="K421" i="2" s="1"/>
  <c r="K56" i="2" s="1"/>
  <c r="K497" i="2"/>
  <c r="K423" i="2" s="1"/>
  <c r="K58" i="2" s="1"/>
  <c r="K266" i="2" s="1"/>
  <c r="E475" i="2"/>
  <c r="E401" i="2" s="1"/>
  <c r="E36" i="2" s="1"/>
  <c r="I465" i="2"/>
  <c r="I391" i="2" s="1"/>
  <c r="I26" i="2" s="1"/>
  <c r="D491" i="2"/>
  <c r="D417" i="2" s="1"/>
  <c r="D52" i="2" s="1"/>
  <c r="E506" i="2"/>
  <c r="E432" i="2" s="1"/>
  <c r="E67" i="2" s="1"/>
  <c r="E275" i="2" s="1"/>
  <c r="C450" i="2"/>
  <c r="C376" i="2" s="1"/>
  <c r="C11" i="2" s="1"/>
  <c r="I472" i="2"/>
  <c r="I398" i="2" s="1"/>
  <c r="I33" i="2" s="1"/>
  <c r="J451" i="2"/>
  <c r="J377" i="2" s="1"/>
  <c r="J12" i="2" s="1"/>
  <c r="J471" i="2"/>
  <c r="J397" i="2" s="1"/>
  <c r="J32" i="2" s="1"/>
  <c r="C461" i="2"/>
  <c r="C387" i="2" s="1"/>
  <c r="C22" i="2" s="1"/>
  <c r="K163" i="2" s="1"/>
  <c r="C485" i="2"/>
  <c r="C411" i="2" s="1"/>
  <c r="C46" i="2" s="1"/>
  <c r="E467" i="2"/>
  <c r="E393" i="2" s="1"/>
  <c r="E28" i="2" s="1"/>
  <c r="I481" i="2"/>
  <c r="I407" i="2" s="1"/>
  <c r="I42" i="2" s="1"/>
  <c r="C484" i="2"/>
  <c r="C410" i="2" s="1"/>
  <c r="C45" i="2" s="1"/>
  <c r="K451" i="2"/>
  <c r="K377" i="2" s="1"/>
  <c r="K12" i="2" s="1"/>
  <c r="H474" i="2"/>
  <c r="H400" i="2" s="1"/>
  <c r="H35" i="2" s="1"/>
  <c r="N480" i="2"/>
  <c r="N406" i="2" s="1"/>
  <c r="N41" i="2" s="1"/>
  <c r="N484" i="2"/>
  <c r="N410" i="2" s="1"/>
  <c r="N45" i="2" s="1"/>
  <c r="O489" i="2"/>
  <c r="O415" i="2" s="1"/>
  <c r="O50" i="2" s="1"/>
  <c r="O258" i="2" s="1"/>
  <c r="C504" i="2"/>
  <c r="C430" i="2" s="1"/>
  <c r="C65" i="2" s="1"/>
  <c r="N206" i="2" s="1"/>
  <c r="N273" i="2" s="1"/>
  <c r="I480" i="2"/>
  <c r="I406" i="2" s="1"/>
  <c r="I41" i="2" s="1"/>
  <c r="E458" i="2"/>
  <c r="E384" i="2" s="1"/>
  <c r="E19" i="2" s="1"/>
  <c r="H479" i="2"/>
  <c r="H405" i="2" s="1"/>
  <c r="H40" i="2" s="1"/>
  <c r="L471" i="2"/>
  <c r="L397" i="2" s="1"/>
  <c r="L32" i="2" s="1"/>
  <c r="D477" i="2"/>
  <c r="D403" i="2" s="1"/>
  <c r="D38" i="2" s="1"/>
  <c r="C444" i="2"/>
  <c r="C370" i="2" s="1"/>
  <c r="C5" i="2" s="1"/>
  <c r="D146" i="2" s="1"/>
  <c r="C697" i="2"/>
  <c r="C493" i="2" s="1"/>
  <c r="C419" i="2" s="1"/>
  <c r="C54" i="2" s="1"/>
  <c r="J639" i="2"/>
  <c r="J707" i="2"/>
  <c r="E474" i="2"/>
  <c r="E400" i="2" s="1"/>
  <c r="E35" i="2" s="1"/>
  <c r="E462" i="2"/>
  <c r="E388" i="2" s="1"/>
  <c r="E23" i="2" s="1"/>
  <c r="E231" i="2" s="1"/>
  <c r="D505" i="2"/>
  <c r="D431" i="2" s="1"/>
  <c r="D66" i="2" s="1"/>
  <c r="D501" i="2"/>
  <c r="D427" i="2" s="1"/>
  <c r="D62" i="2" s="1"/>
  <c r="D465" i="2"/>
  <c r="D391" i="2" s="1"/>
  <c r="D26" i="2" s="1"/>
  <c r="O448" i="2"/>
  <c r="O374" i="2" s="1"/>
  <c r="O9" i="2" s="1"/>
  <c r="K490" i="2"/>
  <c r="K416" i="2" s="1"/>
  <c r="K51" i="2" s="1"/>
  <c r="I466" i="2"/>
  <c r="I392" i="2" s="1"/>
  <c r="I27" i="2" s="1"/>
  <c r="Q448" i="2"/>
  <c r="Q374" i="2" s="1"/>
  <c r="Q9" i="2" s="1"/>
  <c r="E471" i="2"/>
  <c r="E397" i="2" s="1"/>
  <c r="E32" i="2" s="1"/>
  <c r="E502" i="2"/>
  <c r="E428" i="2" s="1"/>
  <c r="E63" i="2" s="1"/>
  <c r="E271" i="2" s="1"/>
  <c r="F9" i="35"/>
  <c r="W9" i="35"/>
  <c r="P490" i="2"/>
  <c r="P416" i="2" s="1"/>
  <c r="P51" i="2" s="1"/>
  <c r="D448" i="2"/>
  <c r="D374" i="2" s="1"/>
  <c r="D9" i="2" s="1"/>
  <c r="M489" i="2"/>
  <c r="M415" i="2" s="1"/>
  <c r="M50" i="2" s="1"/>
  <c r="M258" i="2" s="1"/>
  <c r="P503" i="2"/>
  <c r="P429" i="2" s="1"/>
  <c r="P64" i="2" s="1"/>
  <c r="R11" i="31"/>
  <c r="R19" i="31" s="1"/>
  <c r="AP72" i="36"/>
  <c r="AP65" i="36" s="1"/>
  <c r="AQ72" i="36"/>
  <c r="AQ65" i="36" s="1"/>
  <c r="O445" i="2"/>
  <c r="O371" i="2" s="1"/>
  <c r="O6" i="2" s="1"/>
  <c r="O214" i="2" s="1"/>
  <c r="F445" i="2"/>
  <c r="F371" i="2" s="1"/>
  <c r="F6" i="2" s="1"/>
  <c r="F214" i="2" s="1"/>
  <c r="R20" i="31"/>
  <c r="R21" i="8"/>
  <c r="D159" i="2"/>
  <c r="D226" i="2" s="1"/>
  <c r="L171" i="2"/>
  <c r="L238" i="2" s="1"/>
  <c r="C171" i="2"/>
  <c r="C238" i="2" s="1"/>
  <c r="F206" i="2"/>
  <c r="C206" i="2"/>
  <c r="C273" i="2" s="1"/>
  <c r="M206" i="2"/>
  <c r="M273" i="2" s="1"/>
  <c r="L206" i="2"/>
  <c r="L273" i="2" s="1"/>
  <c r="C649" i="2"/>
  <c r="C581" i="2"/>
  <c r="R581" i="2"/>
  <c r="R649" i="2"/>
  <c r="T649" i="2"/>
  <c r="T581" i="2"/>
  <c r="U6" i="5"/>
  <c r="U26" i="5" s="1"/>
  <c r="U28" i="5" s="1"/>
  <c r="E190" i="2"/>
  <c r="F190" i="2"/>
  <c r="F257" i="2" s="1"/>
  <c r="C190" i="2"/>
  <c r="C257" i="2" s="1"/>
  <c r="D190" i="2"/>
  <c r="E148" i="2"/>
  <c r="N148" i="2"/>
  <c r="I148" i="2"/>
  <c r="F148" i="2"/>
  <c r="H148" i="2"/>
  <c r="H215" i="2" s="1"/>
  <c r="Q148" i="2"/>
  <c r="K148" i="2"/>
  <c r="L148" i="2"/>
  <c r="L215" i="2" s="1"/>
  <c r="L151" i="2"/>
  <c r="P151" i="2"/>
  <c r="Q151" i="2"/>
  <c r="N239" i="2"/>
  <c r="P148" i="2"/>
  <c r="S135" i="35"/>
  <c r="H134" i="35"/>
  <c r="AU6" i="36"/>
  <c r="H164" i="2"/>
  <c r="H231" i="2" s="1"/>
  <c r="G164" i="2"/>
  <c r="M164" i="2"/>
  <c r="E164" i="2"/>
  <c r="L164" i="2"/>
  <c r="J164" i="2"/>
  <c r="N164" i="2"/>
  <c r="C164" i="2"/>
  <c r="C231" i="2" s="1"/>
  <c r="F164" i="2"/>
  <c r="D176" i="2"/>
  <c r="N176" i="2"/>
  <c r="J176" i="2"/>
  <c r="M176" i="2"/>
  <c r="M243" i="2" s="1"/>
  <c r="C176" i="2"/>
  <c r="C243" i="2" s="1"/>
  <c r="K176" i="2"/>
  <c r="D164" i="2"/>
  <c r="G235" i="2"/>
  <c r="P164" i="2"/>
  <c r="H177" i="2"/>
  <c r="J205" i="2"/>
  <c r="O205" i="2"/>
  <c r="O272" i="2" s="1"/>
  <c r="H205" i="2"/>
  <c r="D205" i="2"/>
  <c r="R24" i="8"/>
  <c r="Q172" i="2"/>
  <c r="J172" i="2"/>
  <c r="P172" i="2"/>
  <c r="I172" i="2"/>
  <c r="E172" i="2"/>
  <c r="L172" i="2"/>
  <c r="L239" i="2" s="1"/>
  <c r="C172" i="2"/>
  <c r="C239" i="2" s="1"/>
  <c r="K172" i="2"/>
  <c r="E215" i="2"/>
  <c r="AF51" i="35"/>
  <c r="AJ51" i="35"/>
  <c r="AA51" i="35"/>
  <c r="AB51" i="35"/>
  <c r="AC51" i="35"/>
  <c r="Z51" i="35"/>
  <c r="I21" i="8"/>
  <c r="G199" i="2"/>
  <c r="L199" i="2"/>
  <c r="O199" i="2"/>
  <c r="O266" i="2" s="1"/>
  <c r="H199" i="2"/>
  <c r="Q199" i="2"/>
  <c r="Q156" i="2"/>
  <c r="L156" i="2"/>
  <c r="D156" i="2"/>
  <c r="N156" i="2"/>
  <c r="C200" i="2"/>
  <c r="C267" i="2" s="1"/>
  <c r="P200" i="2"/>
  <c r="P267" i="2" s="1"/>
  <c r="M200" i="2"/>
  <c r="M267" i="2" s="1"/>
  <c r="D200" i="2"/>
  <c r="G200" i="2"/>
  <c r="E200" i="2"/>
  <c r="E267" i="2" s="1"/>
  <c r="E168" i="2"/>
  <c r="E235" i="2" s="1"/>
  <c r="P168" i="2"/>
  <c r="M168" i="2"/>
  <c r="E182" i="2"/>
  <c r="G208" i="2"/>
  <c r="L208" i="2"/>
  <c r="L275" i="2" s="1"/>
  <c r="F24" i="8"/>
  <c r="I498" i="2"/>
  <c r="I424" i="2" s="1"/>
  <c r="I59" i="2" s="1"/>
  <c r="G532" i="2"/>
  <c r="G600" i="2"/>
  <c r="J455" i="2"/>
  <c r="J381" i="2" s="1"/>
  <c r="J16" i="2" s="1"/>
  <c r="C163" i="2"/>
  <c r="C230" i="2" s="1"/>
  <c r="P258" i="2"/>
  <c r="D531" i="2"/>
  <c r="D667" i="2"/>
  <c r="D599" i="2"/>
  <c r="E445" i="2"/>
  <c r="E371" i="2" s="1"/>
  <c r="E6" i="2" s="1"/>
  <c r="E214" i="2" s="1"/>
  <c r="C601" i="2"/>
  <c r="C669" i="2"/>
  <c r="C533" i="2"/>
  <c r="C660" i="2"/>
  <c r="C524" i="2"/>
  <c r="C592" i="2"/>
  <c r="J705" i="2"/>
  <c r="J637" i="2"/>
  <c r="J701" i="2"/>
  <c r="J633" i="2"/>
  <c r="I639" i="2"/>
  <c r="I707" i="2"/>
  <c r="G358" i="2"/>
  <c r="H637" i="2"/>
  <c r="H705" i="2"/>
  <c r="H594" i="2"/>
  <c r="G315" i="2"/>
  <c r="H662" i="2"/>
  <c r="H526" i="2"/>
  <c r="F694" i="2"/>
  <c r="F626" i="2"/>
  <c r="F690" i="2"/>
  <c r="F622" i="2"/>
  <c r="F548" i="2"/>
  <c r="F684" i="2"/>
  <c r="F616" i="2"/>
  <c r="F477" i="2"/>
  <c r="F403" i="2" s="1"/>
  <c r="F38" i="2" s="1"/>
  <c r="E549" i="2"/>
  <c r="E685" i="2"/>
  <c r="E617" i="2"/>
  <c r="E613" i="2"/>
  <c r="E681" i="2"/>
  <c r="E545" i="2"/>
  <c r="E533" i="2"/>
  <c r="E669" i="2"/>
  <c r="E601" i="2"/>
  <c r="D702" i="2"/>
  <c r="D634" i="2"/>
  <c r="D609" i="2"/>
  <c r="D541" i="2"/>
  <c r="D677" i="2"/>
  <c r="B72" i="36"/>
  <c r="B36" i="36"/>
  <c r="B70" i="36"/>
  <c r="K173" i="35"/>
  <c r="G173" i="35"/>
  <c r="J173" i="35"/>
  <c r="L173" i="35"/>
  <c r="I173" i="35"/>
  <c r="E173" i="35"/>
  <c r="B9" i="35"/>
  <c r="D173" i="35"/>
  <c r="F173" i="35"/>
  <c r="B210" i="35"/>
  <c r="C19" i="34" s="1"/>
  <c r="C44" i="34" s="1"/>
  <c r="C57" i="34" s="1"/>
  <c r="H12" i="35"/>
  <c r="S13" i="35"/>
  <c r="C12" i="35"/>
  <c r="C30" i="35" s="1"/>
  <c r="K12" i="35"/>
  <c r="J12" i="35"/>
  <c r="E12" i="35"/>
  <c r="D12" i="35"/>
  <c r="L12" i="35"/>
  <c r="I12" i="35"/>
  <c r="S93" i="35"/>
  <c r="M92" i="35"/>
  <c r="F92" i="35"/>
  <c r="E92" i="35"/>
  <c r="K92" i="35"/>
  <c r="G92" i="35"/>
  <c r="H92" i="35"/>
  <c r="L92" i="35"/>
  <c r="E174" i="35"/>
  <c r="J174" i="35"/>
  <c r="S175" i="35"/>
  <c r="L174" i="35"/>
  <c r="I174" i="35"/>
  <c r="G174" i="35"/>
  <c r="K174" i="35"/>
  <c r="M174" i="35"/>
  <c r="P580" i="2"/>
  <c r="P648" i="2"/>
  <c r="P591" i="2"/>
  <c r="P659" i="2"/>
  <c r="P523" i="2"/>
  <c r="P533" i="2"/>
  <c r="P669" i="2"/>
  <c r="P601" i="2"/>
  <c r="P537" i="2"/>
  <c r="P673" i="2"/>
  <c r="P605" i="2"/>
  <c r="Q542" i="2"/>
  <c r="Q610" i="2"/>
  <c r="Q678" i="2"/>
  <c r="P531" i="2"/>
  <c r="P667" i="2"/>
  <c r="P599" i="2"/>
  <c r="P496" i="2"/>
  <c r="P422" i="2" s="1"/>
  <c r="P57" i="2" s="1"/>
  <c r="Z9" i="36"/>
  <c r="B80" i="17"/>
  <c r="B85" i="36"/>
  <c r="M146" i="2"/>
  <c r="M213" i="2" s="1"/>
  <c r="I454" i="2"/>
  <c r="I380" i="2" s="1"/>
  <c r="I15" i="2" s="1"/>
  <c r="I223" i="2" s="1"/>
  <c r="C453" i="2"/>
  <c r="C379" i="2" s="1"/>
  <c r="C14" i="2" s="1"/>
  <c r="O196" i="2"/>
  <c r="O263" i="2" s="1"/>
  <c r="F196" i="2"/>
  <c r="F263" i="2" s="1"/>
  <c r="P196" i="2"/>
  <c r="P263" i="2" s="1"/>
  <c r="L196" i="2"/>
  <c r="L263" i="2" s="1"/>
  <c r="N196" i="2"/>
  <c r="G196" i="2"/>
  <c r="C196" i="2"/>
  <c r="C263" i="2" s="1"/>
  <c r="E196" i="2"/>
  <c r="G606" i="2"/>
  <c r="G538" i="2"/>
  <c r="G674" i="2"/>
  <c r="P448" i="2"/>
  <c r="P374" i="2" s="1"/>
  <c r="P9" i="2" s="1"/>
  <c r="M197" i="2"/>
  <c r="M264" i="2" s="1"/>
  <c r="Q625" i="2"/>
  <c r="Q489" i="2" s="1"/>
  <c r="Q415" i="2" s="1"/>
  <c r="Q50" i="2" s="1"/>
  <c r="Q258" i="2" s="1"/>
  <c r="Q585" i="2"/>
  <c r="Q653" i="2"/>
  <c r="D529" i="2"/>
  <c r="D665" i="2"/>
  <c r="N703" i="2"/>
  <c r="N635" i="2"/>
  <c r="O690" i="2"/>
  <c r="O622" i="2"/>
  <c r="L688" i="2"/>
  <c r="L620" i="2"/>
  <c r="L552" i="2"/>
  <c r="O616" i="2"/>
  <c r="O548" i="2"/>
  <c r="O684" i="2"/>
  <c r="N615" i="2"/>
  <c r="N683" i="2"/>
  <c r="N547" i="2"/>
  <c r="K615" i="2"/>
  <c r="K547" i="2"/>
  <c r="M682" i="2"/>
  <c r="M614" i="2"/>
  <c r="M677" i="2"/>
  <c r="M609" i="2"/>
  <c r="M541" i="2"/>
  <c r="O607" i="2"/>
  <c r="O539" i="2"/>
  <c r="O675" i="2"/>
  <c r="N600" i="2"/>
  <c r="N532" i="2"/>
  <c r="N525" i="2"/>
  <c r="N593" i="2"/>
  <c r="N661" i="2"/>
  <c r="K660" i="2"/>
  <c r="K592" i="2"/>
  <c r="K524" i="2"/>
  <c r="M659" i="2"/>
  <c r="M523" i="2"/>
  <c r="M591" i="2"/>
  <c r="K591" i="2"/>
  <c r="K659" i="2"/>
  <c r="K590" i="2"/>
  <c r="K658" i="2"/>
  <c r="N589" i="2"/>
  <c r="N516" i="2"/>
  <c r="N652" i="2"/>
  <c r="M546" i="2"/>
  <c r="G592" i="2"/>
  <c r="G635" i="2"/>
  <c r="G703" i="2"/>
  <c r="K683" i="2"/>
  <c r="Q517" i="2"/>
  <c r="D419" i="2"/>
  <c r="D54" i="2" s="1"/>
  <c r="C623" i="2"/>
  <c r="C487" i="2" s="1"/>
  <c r="C413" i="2" s="1"/>
  <c r="C48" i="2" s="1"/>
  <c r="C617" i="2"/>
  <c r="C685" i="2"/>
  <c r="C677" i="2"/>
  <c r="C609" i="2"/>
  <c r="C662" i="2"/>
  <c r="C526" i="2"/>
  <c r="C594" i="2"/>
  <c r="C584" i="2"/>
  <c r="C652" i="2"/>
  <c r="J642" i="2"/>
  <c r="J506" i="2" s="1"/>
  <c r="J432" i="2" s="1"/>
  <c r="J67" i="2" s="1"/>
  <c r="J426" i="2"/>
  <c r="J61" i="2" s="1"/>
  <c r="I642" i="2"/>
  <c r="I710" i="2"/>
  <c r="I588" i="2"/>
  <c r="I520" i="2"/>
  <c r="I656" i="2"/>
  <c r="H710" i="2"/>
  <c r="H506" i="2" s="1"/>
  <c r="H432" i="2" s="1"/>
  <c r="H67" i="2" s="1"/>
  <c r="H275" i="2" s="1"/>
  <c r="H707" i="2"/>
  <c r="G360" i="2"/>
  <c r="H639" i="2"/>
  <c r="H682" i="2"/>
  <c r="G335" i="2"/>
  <c r="H614" i="2"/>
  <c r="G328" i="2"/>
  <c r="H607" i="2"/>
  <c r="H471" i="2" s="1"/>
  <c r="H397" i="2" s="1"/>
  <c r="H32" i="2" s="1"/>
  <c r="H531" i="2"/>
  <c r="H667" i="2"/>
  <c r="H599" i="2"/>
  <c r="G317" i="2"/>
  <c r="H664" i="2"/>
  <c r="H528" i="2"/>
  <c r="F633" i="2"/>
  <c r="F497" i="2" s="1"/>
  <c r="F423" i="2" s="1"/>
  <c r="F58" i="2" s="1"/>
  <c r="F696" i="2"/>
  <c r="F628" i="2"/>
  <c r="F485" i="2"/>
  <c r="F411" i="2" s="1"/>
  <c r="F46" i="2" s="1"/>
  <c r="F550" i="2"/>
  <c r="F686" i="2"/>
  <c r="E631" i="2"/>
  <c r="E699" i="2"/>
  <c r="E694" i="2"/>
  <c r="E626" i="2"/>
  <c r="L618" i="2"/>
  <c r="L550" i="2"/>
  <c r="K680" i="2"/>
  <c r="K544" i="2"/>
  <c r="M679" i="2"/>
  <c r="M611" i="2"/>
  <c r="L525" i="2"/>
  <c r="L661" i="2"/>
  <c r="L593" i="2"/>
  <c r="N659" i="2"/>
  <c r="N591" i="2"/>
  <c r="K523" i="2"/>
  <c r="N658" i="2"/>
  <c r="N590" i="2"/>
  <c r="K522" i="2"/>
  <c r="N521" i="2"/>
  <c r="N515" i="2"/>
  <c r="N651" i="2"/>
  <c r="N583" i="2"/>
  <c r="Q622" i="2"/>
  <c r="Q690" i="2"/>
  <c r="H697" i="2"/>
  <c r="H493" i="2" s="1"/>
  <c r="H419" i="2" s="1"/>
  <c r="H54" i="2" s="1"/>
  <c r="M638" i="2"/>
  <c r="M502" i="2" s="1"/>
  <c r="M428" i="2" s="1"/>
  <c r="M63" i="2" s="1"/>
  <c r="M271" i="2" s="1"/>
  <c r="O637" i="2"/>
  <c r="O705" i="2"/>
  <c r="Q705" i="2"/>
  <c r="Q501" i="2" s="1"/>
  <c r="Q427" i="2" s="1"/>
  <c r="Q62" i="2" s="1"/>
  <c r="E664" i="2"/>
  <c r="E596" i="2"/>
  <c r="P548" i="2"/>
  <c r="P480" i="2" s="1"/>
  <c r="P406" i="2" s="1"/>
  <c r="P41" i="2" s="1"/>
  <c r="O419" i="2"/>
  <c r="O54" i="2" s="1"/>
  <c r="M697" i="2"/>
  <c r="M493" i="2" s="1"/>
  <c r="M419" i="2" s="1"/>
  <c r="M54" i="2" s="1"/>
  <c r="F419" i="2"/>
  <c r="F54" i="2" s="1"/>
  <c r="J445" i="2"/>
  <c r="J371" i="2" s="1"/>
  <c r="J6" i="2" s="1"/>
  <c r="AI11" i="34"/>
  <c r="AG6" i="35"/>
  <c r="P581" i="2"/>
  <c r="P445" i="2" s="1"/>
  <c r="P371" i="2" s="1"/>
  <c r="P6" i="2" s="1"/>
  <c r="P214" i="2" s="1"/>
  <c r="N649" i="2"/>
  <c r="L649" i="2"/>
  <c r="L445" i="2" s="1"/>
  <c r="G302" i="2"/>
  <c r="R13" i="32"/>
  <c r="S12" i="32"/>
  <c r="AH9" i="35"/>
  <c r="AJ11" i="34"/>
  <c r="R126" i="2"/>
  <c r="R127" i="2"/>
  <c r="R128" i="2"/>
  <c r="R199" i="2" s="1"/>
  <c r="R129" i="2"/>
  <c r="R200" i="2" s="1"/>
  <c r="R130" i="2"/>
  <c r="Q457" i="2" l="1"/>
  <c r="Q383" i="2" s="1"/>
  <c r="Q18" i="2" s="1"/>
  <c r="G524" i="2"/>
  <c r="L223" i="2"/>
  <c r="F177" i="2"/>
  <c r="Z63" i="36"/>
  <c r="D171" i="2"/>
  <c r="D238" i="2" s="1"/>
  <c r="N171" i="2"/>
  <c r="R42" i="5"/>
  <c r="Q177" i="2"/>
  <c r="P177" i="2"/>
  <c r="P482" i="2"/>
  <c r="P408" i="2" s="1"/>
  <c r="P43" i="2" s="1"/>
  <c r="H492" i="2"/>
  <c r="H418" i="2" s="1"/>
  <c r="H53" i="2" s="1"/>
  <c r="L443" i="2"/>
  <c r="L369" i="2" s="1"/>
  <c r="L4" i="2" s="1"/>
  <c r="L448" i="2"/>
  <c r="L374" i="2" s="1"/>
  <c r="L9" i="2" s="1"/>
  <c r="N450" i="2"/>
  <c r="N376" i="2" s="1"/>
  <c r="N11" i="2" s="1"/>
  <c r="D470" i="2"/>
  <c r="D396" i="2" s="1"/>
  <c r="D31" i="2" s="1"/>
  <c r="D239" i="2" s="1"/>
  <c r="G710" i="2"/>
  <c r="P203" i="2"/>
  <c r="Q203" i="2"/>
  <c r="G525" i="2"/>
  <c r="F447" i="2"/>
  <c r="F373" i="2" s="1"/>
  <c r="F8" i="2" s="1"/>
  <c r="J462" i="2"/>
  <c r="J388" i="2" s="1"/>
  <c r="J23" i="2" s="1"/>
  <c r="J231" i="2" s="1"/>
  <c r="G634" i="2"/>
  <c r="G702" i="2"/>
  <c r="K171" i="2"/>
  <c r="M464" i="2"/>
  <c r="M390" i="2" s="1"/>
  <c r="M25" i="2" s="1"/>
  <c r="Q477" i="2"/>
  <c r="Q403" i="2" s="1"/>
  <c r="Q38" i="2" s="1"/>
  <c r="L488" i="2"/>
  <c r="L414" i="2" s="1"/>
  <c r="L49" i="2" s="1"/>
  <c r="M163" i="2"/>
  <c r="G177" i="2"/>
  <c r="G244" i="2" s="1"/>
  <c r="H171" i="2"/>
  <c r="O171" i="2"/>
  <c r="E24" i="8"/>
  <c r="D177" i="2"/>
  <c r="L458" i="2"/>
  <c r="L384" i="2" s="1"/>
  <c r="L19" i="2" s="1"/>
  <c r="N492" i="2"/>
  <c r="N418" i="2" s="1"/>
  <c r="N53" i="2" s="1"/>
  <c r="J203" i="2"/>
  <c r="N42" i="5"/>
  <c r="F478" i="2"/>
  <c r="F404" i="2" s="1"/>
  <c r="F39" i="2" s="1"/>
  <c r="H497" i="2"/>
  <c r="H423" i="2" s="1"/>
  <c r="H58" i="2" s="1"/>
  <c r="I462" i="2"/>
  <c r="I388" i="2" s="1"/>
  <c r="I23" i="2" s="1"/>
  <c r="I231" i="2" s="1"/>
  <c r="J485" i="2"/>
  <c r="J411" i="2" s="1"/>
  <c r="J46" i="2" s="1"/>
  <c r="C447" i="2"/>
  <c r="C373" i="2" s="1"/>
  <c r="C8" i="2" s="1"/>
  <c r="C490" i="2"/>
  <c r="C416" i="2" s="1"/>
  <c r="C51" i="2" s="1"/>
  <c r="F192" i="2" s="1"/>
  <c r="L449" i="2"/>
  <c r="L375" i="2" s="1"/>
  <c r="L10" i="2" s="1"/>
  <c r="L218" i="2" s="1"/>
  <c r="N467" i="2"/>
  <c r="N393" i="2" s="1"/>
  <c r="N28" i="2" s="1"/>
  <c r="N487" i="2"/>
  <c r="N413" i="2" s="1"/>
  <c r="N48" i="2" s="1"/>
  <c r="D479" i="2"/>
  <c r="D405" i="2" s="1"/>
  <c r="D40" i="2" s="1"/>
  <c r="H469" i="2"/>
  <c r="H395" i="2" s="1"/>
  <c r="H30" i="2" s="1"/>
  <c r="I471" i="2"/>
  <c r="I397" i="2" s="1"/>
  <c r="I32" i="2" s="1"/>
  <c r="C460" i="2"/>
  <c r="C386" i="2" s="1"/>
  <c r="C21" i="2" s="1"/>
  <c r="N203" i="2"/>
  <c r="N270" i="2" s="1"/>
  <c r="Q270" i="2"/>
  <c r="E171" i="2"/>
  <c r="E238" i="2" s="1"/>
  <c r="Q171" i="2"/>
  <c r="C203" i="2"/>
  <c r="C270" i="2" s="1"/>
  <c r="I263" i="2"/>
  <c r="I235" i="2"/>
  <c r="E177" i="2"/>
  <c r="P171" i="2"/>
  <c r="G171" i="2"/>
  <c r="I18" i="36"/>
  <c r="J18" i="36" s="1"/>
  <c r="F470" i="2"/>
  <c r="F396" i="2" s="1"/>
  <c r="F31" i="2" s="1"/>
  <c r="I445" i="2"/>
  <c r="I371" i="2" s="1"/>
  <c r="I6" i="2" s="1"/>
  <c r="I214" i="2" s="1"/>
  <c r="O275" i="2"/>
  <c r="I177" i="2"/>
  <c r="J171" i="2"/>
  <c r="C177" i="2"/>
  <c r="C244" i="2" s="1"/>
  <c r="Z52" i="36"/>
  <c r="F171" i="2"/>
  <c r="F238" i="2" s="1"/>
  <c r="M171" i="2"/>
  <c r="M238" i="2" s="1"/>
  <c r="J177" i="2"/>
  <c r="J244" i="2" s="1"/>
  <c r="I271" i="2"/>
  <c r="G474" i="2"/>
  <c r="G400" i="2" s="1"/>
  <c r="G35" i="2" s="1"/>
  <c r="K203" i="2"/>
  <c r="K270" i="2" s="1"/>
  <c r="Q495" i="2"/>
  <c r="Q421" i="2" s="1"/>
  <c r="Q56" i="2" s="1"/>
  <c r="G461" i="2"/>
  <c r="G387" i="2" s="1"/>
  <c r="G22" i="2" s="1"/>
  <c r="M467" i="2"/>
  <c r="M393" i="2" s="1"/>
  <c r="M28" i="2" s="1"/>
  <c r="K477" i="2"/>
  <c r="K403" i="2" s="1"/>
  <c r="K38" i="2" s="1"/>
  <c r="O485" i="2"/>
  <c r="O411" i="2" s="1"/>
  <c r="O46" i="2" s="1"/>
  <c r="D128" i="35"/>
  <c r="E17" i="34" s="1"/>
  <c r="E42" i="34" s="1"/>
  <c r="E55" i="34" s="1"/>
  <c r="G10" i="36" s="1"/>
  <c r="M177" i="2"/>
  <c r="P484" i="2"/>
  <c r="P410" i="2" s="1"/>
  <c r="P45" i="2" s="1"/>
  <c r="N45" i="5"/>
  <c r="N46" i="5" s="1"/>
  <c r="F455" i="2"/>
  <c r="F381" i="2" s="1"/>
  <c r="F16" i="2" s="1"/>
  <c r="L464" i="2"/>
  <c r="L390" i="2" s="1"/>
  <c r="L25" i="2" s="1"/>
  <c r="K469" i="2"/>
  <c r="K395" i="2" s="1"/>
  <c r="K30" i="2" s="1"/>
  <c r="K238" i="2" s="1"/>
  <c r="J275" i="2"/>
  <c r="K177" i="2"/>
  <c r="C476" i="2"/>
  <c r="C402" i="2" s="1"/>
  <c r="C37" i="2" s="1"/>
  <c r="M46" i="5"/>
  <c r="N472" i="2"/>
  <c r="N398" i="2" s="1"/>
  <c r="N33" i="2" s="1"/>
  <c r="N476" i="2"/>
  <c r="N402" i="2" s="1"/>
  <c r="N37" i="2" s="1"/>
  <c r="M485" i="2"/>
  <c r="M411" i="2" s="1"/>
  <c r="M46" i="2" s="1"/>
  <c r="M462" i="2"/>
  <c r="M388" i="2" s="1"/>
  <c r="M23" i="2" s="1"/>
  <c r="F503" i="2"/>
  <c r="F429" i="2" s="1"/>
  <c r="F64" i="2" s="1"/>
  <c r="H448" i="2"/>
  <c r="H374" i="2" s="1"/>
  <c r="H9" i="2" s="1"/>
  <c r="H464" i="2"/>
  <c r="H390" i="2" s="1"/>
  <c r="H25" i="2" s="1"/>
  <c r="H488" i="2"/>
  <c r="H414" i="2" s="1"/>
  <c r="H49" i="2" s="1"/>
  <c r="I499" i="2"/>
  <c r="I425" i="2" s="1"/>
  <c r="I60" i="2" s="1"/>
  <c r="J465" i="2"/>
  <c r="J391" i="2" s="1"/>
  <c r="J26" i="2" s="1"/>
  <c r="G661" i="2"/>
  <c r="G457" i="2" s="1"/>
  <c r="G383" i="2" s="1"/>
  <c r="G18" i="2" s="1"/>
  <c r="M452" i="2"/>
  <c r="M378" i="2" s="1"/>
  <c r="M13" i="2" s="1"/>
  <c r="N471" i="2"/>
  <c r="N397" i="2" s="1"/>
  <c r="N32" i="2" s="1"/>
  <c r="N491" i="2"/>
  <c r="N417" i="2" s="1"/>
  <c r="N52" i="2" s="1"/>
  <c r="E453" i="2"/>
  <c r="E379" i="2" s="1"/>
  <c r="E14" i="2" s="1"/>
  <c r="F483" i="2"/>
  <c r="F409" i="2" s="1"/>
  <c r="F44" i="2" s="1"/>
  <c r="H457" i="2"/>
  <c r="H383" i="2" s="1"/>
  <c r="H18" i="2" s="1"/>
  <c r="J458" i="2"/>
  <c r="J384" i="2" s="1"/>
  <c r="J19" i="2" s="1"/>
  <c r="C464" i="2"/>
  <c r="C390" i="2" s="1"/>
  <c r="C25" i="2" s="1"/>
  <c r="P166" i="2" s="1"/>
  <c r="P233" i="2" s="1"/>
  <c r="C496" i="2"/>
  <c r="C422" i="2" s="1"/>
  <c r="C57" i="2" s="1"/>
  <c r="J454" i="2"/>
  <c r="J380" i="2" s="1"/>
  <c r="J15" i="2" s="1"/>
  <c r="E473" i="2"/>
  <c r="E399" i="2" s="1"/>
  <c r="E34" i="2" s="1"/>
  <c r="S445" i="2"/>
  <c r="S371" i="2" s="1"/>
  <c r="S6" i="2" s="1"/>
  <c r="S214" i="2" s="1"/>
  <c r="P218" i="2"/>
  <c r="Q481" i="2"/>
  <c r="Q407" i="2" s="1"/>
  <c r="Q42" i="2" s="1"/>
  <c r="Q456" i="2"/>
  <c r="Q382" i="2" s="1"/>
  <c r="Q17" i="2" s="1"/>
  <c r="Q473" i="2"/>
  <c r="Q399" i="2" s="1"/>
  <c r="Q34" i="2" s="1"/>
  <c r="P501" i="2"/>
  <c r="P427" i="2" s="1"/>
  <c r="P62" i="2" s="1"/>
  <c r="P270" i="2" s="1"/>
  <c r="Q446" i="2"/>
  <c r="Q372" i="2" s="1"/>
  <c r="Q7" i="2" s="1"/>
  <c r="P474" i="2"/>
  <c r="P400" i="2" s="1"/>
  <c r="P35" i="2" s="1"/>
  <c r="P451" i="2"/>
  <c r="P377" i="2" s="1"/>
  <c r="P12" i="2" s="1"/>
  <c r="Q480" i="2"/>
  <c r="Q406" i="2" s="1"/>
  <c r="Q41" i="2" s="1"/>
  <c r="Q494" i="2"/>
  <c r="Q420" i="2" s="1"/>
  <c r="Q55" i="2" s="1"/>
  <c r="Q263" i="2" s="1"/>
  <c r="K18" i="36"/>
  <c r="L18" i="36"/>
  <c r="S18" i="36"/>
  <c r="E18" i="36"/>
  <c r="O18" i="36"/>
  <c r="G18" i="36"/>
  <c r="N18" i="36"/>
  <c r="P18" i="36"/>
  <c r="H23" i="8"/>
  <c r="I23" i="8" s="1"/>
  <c r="G23" i="8"/>
  <c r="N23" i="8"/>
  <c r="M23" i="8"/>
  <c r="O21" i="8"/>
  <c r="J23" i="8"/>
  <c r="F23" i="8"/>
  <c r="R23" i="8"/>
  <c r="R18" i="31"/>
  <c r="R28" i="31" s="1"/>
  <c r="R29" i="36" s="1"/>
  <c r="I17" i="8"/>
  <c r="H50" i="7"/>
  <c r="B74" i="36"/>
  <c r="Z11" i="36"/>
  <c r="Z62" i="36" s="1"/>
  <c r="Z57" i="36"/>
  <c r="B62" i="36"/>
  <c r="P15" i="36"/>
  <c r="Q15" i="36" s="1"/>
  <c r="R15" i="36" s="1"/>
  <c r="S15" i="36" s="1"/>
  <c r="T15" i="36" s="1"/>
  <c r="U15" i="36" s="1"/>
  <c r="V15" i="36" s="1"/>
  <c r="AH51" i="35"/>
  <c r="AL52" i="35"/>
  <c r="AL53" i="35" s="1"/>
  <c r="AL54" i="35" s="1"/>
  <c r="AD51" i="35"/>
  <c r="AK13" i="35"/>
  <c r="Y51" i="35"/>
  <c r="AE51" i="35"/>
  <c r="E69" i="35"/>
  <c r="F69" i="35" s="1"/>
  <c r="G69" i="35" s="1"/>
  <c r="H69" i="35" s="1"/>
  <c r="I69" i="35" s="1"/>
  <c r="J69" i="35" s="1"/>
  <c r="F152" i="35"/>
  <c r="G152" i="35" s="1"/>
  <c r="H152" i="35" s="1"/>
  <c r="I152" i="35" s="1"/>
  <c r="J152" i="35" s="1"/>
  <c r="K152" i="35" s="1"/>
  <c r="L152" i="35" s="1"/>
  <c r="M152" i="35" s="1"/>
  <c r="N152" i="35" s="1"/>
  <c r="O152" i="35" s="1"/>
  <c r="P152" i="35" s="1"/>
  <c r="Q152" i="35" s="1"/>
  <c r="R152" i="35" s="1"/>
  <c r="AW12" i="36"/>
  <c r="AX12" i="36" s="1"/>
  <c r="AY12" i="36" s="1"/>
  <c r="AZ12" i="36" s="1"/>
  <c r="E12" i="36"/>
  <c r="E111" i="35"/>
  <c r="W20" i="34"/>
  <c r="AA13" i="35"/>
  <c r="AE13" i="35"/>
  <c r="AI13" i="35"/>
  <c r="Z13" i="35"/>
  <c r="AB13" i="35"/>
  <c r="AH13" i="35"/>
  <c r="AF13" i="35"/>
  <c r="W110" i="35"/>
  <c r="X110" i="35" s="1"/>
  <c r="AG13" i="35"/>
  <c r="D151" i="35"/>
  <c r="D169" i="35" s="1"/>
  <c r="E18" i="34" s="1"/>
  <c r="E43" i="34" s="1"/>
  <c r="E56" i="34" s="1"/>
  <c r="AG51" i="35"/>
  <c r="AW11" i="36"/>
  <c r="AX11" i="36" s="1"/>
  <c r="AY11" i="36" s="1"/>
  <c r="AZ11" i="36" s="1"/>
  <c r="BA11" i="36" s="1"/>
  <c r="BB11" i="36" s="1"/>
  <c r="BC11" i="36" s="1"/>
  <c r="BD11" i="36" s="1"/>
  <c r="BE11" i="36" s="1"/>
  <c r="BF11" i="36" s="1"/>
  <c r="BG11" i="36" s="1"/>
  <c r="BH11" i="36" s="1"/>
  <c r="BI11" i="36" s="1"/>
  <c r="BJ11" i="36" s="1"/>
  <c r="BK11" i="36" s="1"/>
  <c r="BL11" i="36" s="1"/>
  <c r="BM11" i="36" s="1"/>
  <c r="B34" i="36"/>
  <c r="Z7" i="36"/>
  <c r="AU7" i="36" s="1"/>
  <c r="B58" i="36"/>
  <c r="B61" i="36"/>
  <c r="B81" i="17"/>
  <c r="B37" i="36"/>
  <c r="Z10" i="36"/>
  <c r="B50" i="36"/>
  <c r="B84" i="36"/>
  <c r="C169" i="35"/>
  <c r="D18" i="34" s="1"/>
  <c r="D43" i="34" s="1"/>
  <c r="D56" i="34" s="1"/>
  <c r="E134" i="35"/>
  <c r="E153" i="35" s="1"/>
  <c r="E193" i="35"/>
  <c r="F193" i="35" s="1"/>
  <c r="G193" i="35" s="1"/>
  <c r="H193" i="35" s="1"/>
  <c r="I193" i="35" s="1"/>
  <c r="J193" i="35" s="1"/>
  <c r="K193" i="35" s="1"/>
  <c r="L193" i="35" s="1"/>
  <c r="M193" i="35" s="1"/>
  <c r="N193" i="35" s="1"/>
  <c r="O193" i="35" s="1"/>
  <c r="P193" i="35" s="1"/>
  <c r="Q193" i="35" s="1"/>
  <c r="R193" i="35" s="1"/>
  <c r="B51" i="36"/>
  <c r="B82" i="17"/>
  <c r="I134" i="35"/>
  <c r="F134" i="35"/>
  <c r="AI51" i="35"/>
  <c r="W51" i="35"/>
  <c r="W70" i="35" s="1"/>
  <c r="X70" i="35" s="1"/>
  <c r="AK51" i="35"/>
  <c r="E11" i="36"/>
  <c r="AC13" i="35"/>
  <c r="AD13" i="35"/>
  <c r="W13" i="35"/>
  <c r="W31" i="35" s="1"/>
  <c r="Y13" i="35"/>
  <c r="X13" i="35"/>
  <c r="G46" i="32"/>
  <c r="H46" i="32"/>
  <c r="I46" i="32" s="1"/>
  <c r="J46" i="32" s="1"/>
  <c r="K46" i="32" s="1"/>
  <c r="L46" i="32" s="1"/>
  <c r="M46" i="32" s="1"/>
  <c r="N46" i="32" s="1"/>
  <c r="O46" i="32" s="1"/>
  <c r="P46" i="32" s="1"/>
  <c r="Q46" i="32" s="1"/>
  <c r="R46" i="32" s="1"/>
  <c r="S46" i="32" s="1"/>
  <c r="T46" i="32" s="1"/>
  <c r="S18" i="32"/>
  <c r="R18" i="32"/>
  <c r="I46" i="5"/>
  <c r="M42" i="5"/>
  <c r="M53" i="5"/>
  <c r="K5" i="32" s="1"/>
  <c r="E46" i="5"/>
  <c r="M7" i="32"/>
  <c r="F52" i="5"/>
  <c r="N53" i="5"/>
  <c r="C455" i="2"/>
  <c r="C381" i="2" s="1"/>
  <c r="C16" i="2" s="1"/>
  <c r="G263" i="2"/>
  <c r="L198" i="2"/>
  <c r="L265" i="2" s="1"/>
  <c r="E192" i="2"/>
  <c r="E239" i="2"/>
  <c r="F151" i="2"/>
  <c r="F218" i="2" s="1"/>
  <c r="I151" i="2"/>
  <c r="I218" i="2" s="1"/>
  <c r="E151" i="2"/>
  <c r="C151" i="2"/>
  <c r="C218" i="2" s="1"/>
  <c r="N198" i="2"/>
  <c r="O198" i="2"/>
  <c r="O265" i="2" s="1"/>
  <c r="C198" i="2"/>
  <c r="C265" i="2" s="1"/>
  <c r="P454" i="2"/>
  <c r="P380" i="2" s="1"/>
  <c r="P15" i="2" s="1"/>
  <c r="P223" i="2" s="1"/>
  <c r="O475" i="2"/>
  <c r="O401" i="2" s="1"/>
  <c r="O36" i="2" s="1"/>
  <c r="O483" i="2"/>
  <c r="O409" i="2" s="1"/>
  <c r="O44" i="2" s="1"/>
  <c r="G454" i="2"/>
  <c r="G380" i="2" s="1"/>
  <c r="G15" i="2" s="1"/>
  <c r="G223" i="2" s="1"/>
  <c r="M446" i="2"/>
  <c r="M372" i="2" s="1"/>
  <c r="M7" i="2" s="1"/>
  <c r="M470" i="2"/>
  <c r="M396" i="2" s="1"/>
  <c r="M31" i="2" s="1"/>
  <c r="M239" i="2" s="1"/>
  <c r="L479" i="2"/>
  <c r="L405" i="2" s="1"/>
  <c r="L40" i="2" s="1"/>
  <c r="K484" i="2"/>
  <c r="K410" i="2" s="1"/>
  <c r="K45" i="2" s="1"/>
  <c r="N489" i="2"/>
  <c r="N415" i="2" s="1"/>
  <c r="N50" i="2" s="1"/>
  <c r="J449" i="2"/>
  <c r="J375" i="2" s="1"/>
  <c r="J10" i="2" s="1"/>
  <c r="J498" i="2"/>
  <c r="J424" i="2" s="1"/>
  <c r="J59" i="2" s="1"/>
  <c r="J267" i="2" s="1"/>
  <c r="F451" i="2"/>
  <c r="F377" i="2" s="1"/>
  <c r="F12" i="2" s="1"/>
  <c r="O458" i="2"/>
  <c r="O384" i="2" s="1"/>
  <c r="O19" i="2" s="1"/>
  <c r="O462" i="2"/>
  <c r="O388" i="2" s="1"/>
  <c r="O23" i="2" s="1"/>
  <c r="O231" i="2" s="1"/>
  <c r="I504" i="2"/>
  <c r="I430" i="2" s="1"/>
  <c r="I65" i="2" s="1"/>
  <c r="C483" i="2"/>
  <c r="C409" i="2" s="1"/>
  <c r="C44" i="2" s="1"/>
  <c r="C491" i="2"/>
  <c r="C417" i="2" s="1"/>
  <c r="C52" i="2" s="1"/>
  <c r="L473" i="2"/>
  <c r="L399" i="2" s="1"/>
  <c r="L34" i="2" s="1"/>
  <c r="M492" i="2"/>
  <c r="M418" i="2" s="1"/>
  <c r="M53" i="2" s="1"/>
  <c r="D451" i="2"/>
  <c r="D377" i="2" s="1"/>
  <c r="D12" i="2" s="1"/>
  <c r="D467" i="2"/>
  <c r="D393" i="2" s="1"/>
  <c r="D28" i="2" s="1"/>
  <c r="E489" i="2"/>
  <c r="E415" i="2" s="1"/>
  <c r="E50" i="2" s="1"/>
  <c r="E258" i="2" s="1"/>
  <c r="H465" i="2"/>
  <c r="H391" i="2" s="1"/>
  <c r="H26" i="2" s="1"/>
  <c r="I491" i="2"/>
  <c r="I417" i="2" s="1"/>
  <c r="I52" i="2" s="1"/>
  <c r="P462" i="2"/>
  <c r="P388" i="2" s="1"/>
  <c r="P23" i="2" s="1"/>
  <c r="P231" i="2" s="1"/>
  <c r="L456" i="2"/>
  <c r="L382" i="2" s="1"/>
  <c r="L17" i="2" s="1"/>
  <c r="O465" i="2"/>
  <c r="O391" i="2" s="1"/>
  <c r="O26" i="2" s="1"/>
  <c r="M471" i="2"/>
  <c r="M397" i="2" s="1"/>
  <c r="M32" i="2" s="1"/>
  <c r="L472" i="2"/>
  <c r="L398" i="2" s="1"/>
  <c r="L33" i="2" s="1"/>
  <c r="N474" i="2"/>
  <c r="N400" i="2" s="1"/>
  <c r="N35" i="2" s="1"/>
  <c r="N243" i="2" s="1"/>
  <c r="N478" i="2"/>
  <c r="N404" i="2" s="1"/>
  <c r="N39" i="2" s="1"/>
  <c r="N482" i="2"/>
  <c r="N408" i="2" s="1"/>
  <c r="N43" i="2" s="1"/>
  <c r="N490" i="2"/>
  <c r="N416" i="2" s="1"/>
  <c r="N51" i="2" s="1"/>
  <c r="Q451" i="2"/>
  <c r="Q377" i="2" s="1"/>
  <c r="Q12" i="2" s="1"/>
  <c r="O505" i="2"/>
  <c r="O431" i="2" s="1"/>
  <c r="O66" i="2" s="1"/>
  <c r="O274" i="2" s="1"/>
  <c r="F446" i="2"/>
  <c r="F372" i="2" s="1"/>
  <c r="F7" i="2" s="1"/>
  <c r="F215" i="2" s="1"/>
  <c r="P198" i="2"/>
  <c r="P265" i="2" s="1"/>
  <c r="K198" i="2"/>
  <c r="K265" i="2" s="1"/>
  <c r="N151" i="2"/>
  <c r="N218" i="2" s="1"/>
  <c r="H151" i="2"/>
  <c r="M151" i="2"/>
  <c r="M218" i="2" s="1"/>
  <c r="D274" i="2"/>
  <c r="J503" i="2"/>
  <c r="J429" i="2" s="1"/>
  <c r="J64" i="2" s="1"/>
  <c r="K230" i="2"/>
  <c r="F198" i="2"/>
  <c r="I198" i="2"/>
  <c r="I265" i="2" s="1"/>
  <c r="E265" i="2"/>
  <c r="O451" i="2"/>
  <c r="O377" i="2" s="1"/>
  <c r="O12" i="2" s="1"/>
  <c r="N460" i="2"/>
  <c r="N386" i="2" s="1"/>
  <c r="N21" i="2" s="1"/>
  <c r="K467" i="2"/>
  <c r="K393" i="2" s="1"/>
  <c r="K28" i="2" s="1"/>
  <c r="M466" i="2"/>
  <c r="M392" i="2" s="1"/>
  <c r="M27" i="2" s="1"/>
  <c r="M235" i="2" s="1"/>
  <c r="G483" i="2"/>
  <c r="G409" i="2" s="1"/>
  <c r="G44" i="2" s="1"/>
  <c r="Q488" i="2"/>
  <c r="Q414" i="2" s="1"/>
  <c r="Q49" i="2" s="1"/>
  <c r="E497" i="2"/>
  <c r="E423" i="2" s="1"/>
  <c r="E58" i="2" s="1"/>
  <c r="E266" i="2" s="1"/>
  <c r="F499" i="2"/>
  <c r="F425" i="2" s="1"/>
  <c r="F60" i="2" s="1"/>
  <c r="H452" i="2"/>
  <c r="H378" i="2" s="1"/>
  <c r="H13" i="2" s="1"/>
  <c r="I495" i="2"/>
  <c r="I421" i="2" s="1"/>
  <c r="I56" i="2" s="1"/>
  <c r="J444" i="2"/>
  <c r="J370" i="2" s="1"/>
  <c r="J5" i="2" s="1"/>
  <c r="C451" i="2"/>
  <c r="C377" i="2" s="1"/>
  <c r="C12" i="2" s="1"/>
  <c r="C459" i="2"/>
  <c r="C385" i="2" s="1"/>
  <c r="C20" i="2" s="1"/>
  <c r="K161" i="2" s="1"/>
  <c r="K228" i="2" s="1"/>
  <c r="C471" i="2"/>
  <c r="C397" i="2" s="1"/>
  <c r="C32" i="2" s="1"/>
  <c r="I173" i="2" s="1"/>
  <c r="I240" i="2" s="1"/>
  <c r="D445" i="2"/>
  <c r="D371" i="2" s="1"/>
  <c r="D6" i="2" s="1"/>
  <c r="D214" i="2" s="1"/>
  <c r="G605" i="2"/>
  <c r="L501" i="2"/>
  <c r="L427" i="2" s="1"/>
  <c r="L62" i="2" s="1"/>
  <c r="K498" i="2"/>
  <c r="K424" i="2" s="1"/>
  <c r="K59" i="2" s="1"/>
  <c r="K267" i="2" s="1"/>
  <c r="O453" i="2"/>
  <c r="O379" i="2" s="1"/>
  <c r="O14" i="2" s="1"/>
  <c r="N458" i="2"/>
  <c r="N384" i="2" s="1"/>
  <c r="N19" i="2" s="1"/>
  <c r="M459" i="2"/>
  <c r="M385" i="2" s="1"/>
  <c r="M20" i="2" s="1"/>
  <c r="L460" i="2"/>
  <c r="L386" i="2" s="1"/>
  <c r="L21" i="2" s="1"/>
  <c r="L476" i="2"/>
  <c r="L402" i="2" s="1"/>
  <c r="L37" i="2" s="1"/>
  <c r="N486" i="2"/>
  <c r="N412" i="2" s="1"/>
  <c r="N47" i="2" s="1"/>
  <c r="K489" i="2"/>
  <c r="K415" i="2" s="1"/>
  <c r="K50" i="2" s="1"/>
  <c r="K258" i="2" s="1"/>
  <c r="M491" i="2"/>
  <c r="M417" i="2" s="1"/>
  <c r="M52" i="2" s="1"/>
  <c r="K494" i="2"/>
  <c r="K420" i="2" s="1"/>
  <c r="K55" i="2" s="1"/>
  <c r="K263" i="2" s="1"/>
  <c r="Q463" i="2"/>
  <c r="Q389" i="2" s="1"/>
  <c r="Q24" i="2" s="1"/>
  <c r="M499" i="2"/>
  <c r="M425" i="2" s="1"/>
  <c r="M60" i="2" s="1"/>
  <c r="M503" i="2"/>
  <c r="M429" i="2" s="1"/>
  <c r="M64" i="2" s="1"/>
  <c r="M272" i="2" s="1"/>
  <c r="I486" i="2"/>
  <c r="I412" i="2" s="1"/>
  <c r="I47" i="2" s="1"/>
  <c r="I255" i="2" s="1"/>
  <c r="R198" i="2"/>
  <c r="M198" i="2"/>
  <c r="J151" i="2"/>
  <c r="D151" i="2"/>
  <c r="G151" i="2"/>
  <c r="O151" i="2"/>
  <c r="E198" i="2"/>
  <c r="Q198" i="2"/>
  <c r="M454" i="2"/>
  <c r="M380" i="2" s="1"/>
  <c r="M15" i="2" s="1"/>
  <c r="M223" i="2" s="1"/>
  <c r="K255" i="2"/>
  <c r="M255" i="2"/>
  <c r="N255" i="2"/>
  <c r="K475" i="2"/>
  <c r="K401" i="2" s="1"/>
  <c r="K36" i="2" s="1"/>
  <c r="K443" i="2"/>
  <c r="K369" i="2" s="1"/>
  <c r="K4" i="2" s="1"/>
  <c r="N477" i="2"/>
  <c r="N403" i="2" s="1"/>
  <c r="N38" i="2" s="1"/>
  <c r="D264" i="2"/>
  <c r="E457" i="2"/>
  <c r="E383" i="2" s="1"/>
  <c r="E18" i="2" s="1"/>
  <c r="C468" i="2"/>
  <c r="C394" i="2" s="1"/>
  <c r="C29" i="2" s="1"/>
  <c r="K465" i="2"/>
  <c r="K391" i="2" s="1"/>
  <c r="K26" i="2" s="1"/>
  <c r="Q190" i="2"/>
  <c r="K190" i="2"/>
  <c r="K257" i="2" s="1"/>
  <c r="K149" i="2"/>
  <c r="K216" i="2" s="1"/>
  <c r="P149" i="2"/>
  <c r="P216" i="2" s="1"/>
  <c r="H149" i="2"/>
  <c r="H216" i="2" s="1"/>
  <c r="D149" i="2"/>
  <c r="Q149" i="2"/>
  <c r="Q216" i="2" s="1"/>
  <c r="N149" i="2"/>
  <c r="P162" i="2"/>
  <c r="K162" i="2"/>
  <c r="K229" i="2" s="1"/>
  <c r="M166" i="2"/>
  <c r="M233" i="2" s="1"/>
  <c r="N166" i="2"/>
  <c r="Q185" i="2"/>
  <c r="O185" i="2"/>
  <c r="P193" i="2"/>
  <c r="P260" i="2" s="1"/>
  <c r="O193" i="2"/>
  <c r="O260" i="2" s="1"/>
  <c r="J239" i="2"/>
  <c r="L146" i="2"/>
  <c r="L213" i="2" s="1"/>
  <c r="N231" i="2"/>
  <c r="D206" i="2"/>
  <c r="P206" i="2"/>
  <c r="P273" i="2" s="1"/>
  <c r="I206" i="2"/>
  <c r="H267" i="2"/>
  <c r="D462" i="2"/>
  <c r="D388" i="2" s="1"/>
  <c r="D23" i="2" s="1"/>
  <c r="D231" i="2" s="1"/>
  <c r="N266" i="2"/>
  <c r="J255" i="2"/>
  <c r="F475" i="2"/>
  <c r="F401" i="2" s="1"/>
  <c r="F36" i="2" s="1"/>
  <c r="F244" i="2" s="1"/>
  <c r="G462" i="2"/>
  <c r="G388" i="2" s="1"/>
  <c r="G23" i="2" s="1"/>
  <c r="G231" i="2" s="1"/>
  <c r="G506" i="2"/>
  <c r="G432" i="2" s="1"/>
  <c r="G67" i="2" s="1"/>
  <c r="G275" i="2" s="1"/>
  <c r="J450" i="2"/>
  <c r="J376" i="2" s="1"/>
  <c r="J11" i="2" s="1"/>
  <c r="O454" i="2"/>
  <c r="O380" i="2" s="1"/>
  <c r="O15" i="2" s="1"/>
  <c r="O223" i="2" s="1"/>
  <c r="N463" i="2"/>
  <c r="N389" i="2" s="1"/>
  <c r="N24" i="2" s="1"/>
  <c r="O502" i="2"/>
  <c r="O428" i="2" s="1"/>
  <c r="O63" i="2" s="1"/>
  <c r="O271" i="2" s="1"/>
  <c r="K506" i="2"/>
  <c r="K432" i="2" s="1"/>
  <c r="K67" i="2" s="1"/>
  <c r="K275" i="2" s="1"/>
  <c r="F500" i="2"/>
  <c r="F426" i="2" s="1"/>
  <c r="F61" i="2" s="1"/>
  <c r="O177" i="2"/>
  <c r="L177" i="2"/>
  <c r="L244" i="2" s="1"/>
  <c r="C500" i="2"/>
  <c r="C426" i="2" s="1"/>
  <c r="C61" i="2" s="1"/>
  <c r="N451" i="2"/>
  <c r="N377" i="2" s="1"/>
  <c r="N12" i="2" s="1"/>
  <c r="F504" i="2"/>
  <c r="F430" i="2" s="1"/>
  <c r="F65" i="2" s="1"/>
  <c r="F273" i="2" s="1"/>
  <c r="I451" i="2"/>
  <c r="I377" i="2" s="1"/>
  <c r="I12" i="2" s="1"/>
  <c r="K474" i="2"/>
  <c r="K400" i="2" s="1"/>
  <c r="K35" i="2" s="1"/>
  <c r="K243" i="2" s="1"/>
  <c r="M496" i="2"/>
  <c r="M422" i="2" s="1"/>
  <c r="M57" i="2" s="1"/>
  <c r="M265" i="2" s="1"/>
  <c r="F272" i="2"/>
  <c r="G685" i="2"/>
  <c r="G549" i="2"/>
  <c r="G617" i="2"/>
  <c r="E146" i="2"/>
  <c r="E213" i="2" s="1"/>
  <c r="I146" i="2"/>
  <c r="I213" i="2" s="1"/>
  <c r="L266" i="2"/>
  <c r="L231" i="2"/>
  <c r="J218" i="2"/>
  <c r="H218" i="2"/>
  <c r="O148" i="2"/>
  <c r="J148" i="2"/>
  <c r="J215" i="2" s="1"/>
  <c r="D148" i="2"/>
  <c r="G206" i="2"/>
  <c r="G273" i="2" s="1"/>
  <c r="E206" i="2"/>
  <c r="E273" i="2" s="1"/>
  <c r="K206" i="2"/>
  <c r="K273" i="2" s="1"/>
  <c r="Q206" i="2"/>
  <c r="Q265" i="2"/>
  <c r="P205" i="2"/>
  <c r="Q469" i="2"/>
  <c r="Q395" i="2" s="1"/>
  <c r="Q30" i="2" s="1"/>
  <c r="Q238" i="2" s="1"/>
  <c r="J223" i="2"/>
  <c r="G451" i="2"/>
  <c r="G377" i="2" s="1"/>
  <c r="G12" i="2" s="1"/>
  <c r="Q483" i="2"/>
  <c r="Q409" i="2" s="1"/>
  <c r="Q44" i="2" s="1"/>
  <c r="Q479" i="2"/>
  <c r="Q405" i="2" s="1"/>
  <c r="Q40" i="2" s="1"/>
  <c r="P479" i="2"/>
  <c r="P405" i="2" s="1"/>
  <c r="P40" i="2" s="1"/>
  <c r="Q452" i="2"/>
  <c r="Q378" i="2" s="1"/>
  <c r="Q13" i="2" s="1"/>
  <c r="F463" i="2"/>
  <c r="F389" i="2" s="1"/>
  <c r="F24" i="2" s="1"/>
  <c r="H485" i="2"/>
  <c r="H411" i="2" s="1"/>
  <c r="H46" i="2" s="1"/>
  <c r="I459" i="2"/>
  <c r="I385" i="2" s="1"/>
  <c r="I20" i="2" s="1"/>
  <c r="J482" i="2"/>
  <c r="J408" i="2" s="1"/>
  <c r="J43" i="2" s="1"/>
  <c r="C452" i="2"/>
  <c r="C378" i="2" s="1"/>
  <c r="C13" i="2" s="1"/>
  <c r="F154" i="2" s="1"/>
  <c r="F221" i="2" s="1"/>
  <c r="E274" i="2"/>
  <c r="K472" i="2"/>
  <c r="K398" i="2" s="1"/>
  <c r="K33" i="2" s="1"/>
  <c r="N258" i="2"/>
  <c r="E452" i="2"/>
  <c r="E378" i="2" s="1"/>
  <c r="E13" i="2" s="1"/>
  <c r="D486" i="2"/>
  <c r="D412" i="2" s="1"/>
  <c r="D47" i="2" s="1"/>
  <c r="D255" i="2" s="1"/>
  <c r="E464" i="2"/>
  <c r="E390" i="2" s="1"/>
  <c r="E25" i="2" s="1"/>
  <c r="E476" i="2"/>
  <c r="E402" i="2" s="1"/>
  <c r="E37" i="2" s="1"/>
  <c r="F462" i="2"/>
  <c r="F388" i="2" s="1"/>
  <c r="F23" i="2" s="1"/>
  <c r="H456" i="2"/>
  <c r="H382" i="2" s="1"/>
  <c r="H17" i="2" s="1"/>
  <c r="H468" i="2"/>
  <c r="H394" i="2" s="1"/>
  <c r="H29" i="2" s="1"/>
  <c r="H476" i="2"/>
  <c r="H402" i="2" s="1"/>
  <c r="H37" i="2" s="1"/>
  <c r="I450" i="2"/>
  <c r="I376" i="2" s="1"/>
  <c r="I11" i="2" s="1"/>
  <c r="I482" i="2"/>
  <c r="I408" i="2" s="1"/>
  <c r="I43" i="2" s="1"/>
  <c r="J461" i="2"/>
  <c r="J387" i="2" s="1"/>
  <c r="J22" i="2" s="1"/>
  <c r="O450" i="2"/>
  <c r="O376" i="2" s="1"/>
  <c r="O11" i="2" s="1"/>
  <c r="M460" i="2"/>
  <c r="M386" i="2" s="1"/>
  <c r="M21" i="2" s="1"/>
  <c r="O478" i="2"/>
  <c r="O404" i="2" s="1"/>
  <c r="O39" i="2" s="1"/>
  <c r="D471" i="2"/>
  <c r="D397" i="2" s="1"/>
  <c r="D32" i="2" s="1"/>
  <c r="E494" i="2"/>
  <c r="E420" i="2" s="1"/>
  <c r="E55" i="2" s="1"/>
  <c r="E263" i="2" s="1"/>
  <c r="F471" i="2"/>
  <c r="F397" i="2" s="1"/>
  <c r="F32" i="2" s="1"/>
  <c r="G648" i="2"/>
  <c r="G444" i="2" s="1"/>
  <c r="G370" i="2" s="1"/>
  <c r="G5" i="2" s="1"/>
  <c r="G580" i="2"/>
  <c r="M456" i="2"/>
  <c r="M382" i="2" s="1"/>
  <c r="M17" i="2" s="1"/>
  <c r="L477" i="2"/>
  <c r="L403" i="2" s="1"/>
  <c r="L38" i="2" s="1"/>
  <c r="N503" i="2"/>
  <c r="N429" i="2" s="1"/>
  <c r="N64" i="2" s="1"/>
  <c r="N272" i="2" s="1"/>
  <c r="D483" i="2"/>
  <c r="D409" i="2" s="1"/>
  <c r="D44" i="2" s="1"/>
  <c r="D487" i="2"/>
  <c r="D413" i="2" s="1"/>
  <c r="D48" i="2" s="1"/>
  <c r="F265" i="2"/>
  <c r="F266" i="2"/>
  <c r="G146" i="2"/>
  <c r="K244" i="2"/>
  <c r="J243" i="2"/>
  <c r="D218" i="2"/>
  <c r="G218" i="2"/>
  <c r="M148" i="2"/>
  <c r="M215" i="2" s="1"/>
  <c r="G148" i="2"/>
  <c r="G215" i="2" s="1"/>
  <c r="O206" i="2"/>
  <c r="O273" i="2" s="1"/>
  <c r="H206" i="2"/>
  <c r="J206" i="2"/>
  <c r="J273" i="2" s="1"/>
  <c r="H238" i="2"/>
  <c r="P244" i="2"/>
  <c r="H226" i="2"/>
  <c r="L249" i="2"/>
  <c r="P459" i="2"/>
  <c r="P385" i="2" s="1"/>
  <c r="P20" i="2" s="1"/>
  <c r="P461" i="2"/>
  <c r="P387" i="2" s="1"/>
  <c r="P22" i="2" s="1"/>
  <c r="D459" i="2"/>
  <c r="D385" i="2" s="1"/>
  <c r="D20" i="2" s="1"/>
  <c r="C472" i="2"/>
  <c r="C398" i="2" s="1"/>
  <c r="C33" i="2" s="1"/>
  <c r="P506" i="2"/>
  <c r="P432" i="2" s="1"/>
  <c r="P67" i="2" s="1"/>
  <c r="P275" i="2" s="1"/>
  <c r="M447" i="2"/>
  <c r="M373" i="2" s="1"/>
  <c r="M8" i="2" s="1"/>
  <c r="K449" i="2"/>
  <c r="K375" i="2" s="1"/>
  <c r="K10" i="2" s="1"/>
  <c r="K218" i="2" s="1"/>
  <c r="D446" i="2"/>
  <c r="D372" i="2" s="1"/>
  <c r="D7" i="2" s="1"/>
  <c r="D466" i="2"/>
  <c r="D392" i="2" s="1"/>
  <c r="D27" i="2" s="1"/>
  <c r="D235" i="2" s="1"/>
  <c r="E448" i="2"/>
  <c r="E374" i="2" s="1"/>
  <c r="E9" i="2" s="1"/>
  <c r="E456" i="2"/>
  <c r="E382" i="2" s="1"/>
  <c r="E17" i="2" s="1"/>
  <c r="E472" i="2"/>
  <c r="E398" i="2" s="1"/>
  <c r="E33" i="2" s="1"/>
  <c r="E480" i="2"/>
  <c r="E406" i="2" s="1"/>
  <c r="E41" i="2" s="1"/>
  <c r="E249" i="2" s="1"/>
  <c r="G465" i="2"/>
  <c r="G391" i="2" s="1"/>
  <c r="G26" i="2" s="1"/>
  <c r="H203" i="2"/>
  <c r="L203" i="2"/>
  <c r="I203" i="2"/>
  <c r="I270" i="2" s="1"/>
  <c r="O203" i="2"/>
  <c r="E203" i="2"/>
  <c r="E270" i="2" s="1"/>
  <c r="D203" i="2"/>
  <c r="D270" i="2" s="1"/>
  <c r="K462" i="2"/>
  <c r="K388" i="2" s="1"/>
  <c r="K23" i="2" s="1"/>
  <c r="K231" i="2" s="1"/>
  <c r="F479" i="2"/>
  <c r="F405" i="2" s="1"/>
  <c r="F40" i="2" s="1"/>
  <c r="K482" i="2"/>
  <c r="K408" i="2" s="1"/>
  <c r="K43" i="2" s="1"/>
  <c r="M484" i="2"/>
  <c r="M410" i="2" s="1"/>
  <c r="M45" i="2" s="1"/>
  <c r="E461" i="2"/>
  <c r="E387" i="2" s="1"/>
  <c r="E22" i="2" s="1"/>
  <c r="F487" i="2"/>
  <c r="F413" i="2" s="1"/>
  <c r="F48" i="2" s="1"/>
  <c r="H444" i="2"/>
  <c r="H370" i="2" s="1"/>
  <c r="H5" i="2" s="1"/>
  <c r="I467" i="2"/>
  <c r="I393" i="2" s="1"/>
  <c r="I28" i="2" s="1"/>
  <c r="K458" i="2"/>
  <c r="K384" i="2" s="1"/>
  <c r="K19" i="2" s="1"/>
  <c r="O446" i="2"/>
  <c r="O372" i="2" s="1"/>
  <c r="O7" i="2" s="1"/>
  <c r="N459" i="2"/>
  <c r="N385" i="2" s="1"/>
  <c r="N20" i="2" s="1"/>
  <c r="O470" i="2"/>
  <c r="O396" i="2" s="1"/>
  <c r="O31" i="2" s="1"/>
  <c r="O239" i="2" s="1"/>
  <c r="O498" i="2"/>
  <c r="O424" i="2" s="1"/>
  <c r="O59" i="2" s="1"/>
  <c r="O267" i="2" s="1"/>
  <c r="D475" i="2"/>
  <c r="D401" i="2" s="1"/>
  <c r="D36" i="2" s="1"/>
  <c r="D244" i="2" s="1"/>
  <c r="J495" i="2"/>
  <c r="J421" i="2" s="1"/>
  <c r="J56" i="2" s="1"/>
  <c r="K450" i="2"/>
  <c r="K376" i="2" s="1"/>
  <c r="K11" i="2" s="1"/>
  <c r="L453" i="2"/>
  <c r="L379" i="2" s="1"/>
  <c r="L14" i="2" s="1"/>
  <c r="M476" i="2"/>
  <c r="M402" i="2" s="1"/>
  <c r="M37" i="2" s="1"/>
  <c r="D13" i="36"/>
  <c r="H19" i="36"/>
  <c r="C161" i="2"/>
  <c r="C228" i="2" s="1"/>
  <c r="O161" i="2"/>
  <c r="O228" i="2" s="1"/>
  <c r="K173" i="2"/>
  <c r="K240" i="2" s="1"/>
  <c r="L173" i="2"/>
  <c r="L240" i="2" s="1"/>
  <c r="O173" i="2"/>
  <c r="D173" i="2"/>
  <c r="C178" i="2"/>
  <c r="C245" i="2" s="1"/>
  <c r="I178" i="2"/>
  <c r="I245" i="2" s="1"/>
  <c r="D185" i="2"/>
  <c r="C185" i="2"/>
  <c r="C252" i="2" s="1"/>
  <c r="H185" i="2"/>
  <c r="H252" i="2" s="1"/>
  <c r="E185" i="2"/>
  <c r="E252" i="2" s="1"/>
  <c r="G185" i="2"/>
  <c r="G252" i="2" s="1"/>
  <c r="N185" i="2"/>
  <c r="P185" i="2"/>
  <c r="F185" i="2"/>
  <c r="F252" i="2" s="1"/>
  <c r="C154" i="2"/>
  <c r="C221" i="2" s="1"/>
  <c r="I154" i="2"/>
  <c r="L154" i="2"/>
  <c r="L221" i="2" s="1"/>
  <c r="M154" i="2"/>
  <c r="M221" i="2" s="1"/>
  <c r="K154" i="2"/>
  <c r="K221" i="2" s="1"/>
  <c r="E154" i="2"/>
  <c r="E221" i="2" s="1"/>
  <c r="O154" i="2"/>
  <c r="W69" i="35"/>
  <c r="V87" i="35"/>
  <c r="X17" i="34" s="1"/>
  <c r="D38" i="34" s="1"/>
  <c r="D51" i="34" s="1"/>
  <c r="F6" i="36" s="1"/>
  <c r="J197" i="2"/>
  <c r="F197" i="2"/>
  <c r="F264" i="2" s="1"/>
  <c r="N197" i="2"/>
  <c r="N264" i="2" s="1"/>
  <c r="H197" i="2"/>
  <c r="H264" i="2" s="1"/>
  <c r="I197" i="2"/>
  <c r="I264" i="2" s="1"/>
  <c r="P197" i="2"/>
  <c r="P264" i="2" s="1"/>
  <c r="K197" i="2"/>
  <c r="K264" i="2" s="1"/>
  <c r="Q197" i="2"/>
  <c r="Q264" i="2" s="1"/>
  <c r="G197" i="2"/>
  <c r="G264" i="2" s="1"/>
  <c r="E197" i="2"/>
  <c r="L197" i="2"/>
  <c r="L264" i="2" s="1"/>
  <c r="O197" i="2"/>
  <c r="O264" i="2" s="1"/>
  <c r="C197" i="2"/>
  <c r="C264" i="2" s="1"/>
  <c r="G588" i="2"/>
  <c r="G656" i="2"/>
  <c r="G520" i="2"/>
  <c r="N6" i="32"/>
  <c r="N7" i="32" s="1"/>
  <c r="P52" i="5"/>
  <c r="G584" i="2"/>
  <c r="G516" i="2"/>
  <c r="G652" i="2"/>
  <c r="G701" i="2"/>
  <c r="G633" i="2"/>
  <c r="C153" i="2"/>
  <c r="C220" i="2" s="1"/>
  <c r="N153" i="2"/>
  <c r="L153" i="2"/>
  <c r="R197" i="2"/>
  <c r="H478" i="2"/>
  <c r="H404" i="2" s="1"/>
  <c r="H39" i="2" s="1"/>
  <c r="N263" i="2"/>
  <c r="I267" i="2"/>
  <c r="I182" i="2"/>
  <c r="I249" i="2" s="1"/>
  <c r="K185" i="2"/>
  <c r="K252" i="2" s="1"/>
  <c r="D272" i="2"/>
  <c r="T27" i="5"/>
  <c r="T29" i="5" s="1"/>
  <c r="F231" i="2"/>
  <c r="G154" i="2"/>
  <c r="N238" i="2"/>
  <c r="I159" i="2"/>
  <c r="I226" i="2" s="1"/>
  <c r="P272" i="2"/>
  <c r="L162" i="2"/>
  <c r="J162" i="2"/>
  <c r="J229" i="2" s="1"/>
  <c r="J510" i="2"/>
  <c r="G271" i="2"/>
  <c r="M185" i="2"/>
  <c r="M252" i="2" s="1"/>
  <c r="M54" i="5"/>
  <c r="P456" i="2"/>
  <c r="P382" i="2" s="1"/>
  <c r="P17" i="2" s="1"/>
  <c r="S52" i="35"/>
  <c r="D51" i="35"/>
  <c r="D70" i="35" s="1"/>
  <c r="F51" i="35"/>
  <c r="E51" i="35"/>
  <c r="L447" i="2"/>
  <c r="L373" i="2" s="1"/>
  <c r="L8" i="2" s="1"/>
  <c r="M450" i="2"/>
  <c r="M376" i="2" s="1"/>
  <c r="M11" i="2" s="1"/>
  <c r="O452" i="2"/>
  <c r="O456" i="2"/>
  <c r="O382" i="2" s="1"/>
  <c r="O17" i="2" s="1"/>
  <c r="O52" i="5"/>
  <c r="Q24" i="8"/>
  <c r="P24" i="8"/>
  <c r="G51" i="35"/>
  <c r="AI14" i="35"/>
  <c r="X14" i="35"/>
  <c r="X32" i="35" s="1"/>
  <c r="AC14" i="35"/>
  <c r="Y14" i="35"/>
  <c r="AF14" i="35"/>
  <c r="AG14" i="35"/>
  <c r="AL15" i="35"/>
  <c r="AH14" i="35"/>
  <c r="Z14" i="35"/>
  <c r="AE14" i="35"/>
  <c r="AB14" i="35"/>
  <c r="AJ14" i="35"/>
  <c r="AA14" i="35"/>
  <c r="AD14" i="35"/>
  <c r="AK14" i="35"/>
  <c r="K239" i="2"/>
  <c r="H153" i="2"/>
  <c r="H220" i="2" s="1"/>
  <c r="D216" i="2"/>
  <c r="J154" i="2"/>
  <c r="J221" i="2" s="1"/>
  <c r="O149" i="2"/>
  <c r="O216" i="2" s="1"/>
  <c r="F149" i="2"/>
  <c r="I149" i="2"/>
  <c r="J149" i="2"/>
  <c r="J216" i="2" s="1"/>
  <c r="L149" i="2"/>
  <c r="E149" i="2"/>
  <c r="E216" i="2" s="1"/>
  <c r="C193" i="2"/>
  <c r="C260" i="2" s="1"/>
  <c r="I193" i="2"/>
  <c r="I260" i="2" s="1"/>
  <c r="F193" i="2"/>
  <c r="W30" i="35"/>
  <c r="G258" i="2"/>
  <c r="L185" i="2"/>
  <c r="L252" i="2" s="1"/>
  <c r="O46" i="5"/>
  <c r="N485" i="2"/>
  <c r="N411" i="2" s="1"/>
  <c r="N46" i="2" s="1"/>
  <c r="P466" i="2"/>
  <c r="P392" i="2" s="1"/>
  <c r="P27" i="2" s="1"/>
  <c r="P235" i="2" s="1"/>
  <c r="P505" i="2"/>
  <c r="P431" i="2" s="1"/>
  <c r="P66" i="2" s="1"/>
  <c r="P274" i="2" s="1"/>
  <c r="P471" i="2"/>
  <c r="P397" i="2" s="1"/>
  <c r="P32" i="2" s="1"/>
  <c r="AZ15" i="36"/>
  <c r="AX15" i="36"/>
  <c r="BB15" i="36"/>
  <c r="AV15" i="36"/>
  <c r="AV5" i="36" s="1"/>
  <c r="BK15" i="36"/>
  <c r="BF15" i="36"/>
  <c r="BL15" i="36"/>
  <c r="BD15" i="36"/>
  <c r="BI15" i="36"/>
  <c r="BJ15" i="36"/>
  <c r="AW15" i="36"/>
  <c r="BA15" i="36"/>
  <c r="BE15" i="36"/>
  <c r="BG15" i="36"/>
  <c r="BH15" i="36"/>
  <c r="BM15" i="36"/>
  <c r="BC15" i="36"/>
  <c r="BN13" i="36"/>
  <c r="D22" i="17"/>
  <c r="I42" i="5"/>
  <c r="I54" i="5"/>
  <c r="G6" i="32" s="1"/>
  <c r="G7" i="32" s="1"/>
  <c r="M159" i="2"/>
  <c r="P159" i="2"/>
  <c r="L159" i="2"/>
  <c r="J159" i="2"/>
  <c r="F159" i="2"/>
  <c r="F226" i="2" s="1"/>
  <c r="J182" i="2"/>
  <c r="J249" i="2" s="1"/>
  <c r="N182" i="2"/>
  <c r="N249" i="2" s="1"/>
  <c r="H182" i="2"/>
  <c r="P182" i="2"/>
  <c r="P249" i="2" s="1"/>
  <c r="Q215" i="2"/>
  <c r="Q273" i="2"/>
  <c r="N159" i="2"/>
  <c r="N252" i="2"/>
  <c r="I185" i="2"/>
  <c r="I252" i="2" s="1"/>
  <c r="J185" i="2"/>
  <c r="J252" i="2" s="1"/>
  <c r="R54" i="5"/>
  <c r="P6" i="32" s="1"/>
  <c r="D504" i="2"/>
  <c r="D430" i="2" s="1"/>
  <c r="D65" i="2" s="1"/>
  <c r="H489" i="2"/>
  <c r="H415" i="2" s="1"/>
  <c r="H50" i="2" s="1"/>
  <c r="H258" i="2" s="1"/>
  <c r="I475" i="2"/>
  <c r="I401" i="2" s="1"/>
  <c r="I36" i="2" s="1"/>
  <c r="I244" i="2" s="1"/>
  <c r="C479" i="2"/>
  <c r="C405" i="2" s="1"/>
  <c r="C40" i="2" s="1"/>
  <c r="Q468" i="2"/>
  <c r="Q394" i="2" s="1"/>
  <c r="Q29" i="2" s="1"/>
  <c r="M481" i="2"/>
  <c r="M407" i="2" s="1"/>
  <c r="M42" i="2" s="1"/>
  <c r="P176" i="2"/>
  <c r="H176" i="2"/>
  <c r="H243" i="2" s="1"/>
  <c r="Q176" i="2"/>
  <c r="L176" i="2"/>
  <c r="L243" i="2" s="1"/>
  <c r="E176" i="2"/>
  <c r="E243" i="2" s="1"/>
  <c r="I176" i="2"/>
  <c r="G176" i="2"/>
  <c r="G243" i="2" s="1"/>
  <c r="F176" i="2"/>
  <c r="O176" i="2"/>
  <c r="O243" i="2" s="1"/>
  <c r="I103" i="8"/>
  <c r="J103" i="8" s="1"/>
  <c r="K103" i="8" s="1"/>
  <c r="L103" i="8" s="1"/>
  <c r="M103" i="8" s="1"/>
  <c r="N103" i="8" s="1"/>
  <c r="O103" i="8" s="1"/>
  <c r="P103" i="8" s="1"/>
  <c r="Q103" i="8" s="1"/>
  <c r="R103" i="8" s="1"/>
  <c r="S103" i="8" s="1"/>
  <c r="T103" i="8" s="1"/>
  <c r="U103" i="8" s="1"/>
  <c r="H103" i="8"/>
  <c r="L5" i="32"/>
  <c r="D458" i="2"/>
  <c r="D384" i="2" s="1"/>
  <c r="D19" i="2" s="1"/>
  <c r="E484" i="2"/>
  <c r="E410" i="2" s="1"/>
  <c r="E45" i="2" s="1"/>
  <c r="F454" i="2"/>
  <c r="F380" i="2" s="1"/>
  <c r="F15" i="2" s="1"/>
  <c r="F223" i="2" s="1"/>
  <c r="G676" i="2"/>
  <c r="G540" i="2"/>
  <c r="G608" i="2"/>
  <c r="G612" i="2"/>
  <c r="G544" i="2"/>
  <c r="G680" i="2"/>
  <c r="G548" i="2"/>
  <c r="G684" i="2"/>
  <c r="G616" i="2"/>
  <c r="H505" i="2"/>
  <c r="H431" i="2" s="1"/>
  <c r="H66" i="2" s="1"/>
  <c r="H274" i="2" s="1"/>
  <c r="I474" i="2"/>
  <c r="I400" i="2" s="1"/>
  <c r="I35" i="2" s="1"/>
  <c r="J457" i="2"/>
  <c r="J383" i="2" s="1"/>
  <c r="J18" i="2" s="1"/>
  <c r="J473" i="2"/>
  <c r="J399" i="2" s="1"/>
  <c r="J34" i="2" s="1"/>
  <c r="J481" i="2"/>
  <c r="J407" i="2" s="1"/>
  <c r="J42" i="2" s="1"/>
  <c r="J502" i="2"/>
  <c r="J428" i="2" s="1"/>
  <c r="J63" i="2" s="1"/>
  <c r="J271" i="2" s="1"/>
  <c r="E157" i="2"/>
  <c r="E224" i="2" s="1"/>
  <c r="C157" i="2"/>
  <c r="C224" i="2" s="1"/>
  <c r="L157" i="2"/>
  <c r="L224" i="2" s="1"/>
  <c r="D157" i="2"/>
  <c r="D224" i="2" s="1"/>
  <c r="N157" i="2"/>
  <c r="H157" i="2"/>
  <c r="H224" i="2" s="1"/>
  <c r="Q157" i="2"/>
  <c r="K157" i="2"/>
  <c r="M157" i="2"/>
  <c r="J157" i="2"/>
  <c r="J224" i="2" s="1"/>
  <c r="I157" i="2"/>
  <c r="I224" i="2" s="1"/>
  <c r="O157" i="2"/>
  <c r="O224" i="2" s="1"/>
  <c r="P157" i="2"/>
  <c r="F157" i="2"/>
  <c r="F224" i="2" s="1"/>
  <c r="G157" i="2"/>
  <c r="G224" i="2" s="1"/>
  <c r="C463" i="2"/>
  <c r="C389" i="2" s="1"/>
  <c r="C24" i="2" s="1"/>
  <c r="G165" i="2" s="1"/>
  <c r="G232" i="2" s="1"/>
  <c r="O192" i="2"/>
  <c r="D192" i="2"/>
  <c r="K192" i="2"/>
  <c r="K259" i="2" s="1"/>
  <c r="M192" i="2"/>
  <c r="M259" i="2" s="1"/>
  <c r="C192" i="2"/>
  <c r="C259" i="2" s="1"/>
  <c r="G192" i="2"/>
  <c r="G259" i="2" s="1"/>
  <c r="P192" i="2"/>
  <c r="P259" i="2" s="1"/>
  <c r="J192" i="2"/>
  <c r="J259" i="2" s="1"/>
  <c r="H192" i="2"/>
  <c r="H259" i="2" s="1"/>
  <c r="I192" i="2"/>
  <c r="N192" i="2"/>
  <c r="N259" i="2" s="1"/>
  <c r="Q192" i="2"/>
  <c r="Q259" i="2" s="1"/>
  <c r="L192" i="2"/>
  <c r="L259" i="2" s="1"/>
  <c r="F19" i="36"/>
  <c r="E19" i="36"/>
  <c r="G468" i="2"/>
  <c r="G394" i="2" s="1"/>
  <c r="G29" i="2" s="1"/>
  <c r="D7" i="32"/>
  <c r="H266" i="2"/>
  <c r="E244" i="2"/>
  <c r="H244" i="2"/>
  <c r="K215" i="2"/>
  <c r="H273" i="2"/>
  <c r="Q231" i="2"/>
  <c r="Q475" i="2"/>
  <c r="Q401" i="2" s="1"/>
  <c r="Q36" i="2" s="1"/>
  <c r="Q244" i="2" s="1"/>
  <c r="F491" i="2"/>
  <c r="F417" i="2" s="1"/>
  <c r="F52" i="2" s="1"/>
  <c r="G657" i="2"/>
  <c r="G589" i="2"/>
  <c r="G521" i="2"/>
  <c r="G553" i="2"/>
  <c r="G689" i="2"/>
  <c r="G621" i="2"/>
  <c r="K54" i="5"/>
  <c r="N456" i="2"/>
  <c r="N382" i="2" s="1"/>
  <c r="N17" i="2" s="1"/>
  <c r="M461" i="2"/>
  <c r="M387" i="2" s="1"/>
  <c r="M22" i="2" s="1"/>
  <c r="L466" i="2"/>
  <c r="L392" i="2" s="1"/>
  <c r="L27" i="2" s="1"/>
  <c r="L235" i="2" s="1"/>
  <c r="L459" i="2"/>
  <c r="L385" i="2" s="1"/>
  <c r="L20" i="2" s="1"/>
  <c r="Z56" i="36"/>
  <c r="AU5" i="36"/>
  <c r="L451" i="2"/>
  <c r="L377" i="2" s="1"/>
  <c r="L12" i="2" s="1"/>
  <c r="M458" i="2"/>
  <c r="M384" i="2" s="1"/>
  <c r="M19" i="2" s="1"/>
  <c r="K468" i="2"/>
  <c r="K394" i="2" s="1"/>
  <c r="K29" i="2" s="1"/>
  <c r="AU8" i="36"/>
  <c r="Z59" i="36"/>
  <c r="Z48" i="36"/>
  <c r="Q502" i="2"/>
  <c r="Q428" i="2" s="1"/>
  <c r="Q63" i="2" s="1"/>
  <c r="Q271" i="2" s="1"/>
  <c r="P460" i="2"/>
  <c r="P386" i="2" s="1"/>
  <c r="P21" i="2" s="1"/>
  <c r="P229" i="2" s="1"/>
  <c r="N54" i="5"/>
  <c r="L6" i="32" s="1"/>
  <c r="N446" i="2"/>
  <c r="N372" i="2" s="1"/>
  <c r="N7" i="2" s="1"/>
  <c r="N215" i="2" s="1"/>
  <c r="O449" i="2"/>
  <c r="O375" i="2" s="1"/>
  <c r="O10" i="2" s="1"/>
  <c r="M451" i="2"/>
  <c r="M377" i="2" s="1"/>
  <c r="M12" i="2" s="1"/>
  <c r="D450" i="2"/>
  <c r="D376" i="2" s="1"/>
  <c r="D11" i="2" s="1"/>
  <c r="D478" i="2"/>
  <c r="D404" i="2" s="1"/>
  <c r="D39" i="2" s="1"/>
  <c r="D490" i="2"/>
  <c r="D416" i="2" s="1"/>
  <c r="D51" i="2" s="1"/>
  <c r="E488" i="2"/>
  <c r="E414" i="2" s="1"/>
  <c r="E49" i="2" s="1"/>
  <c r="E257" i="2" s="1"/>
  <c r="F474" i="2"/>
  <c r="F400" i="2" s="1"/>
  <c r="F35" i="2" s="1"/>
  <c r="H443" i="2"/>
  <c r="H369" i="2" s="1"/>
  <c r="H4" i="2" s="1"/>
  <c r="H472" i="2"/>
  <c r="H398" i="2" s="1"/>
  <c r="H33" i="2" s="1"/>
  <c r="G620" i="2"/>
  <c r="G552" i="2"/>
  <c r="G688" i="2"/>
  <c r="G696" i="2"/>
  <c r="G628" i="2"/>
  <c r="G492" i="2" s="1"/>
  <c r="G418" i="2" s="1"/>
  <c r="G53" i="2" s="1"/>
  <c r="I458" i="2"/>
  <c r="I384" i="2" s="1"/>
  <c r="I19" i="2" s="1"/>
  <c r="I470" i="2"/>
  <c r="I396" i="2" s="1"/>
  <c r="I31" i="2" s="1"/>
  <c r="I239" i="2" s="1"/>
  <c r="C467" i="2"/>
  <c r="C393" i="2" s="1"/>
  <c r="C28" i="2" s="1"/>
  <c r="C499" i="2"/>
  <c r="C425" i="2" s="1"/>
  <c r="C60" i="2" s="1"/>
  <c r="E22" i="17"/>
  <c r="M231" i="2"/>
  <c r="D215" i="2"/>
  <c r="J238" i="2"/>
  <c r="D213" i="2"/>
  <c r="O259" i="2"/>
  <c r="H235" i="2"/>
  <c r="N265" i="2"/>
  <c r="Q267" i="2"/>
  <c r="F239" i="2"/>
  <c r="Q471" i="2"/>
  <c r="Q397" i="2" s="1"/>
  <c r="Q32" i="2" s="1"/>
  <c r="P457" i="2"/>
  <c r="P383" i="2" s="1"/>
  <c r="P18" i="2" s="1"/>
  <c r="I19" i="36"/>
  <c r="J19" i="36" s="1"/>
  <c r="Q464" i="2"/>
  <c r="Q390" i="2" s="1"/>
  <c r="Q25" i="2" s="1"/>
  <c r="Q459" i="2"/>
  <c r="Q385" i="2" s="1"/>
  <c r="Q20" i="2" s="1"/>
  <c r="Q478" i="2"/>
  <c r="Q404" i="2" s="1"/>
  <c r="Q39" i="2" s="1"/>
  <c r="Q443" i="2"/>
  <c r="Q369" i="2" s="1"/>
  <c r="Q4" i="2" s="1"/>
  <c r="K502" i="2"/>
  <c r="K428" i="2" s="1"/>
  <c r="K63" i="2" s="1"/>
  <c r="K271" i="2" s="1"/>
  <c r="E449" i="2"/>
  <c r="E375" i="2" s="1"/>
  <c r="E10" i="2" s="1"/>
  <c r="E218" i="2" s="1"/>
  <c r="I447" i="2"/>
  <c r="I373" i="2" s="1"/>
  <c r="I8" i="2" s="1"/>
  <c r="C443" i="2"/>
  <c r="C369" i="2" s="1"/>
  <c r="C4" i="2" s="1"/>
  <c r="H445" i="2"/>
  <c r="H371" i="2" s="1"/>
  <c r="H6" i="2" s="1"/>
  <c r="H214" i="2" s="1"/>
  <c r="M457" i="2"/>
  <c r="M383" i="2" s="1"/>
  <c r="M18" i="2" s="1"/>
  <c r="O463" i="2"/>
  <c r="O389" i="2" s="1"/>
  <c r="O24" i="2" s="1"/>
  <c r="L478" i="2"/>
  <c r="L404" i="2" s="1"/>
  <c r="L39" i="2" s="1"/>
  <c r="H99" i="8"/>
  <c r="I99" i="8"/>
  <c r="J99" i="8" s="1"/>
  <c r="K99" i="8" s="1"/>
  <c r="L99" i="8" s="1"/>
  <c r="M99" i="8" s="1"/>
  <c r="N99" i="8" s="1"/>
  <c r="O99" i="8" s="1"/>
  <c r="P99" i="8" s="1"/>
  <c r="Q99" i="8" s="1"/>
  <c r="R99" i="8" s="1"/>
  <c r="S99" i="8" s="1"/>
  <c r="T99" i="8" s="1"/>
  <c r="U99" i="8" s="1"/>
  <c r="O460" i="2"/>
  <c r="O386" i="2" s="1"/>
  <c r="O21" i="2" s="1"/>
  <c r="O484" i="2"/>
  <c r="O410" i="2" s="1"/>
  <c r="O45" i="2" s="1"/>
  <c r="O488" i="2"/>
  <c r="O414" i="2" s="1"/>
  <c r="O49" i="2" s="1"/>
  <c r="O492" i="2"/>
  <c r="O418" i="2" s="1"/>
  <c r="O53" i="2" s="1"/>
  <c r="P492" i="2"/>
  <c r="P418" i="2" s="1"/>
  <c r="P53" i="2" s="1"/>
  <c r="B81" i="36"/>
  <c r="B47" i="36"/>
  <c r="AF92" i="35"/>
  <c r="W92" i="35"/>
  <c r="W111" i="35" s="1"/>
  <c r="AC92" i="35"/>
  <c r="AB92" i="35"/>
  <c r="AE92" i="35"/>
  <c r="Z92" i="35"/>
  <c r="Y92" i="35"/>
  <c r="X92" i="35"/>
  <c r="AD92" i="35"/>
  <c r="AA92" i="35"/>
  <c r="AL93" i="35"/>
  <c r="D454" i="2"/>
  <c r="D380" i="2" s="1"/>
  <c r="D15" i="2" s="1"/>
  <c r="D223" i="2" s="1"/>
  <c r="D474" i="2"/>
  <c r="D400" i="2" s="1"/>
  <c r="D35" i="2" s="1"/>
  <c r="D243" i="2" s="1"/>
  <c r="D499" i="2"/>
  <c r="D425" i="2" s="1"/>
  <c r="D60" i="2" s="1"/>
  <c r="F450" i="2"/>
  <c r="F376" i="2" s="1"/>
  <c r="F11" i="2" s="1"/>
  <c r="F466" i="2"/>
  <c r="F392" i="2" s="1"/>
  <c r="F27" i="2" s="1"/>
  <c r="F235" i="2" s="1"/>
  <c r="G511" i="2"/>
  <c r="G579" i="2"/>
  <c r="G647" i="2"/>
  <c r="H480" i="2"/>
  <c r="H406" i="2" s="1"/>
  <c r="H41" i="2" s="1"/>
  <c r="G709" i="2"/>
  <c r="G641" i="2"/>
  <c r="I446" i="2"/>
  <c r="I372" i="2" s="1"/>
  <c r="I7" i="2" s="1"/>
  <c r="I215" i="2" s="1"/>
  <c r="I478" i="2"/>
  <c r="I404" i="2" s="1"/>
  <c r="I39" i="2" s="1"/>
  <c r="I490" i="2"/>
  <c r="I416" i="2" s="1"/>
  <c r="I51" i="2" s="1"/>
  <c r="J453" i="2"/>
  <c r="J379" i="2" s="1"/>
  <c r="J14" i="2" s="1"/>
  <c r="G469" i="2"/>
  <c r="G395" i="2" s="1"/>
  <c r="G30" i="2" s="1"/>
  <c r="Q472" i="2"/>
  <c r="Q398" i="2" s="1"/>
  <c r="Q33" i="2" s="1"/>
  <c r="Q470" i="2"/>
  <c r="Q396" i="2" s="1"/>
  <c r="Q31" i="2" s="1"/>
  <c r="Q239" i="2" s="1"/>
  <c r="Q455" i="2"/>
  <c r="Q381" i="2" s="1"/>
  <c r="Q16" i="2" s="1"/>
  <c r="Q450" i="2"/>
  <c r="Q376" i="2" s="1"/>
  <c r="Q11" i="2" s="1"/>
  <c r="P239" i="2"/>
  <c r="P446" i="2"/>
  <c r="P372" i="2" s="1"/>
  <c r="P7" i="2" s="1"/>
  <c r="P215" i="2" s="1"/>
  <c r="P467" i="2"/>
  <c r="P393" i="2" s="1"/>
  <c r="P28" i="2" s="1"/>
  <c r="P476" i="2"/>
  <c r="P402" i="2" s="1"/>
  <c r="P37" i="2" s="1"/>
  <c r="P477" i="2"/>
  <c r="P403" i="2" s="1"/>
  <c r="P38" i="2" s="1"/>
  <c r="P483" i="2"/>
  <c r="P409" i="2" s="1"/>
  <c r="P44" i="2" s="1"/>
  <c r="P252" i="2" s="1"/>
  <c r="Q461" i="2"/>
  <c r="Q387" i="2" s="1"/>
  <c r="Q22" i="2" s="1"/>
  <c r="Q485" i="2"/>
  <c r="Q411" i="2" s="1"/>
  <c r="Q46" i="2" s="1"/>
  <c r="Q484" i="2"/>
  <c r="Q410" i="2" s="1"/>
  <c r="Q45" i="2" s="1"/>
  <c r="Q460" i="2"/>
  <c r="Q386" i="2" s="1"/>
  <c r="Q21" i="2" s="1"/>
  <c r="Q223" i="2"/>
  <c r="Q54" i="5"/>
  <c r="Q46" i="5"/>
  <c r="R46" i="5"/>
  <c r="I711" i="2"/>
  <c r="I646" i="2" s="1"/>
  <c r="I506" i="2"/>
  <c r="I432" i="2" s="1"/>
  <c r="I67" i="2" s="1"/>
  <c r="I275" i="2" s="1"/>
  <c r="K456" i="2"/>
  <c r="K382" i="2" s="1"/>
  <c r="K17" i="2" s="1"/>
  <c r="N464" i="2"/>
  <c r="N390" i="2" s="1"/>
  <c r="N25" i="2" s="1"/>
  <c r="N479" i="2"/>
  <c r="N405" i="2" s="1"/>
  <c r="N40" i="2" s="1"/>
  <c r="L484" i="2"/>
  <c r="L410" i="2" s="1"/>
  <c r="L45" i="2" s="1"/>
  <c r="P7" i="32"/>
  <c r="D257" i="2"/>
  <c r="P180" i="2"/>
  <c r="P247" i="2" s="1"/>
  <c r="O180" i="2"/>
  <c r="F180" i="2"/>
  <c r="F247" i="2" s="1"/>
  <c r="Q180" i="2"/>
  <c r="J180" i="2"/>
  <c r="J247" i="2" s="1"/>
  <c r="N180" i="2"/>
  <c r="G180" i="2"/>
  <c r="D180" i="2"/>
  <c r="J184" i="2"/>
  <c r="J251" i="2" s="1"/>
  <c r="E184" i="2"/>
  <c r="E251" i="2" s="1"/>
  <c r="D184" i="2"/>
  <c r="D251" i="2" s="1"/>
  <c r="O184" i="2"/>
  <c r="O251" i="2" s="1"/>
  <c r="G184" i="2"/>
  <c r="G251" i="2" s="1"/>
  <c r="F184" i="2"/>
  <c r="C184" i="2"/>
  <c r="C251" i="2" s="1"/>
  <c r="N184" i="2"/>
  <c r="N251" i="2" s="1"/>
  <c r="L184" i="2"/>
  <c r="H184" i="2"/>
  <c r="H251" i="2" s="1"/>
  <c r="P184" i="2"/>
  <c r="P251" i="2" s="1"/>
  <c r="Q184" i="2"/>
  <c r="Q251" i="2" s="1"/>
  <c r="I184" i="2"/>
  <c r="M184" i="2"/>
  <c r="M251" i="2" s="1"/>
  <c r="K184" i="2"/>
  <c r="K251" i="2" s="1"/>
  <c r="G182" i="2"/>
  <c r="O182" i="2"/>
  <c r="K182" i="2"/>
  <c r="K249" i="2" s="1"/>
  <c r="D182" i="2"/>
  <c r="D249" i="2" s="1"/>
  <c r="C182" i="2"/>
  <c r="C249" i="2" s="1"/>
  <c r="M182" i="2"/>
  <c r="M249" i="2" s="1"/>
  <c r="F182" i="2"/>
  <c r="Q182" i="2"/>
  <c r="Q249" i="2" s="1"/>
  <c r="G46" i="5"/>
  <c r="G54" i="5"/>
  <c r="H190" i="2"/>
  <c r="H257" i="2" s="1"/>
  <c r="M190" i="2"/>
  <c r="M257" i="2" s="1"/>
  <c r="J190" i="2"/>
  <c r="J257" i="2" s="1"/>
  <c r="O190" i="2"/>
  <c r="O257" i="2" s="1"/>
  <c r="N190" i="2"/>
  <c r="N257" i="2" s="1"/>
  <c r="P190" i="2"/>
  <c r="P257" i="2" s="1"/>
  <c r="I190" i="2"/>
  <c r="I257" i="2" s="1"/>
  <c r="L190" i="2"/>
  <c r="L257" i="2" s="1"/>
  <c r="K23" i="8"/>
  <c r="L23" i="8"/>
  <c r="P146" i="2"/>
  <c r="F146" i="2"/>
  <c r="F213" i="2" s="1"/>
  <c r="H146" i="2"/>
  <c r="O146" i="2"/>
  <c r="O213" i="2" s="1"/>
  <c r="C146" i="2"/>
  <c r="C213" i="2" s="1"/>
  <c r="Q266" i="2"/>
  <c r="K193" i="2"/>
  <c r="K260" i="2" s="1"/>
  <c r="H193" i="2"/>
  <c r="H260" i="2" s="1"/>
  <c r="D193" i="2"/>
  <c r="D260" i="2" s="1"/>
  <c r="M161" i="2"/>
  <c r="M228" i="2" s="1"/>
  <c r="G159" i="2"/>
  <c r="Q159" i="2"/>
  <c r="Q226" i="2" s="1"/>
  <c r="O159" i="2"/>
  <c r="O226" i="2" s="1"/>
  <c r="K159" i="2"/>
  <c r="K226" i="2" s="1"/>
  <c r="E159" i="2"/>
  <c r="C159" i="2"/>
  <c r="C226" i="2" s="1"/>
  <c r="F5" i="32"/>
  <c r="F7" i="32" s="1"/>
  <c r="H52" i="5"/>
  <c r="S26" i="5"/>
  <c r="S28" i="5" s="1"/>
  <c r="S44" i="5" s="1"/>
  <c r="S53" i="5" s="1"/>
  <c r="S27" i="5"/>
  <c r="S29" i="5" s="1"/>
  <c r="S45" i="5" s="1"/>
  <c r="D23" i="8"/>
  <c r="D25" i="8" s="1"/>
  <c r="D35" i="8" s="1"/>
  <c r="E23" i="8"/>
  <c r="H46" i="5"/>
  <c r="L53" i="5"/>
  <c r="L46" i="5"/>
  <c r="O643" i="2"/>
  <c r="L42" i="5"/>
  <c r="L54" i="5"/>
  <c r="J6" i="32" s="1"/>
  <c r="N178" i="2"/>
  <c r="E178" i="2"/>
  <c r="E245" i="2" s="1"/>
  <c r="O178" i="2"/>
  <c r="O245" i="2" s="1"/>
  <c r="P178" i="2"/>
  <c r="M178" i="2"/>
  <c r="J178" i="2"/>
  <c r="J245" i="2" s="1"/>
  <c r="L178" i="2"/>
  <c r="K178" i="2"/>
  <c r="F178" i="2"/>
  <c r="F245" i="2" s="1"/>
  <c r="D178" i="2"/>
  <c r="D245" i="2" s="1"/>
  <c r="Q178" i="2"/>
  <c r="Q245" i="2" s="1"/>
  <c r="H178" i="2"/>
  <c r="H245" i="2" s="1"/>
  <c r="G178" i="2"/>
  <c r="E10" i="32"/>
  <c r="F4" i="32"/>
  <c r="O469" i="2"/>
  <c r="O395" i="2" s="1"/>
  <c r="O30" i="2" s="1"/>
  <c r="O238" i="2" s="1"/>
  <c r="D153" i="2"/>
  <c r="D220" i="2" s="1"/>
  <c r="P153" i="2"/>
  <c r="P220" i="2" s="1"/>
  <c r="Q153" i="2"/>
  <c r="O153" i="2"/>
  <c r="O220" i="2" s="1"/>
  <c r="I153" i="2"/>
  <c r="I220" i="2" s="1"/>
  <c r="F153" i="2"/>
  <c r="F220" i="2" s="1"/>
  <c r="K153" i="2"/>
  <c r="K220" i="2" s="1"/>
  <c r="E153" i="2"/>
  <c r="E220" i="2" s="1"/>
  <c r="G153" i="2"/>
  <c r="G220" i="2" s="1"/>
  <c r="N162" i="2"/>
  <c r="N229" i="2" s="1"/>
  <c r="E162" i="2"/>
  <c r="O162" i="2"/>
  <c r="O229" i="2" s="1"/>
  <c r="C162" i="2"/>
  <c r="C229" i="2" s="1"/>
  <c r="G162" i="2"/>
  <c r="D162" i="2"/>
  <c r="D229" i="2" s="1"/>
  <c r="Q162" i="2"/>
  <c r="Q229" i="2" s="1"/>
  <c r="I162" i="2"/>
  <c r="I229" i="2" s="1"/>
  <c r="F162" i="2"/>
  <c r="F229" i="2" s="1"/>
  <c r="H162" i="2"/>
  <c r="M162" i="2"/>
  <c r="M229" i="2" s="1"/>
  <c r="D54" i="5"/>
  <c r="D52" i="5" s="1"/>
  <c r="D46" i="5"/>
  <c r="M475" i="2"/>
  <c r="M401" i="2" s="1"/>
  <c r="M36" i="2" s="1"/>
  <c r="M244" i="2" s="1"/>
  <c r="K476" i="2"/>
  <c r="K402" i="2" s="1"/>
  <c r="K37" i="2" s="1"/>
  <c r="E490" i="2"/>
  <c r="E416" i="2" s="1"/>
  <c r="E51" i="2" s="1"/>
  <c r="R445" i="2"/>
  <c r="R371" i="2" s="1"/>
  <c r="R6" i="2" s="1"/>
  <c r="R214" i="2" s="1"/>
  <c r="G690" i="2"/>
  <c r="G622" i="2"/>
  <c r="J46" i="5"/>
  <c r="J54" i="5"/>
  <c r="E193" i="2"/>
  <c r="E260" i="2" s="1"/>
  <c r="J193" i="2"/>
  <c r="J260" i="2" s="1"/>
  <c r="L193" i="2"/>
  <c r="L260" i="2" s="1"/>
  <c r="Q193" i="2"/>
  <c r="Q260" i="2" s="1"/>
  <c r="N193" i="2"/>
  <c r="N260" i="2" s="1"/>
  <c r="G193" i="2"/>
  <c r="G260" i="2" s="1"/>
  <c r="M193" i="2"/>
  <c r="M260" i="2" s="1"/>
  <c r="E42" i="5"/>
  <c r="E54" i="5"/>
  <c r="H255" i="2"/>
  <c r="D195" i="2"/>
  <c r="D262" i="2" s="1"/>
  <c r="J195" i="2"/>
  <c r="J262" i="2" s="1"/>
  <c r="H195" i="2"/>
  <c r="H262" i="2" s="1"/>
  <c r="N195" i="2"/>
  <c r="N262" i="2" s="1"/>
  <c r="M195" i="2"/>
  <c r="M262" i="2" s="1"/>
  <c r="C195" i="2"/>
  <c r="O195" i="2"/>
  <c r="O262" i="2" s="1"/>
  <c r="I195" i="2"/>
  <c r="I262" i="2" s="1"/>
  <c r="G195" i="2"/>
  <c r="G262" i="2" s="1"/>
  <c r="K195" i="2"/>
  <c r="K262" i="2" s="1"/>
  <c r="F195" i="2"/>
  <c r="F262" i="2" s="1"/>
  <c r="E195" i="2"/>
  <c r="E262" i="2" s="1"/>
  <c r="P195" i="2"/>
  <c r="P262" i="2" s="1"/>
  <c r="C262" i="2"/>
  <c r="L195" i="2"/>
  <c r="L262" i="2" s="1"/>
  <c r="Q195" i="2"/>
  <c r="Q262" i="2" s="1"/>
  <c r="E711" i="2"/>
  <c r="E646" i="2" s="1"/>
  <c r="O501" i="2"/>
  <c r="O427" i="2" s="1"/>
  <c r="O62" i="2" s="1"/>
  <c r="Q711" i="2"/>
  <c r="Q646" i="2" s="1"/>
  <c r="N454" i="2"/>
  <c r="N380" i="2" s="1"/>
  <c r="N15" i="2" s="1"/>
  <c r="N223" i="2" s="1"/>
  <c r="E495" i="2"/>
  <c r="E421" i="2" s="1"/>
  <c r="E56" i="2" s="1"/>
  <c r="F492" i="2"/>
  <c r="F418" i="2" s="1"/>
  <c r="F53" i="2" s="1"/>
  <c r="H460" i="2"/>
  <c r="H386" i="2" s="1"/>
  <c r="H21" i="2" s="1"/>
  <c r="H229" i="2" s="1"/>
  <c r="C448" i="2"/>
  <c r="C374" i="2" s="1"/>
  <c r="C9" i="2" s="1"/>
  <c r="C458" i="2"/>
  <c r="C384" i="2" s="1"/>
  <c r="C19" i="2" s="1"/>
  <c r="G160" i="2" s="1"/>
  <c r="G499" i="2"/>
  <c r="G425" i="2" s="1"/>
  <c r="G60" i="2" s="1"/>
  <c r="O711" i="2"/>
  <c r="O646" i="2" s="1"/>
  <c r="N499" i="2"/>
  <c r="N425" i="2" s="1"/>
  <c r="N60" i="2" s="1"/>
  <c r="D473" i="2"/>
  <c r="D399" i="2" s="1"/>
  <c r="D34" i="2" s="1"/>
  <c r="D498" i="2"/>
  <c r="D424" i="2" s="1"/>
  <c r="D59" i="2" s="1"/>
  <c r="D267" i="2" s="1"/>
  <c r="F486" i="2"/>
  <c r="F412" i="2" s="1"/>
  <c r="F47" i="2" s="1"/>
  <c r="F255" i="2" s="1"/>
  <c r="F490" i="2"/>
  <c r="F416" i="2" s="1"/>
  <c r="F51" i="2" s="1"/>
  <c r="F259" i="2" s="1"/>
  <c r="J497" i="2"/>
  <c r="J423" i="2" s="1"/>
  <c r="J58" i="2" s="1"/>
  <c r="J266" i="2" s="1"/>
  <c r="G464" i="2"/>
  <c r="G390" i="2" s="1"/>
  <c r="G25" i="2" s="1"/>
  <c r="M180" i="2"/>
  <c r="I180" i="2"/>
  <c r="I247" i="2" s="1"/>
  <c r="H180" i="2"/>
  <c r="H247" i="2" s="1"/>
  <c r="K180" i="2"/>
  <c r="K247" i="2" s="1"/>
  <c r="L180" i="2"/>
  <c r="C180" i="2"/>
  <c r="C247" i="2" s="1"/>
  <c r="E180" i="2"/>
  <c r="E247" i="2" s="1"/>
  <c r="N186" i="2"/>
  <c r="N253" i="2" s="1"/>
  <c r="L186" i="2"/>
  <c r="O186" i="2"/>
  <c r="M186" i="2"/>
  <c r="M253" i="2" s="1"/>
  <c r="P186" i="2"/>
  <c r="P253" i="2" s="1"/>
  <c r="I186" i="2"/>
  <c r="I253" i="2" s="1"/>
  <c r="H186" i="2"/>
  <c r="H253" i="2" s="1"/>
  <c r="Q186" i="2"/>
  <c r="Q253" i="2" s="1"/>
  <c r="C186" i="2"/>
  <c r="C253" i="2" s="1"/>
  <c r="F186" i="2"/>
  <c r="F253" i="2" s="1"/>
  <c r="K186" i="2"/>
  <c r="K253" i="2" s="1"/>
  <c r="D186" i="2"/>
  <c r="D253" i="2" s="1"/>
  <c r="G186" i="2"/>
  <c r="E186" i="2"/>
  <c r="J186" i="2"/>
  <c r="J253" i="2" s="1"/>
  <c r="Q187" i="2"/>
  <c r="P187" i="2"/>
  <c r="P254" i="2" s="1"/>
  <c r="G187" i="2"/>
  <c r="C187" i="2"/>
  <c r="C254" i="2" s="1"/>
  <c r="H187" i="2"/>
  <c r="H254" i="2" s="1"/>
  <c r="N187" i="2"/>
  <c r="L187" i="2"/>
  <c r="L254" i="2" s="1"/>
  <c r="I187" i="2"/>
  <c r="I254" i="2" s="1"/>
  <c r="F187" i="2"/>
  <c r="F254" i="2" s="1"/>
  <c r="D187" i="2"/>
  <c r="D254" i="2" s="1"/>
  <c r="J187" i="2"/>
  <c r="J254" i="2" s="1"/>
  <c r="M187" i="2"/>
  <c r="K187" i="2"/>
  <c r="K254" i="2" s="1"/>
  <c r="E187" i="2"/>
  <c r="E254" i="2" s="1"/>
  <c r="O187" i="2"/>
  <c r="O254" i="2" s="1"/>
  <c r="F165" i="2"/>
  <c r="F232" i="2" s="1"/>
  <c r="M149" i="2"/>
  <c r="G149" i="2"/>
  <c r="G216" i="2" s="1"/>
  <c r="C149" i="2"/>
  <c r="C216" i="2" s="1"/>
  <c r="D152" i="2"/>
  <c r="J152" i="2"/>
  <c r="J219" i="2" s="1"/>
  <c r="N152" i="2"/>
  <c r="N219" i="2" s="1"/>
  <c r="P152" i="2"/>
  <c r="P219" i="2" s="1"/>
  <c r="C152" i="2"/>
  <c r="C219" i="2" s="1"/>
  <c r="I152" i="2"/>
  <c r="I219" i="2" s="1"/>
  <c r="Q152" i="2"/>
  <c r="G152" i="2"/>
  <c r="G219" i="2" s="1"/>
  <c r="M152" i="2"/>
  <c r="M219" i="2" s="1"/>
  <c r="L152" i="2"/>
  <c r="L219" i="2" s="1"/>
  <c r="O152" i="2"/>
  <c r="O219" i="2" s="1"/>
  <c r="E152" i="2"/>
  <c r="E219" i="2" s="1"/>
  <c r="K152" i="2"/>
  <c r="K219" i="2" s="1"/>
  <c r="F152" i="2"/>
  <c r="H152" i="2"/>
  <c r="H219" i="2" s="1"/>
  <c r="L194" i="2"/>
  <c r="L261" i="2" s="1"/>
  <c r="I194" i="2"/>
  <c r="I261" i="2" s="1"/>
  <c r="M194" i="2"/>
  <c r="M261" i="2" s="1"/>
  <c r="F194" i="2"/>
  <c r="O194" i="2"/>
  <c r="N194" i="2"/>
  <c r="N261" i="2" s="1"/>
  <c r="E194" i="2"/>
  <c r="E261" i="2" s="1"/>
  <c r="C194" i="2"/>
  <c r="D194" i="2"/>
  <c r="D261" i="2" s="1"/>
  <c r="G194" i="2"/>
  <c r="H194" i="2"/>
  <c r="H261" i="2" s="1"/>
  <c r="Q194" i="2"/>
  <c r="Q261" i="2" s="1"/>
  <c r="J194" i="2"/>
  <c r="J261" i="2" s="1"/>
  <c r="K194" i="2"/>
  <c r="K261" i="2" s="1"/>
  <c r="P194" i="2"/>
  <c r="C261" i="2"/>
  <c r="N711" i="2"/>
  <c r="N646" i="2" s="1"/>
  <c r="P643" i="2"/>
  <c r="P578" i="2" s="1"/>
  <c r="Q474" i="2"/>
  <c r="Q400" i="2" s="1"/>
  <c r="Q35" i="2" s="1"/>
  <c r="E481" i="2"/>
  <c r="E407" i="2" s="1"/>
  <c r="E42" i="2" s="1"/>
  <c r="K146" i="2"/>
  <c r="K213" i="2" s="1"/>
  <c r="N146" i="2"/>
  <c r="N213" i="2" s="1"/>
  <c r="Q146" i="2"/>
  <c r="Q213" i="2" s="1"/>
  <c r="J146" i="2"/>
  <c r="J213" i="2" s="1"/>
  <c r="E170" i="2"/>
  <c r="E237" i="2" s="1"/>
  <c r="K170" i="2"/>
  <c r="L170" i="2"/>
  <c r="L237" i="2" s="1"/>
  <c r="Q170" i="2"/>
  <c r="G170" i="2"/>
  <c r="H170" i="2"/>
  <c r="D170" i="2"/>
  <c r="D237" i="2" s="1"/>
  <c r="J170" i="2"/>
  <c r="J237" i="2" s="1"/>
  <c r="P170" i="2"/>
  <c r="P237" i="2" s="1"/>
  <c r="M170" i="2"/>
  <c r="M237" i="2" s="1"/>
  <c r="F170" i="2"/>
  <c r="F237" i="2" s="1"/>
  <c r="O170" i="2"/>
  <c r="O237" i="2" s="1"/>
  <c r="C170" i="2"/>
  <c r="C237" i="2" s="1"/>
  <c r="I170" i="2"/>
  <c r="I237" i="2" s="1"/>
  <c r="N170" i="2"/>
  <c r="N237" i="2" s="1"/>
  <c r="L179" i="2"/>
  <c r="L246" i="2" s="1"/>
  <c r="G179" i="2"/>
  <c r="G246" i="2" s="1"/>
  <c r="H179" i="2"/>
  <c r="H246" i="2" s="1"/>
  <c r="I179" i="2"/>
  <c r="I246" i="2" s="1"/>
  <c r="M179" i="2"/>
  <c r="M246" i="2" s="1"/>
  <c r="P179" i="2"/>
  <c r="E179" i="2"/>
  <c r="Q179" i="2"/>
  <c r="Q246" i="2" s="1"/>
  <c r="J179" i="2"/>
  <c r="J246" i="2" s="1"/>
  <c r="K179" i="2"/>
  <c r="K246" i="2" s="1"/>
  <c r="D179" i="2"/>
  <c r="D246" i="2" s="1"/>
  <c r="C179" i="2"/>
  <c r="C246" i="2" s="1"/>
  <c r="N179" i="2"/>
  <c r="N246" i="2" s="1"/>
  <c r="O179" i="2"/>
  <c r="O246" i="2" s="1"/>
  <c r="F179" i="2"/>
  <c r="F246" i="2" s="1"/>
  <c r="P163" i="2"/>
  <c r="J163" i="2"/>
  <c r="J230" i="2" s="1"/>
  <c r="I163" i="2"/>
  <c r="I230" i="2" s="1"/>
  <c r="L163" i="2"/>
  <c r="L230" i="2" s="1"/>
  <c r="E163" i="2"/>
  <c r="E230" i="2" s="1"/>
  <c r="N163" i="2"/>
  <c r="N230" i="2" s="1"/>
  <c r="F163" i="2"/>
  <c r="F230" i="2" s="1"/>
  <c r="Q163" i="2"/>
  <c r="D163" i="2"/>
  <c r="O163" i="2"/>
  <c r="O230" i="2" s="1"/>
  <c r="G163" i="2"/>
  <c r="H163" i="2"/>
  <c r="H230" i="2" s="1"/>
  <c r="L161" i="2"/>
  <c r="L18" i="32"/>
  <c r="L24" i="32" s="1"/>
  <c r="K18" i="32"/>
  <c r="O18" i="32"/>
  <c r="O24" i="32" s="1"/>
  <c r="P18" i="32"/>
  <c r="P24" i="32" s="1"/>
  <c r="E18" i="32"/>
  <c r="E24" i="32" s="1"/>
  <c r="H18" i="32"/>
  <c r="H24" i="32" s="1"/>
  <c r="C18" i="32"/>
  <c r="N18" i="32"/>
  <c r="D18" i="32"/>
  <c r="D24" i="32" s="1"/>
  <c r="F18" i="32"/>
  <c r="F24" i="32" s="1"/>
  <c r="M18" i="32"/>
  <c r="M24" i="32" s="1"/>
  <c r="G18" i="32"/>
  <c r="G24" i="32" s="1"/>
  <c r="I18" i="32"/>
  <c r="I24" i="32" s="1"/>
  <c r="J18" i="32"/>
  <c r="C24" i="32"/>
  <c r="Q18" i="32"/>
  <c r="J214" i="2"/>
  <c r="M150" i="2"/>
  <c r="M217" i="2" s="1"/>
  <c r="E150" i="2"/>
  <c r="E217" i="2" s="1"/>
  <c r="I150" i="2"/>
  <c r="I217" i="2" s="1"/>
  <c r="P150" i="2"/>
  <c r="P217" i="2" s="1"/>
  <c r="F150" i="2"/>
  <c r="F217" i="2" s="1"/>
  <c r="Q150" i="2"/>
  <c r="Q217" i="2" s="1"/>
  <c r="G150" i="2"/>
  <c r="H150" i="2"/>
  <c r="H217" i="2" s="1"/>
  <c r="D150" i="2"/>
  <c r="D217" i="2" s="1"/>
  <c r="L150" i="2"/>
  <c r="J150" i="2"/>
  <c r="J217" i="2" s="1"/>
  <c r="K150" i="2"/>
  <c r="K217" i="2" s="1"/>
  <c r="N150" i="2"/>
  <c r="O150" i="2"/>
  <c r="O217" i="2" s="1"/>
  <c r="C150" i="2"/>
  <c r="C217" i="2" s="1"/>
  <c r="K189" i="2"/>
  <c r="K256" i="2" s="1"/>
  <c r="N189" i="2"/>
  <c r="N256" i="2" s="1"/>
  <c r="F189" i="2"/>
  <c r="F256" i="2" s="1"/>
  <c r="D189" i="2"/>
  <c r="D256" i="2" s="1"/>
  <c r="E189" i="2"/>
  <c r="E256" i="2" s="1"/>
  <c r="L189" i="2"/>
  <c r="L256" i="2" s="1"/>
  <c r="Q189" i="2"/>
  <c r="Q256" i="2" s="1"/>
  <c r="J189" i="2"/>
  <c r="J256" i="2" s="1"/>
  <c r="C189" i="2"/>
  <c r="C256" i="2" s="1"/>
  <c r="H189" i="2"/>
  <c r="H256" i="2" s="1"/>
  <c r="G189" i="2"/>
  <c r="G256" i="2" s="1"/>
  <c r="O189" i="2"/>
  <c r="O256" i="2" s="1"/>
  <c r="I189" i="2"/>
  <c r="I256" i="2" s="1"/>
  <c r="P189" i="2"/>
  <c r="P256" i="2" s="1"/>
  <c r="M189" i="2"/>
  <c r="M256" i="2" s="1"/>
  <c r="F111" i="35"/>
  <c r="G649" i="2"/>
  <c r="G581" i="2"/>
  <c r="N447" i="2"/>
  <c r="N373" i="2" s="1"/>
  <c r="N8" i="2" s="1"/>
  <c r="N216" i="2" s="1"/>
  <c r="N510" i="2"/>
  <c r="L643" i="2"/>
  <c r="G707" i="2"/>
  <c r="G639" i="2"/>
  <c r="L160" i="2"/>
  <c r="L227" i="2" s="1"/>
  <c r="M711" i="2"/>
  <c r="M646" i="2" s="1"/>
  <c r="D461" i="2"/>
  <c r="D510" i="2"/>
  <c r="Z49" i="36"/>
  <c r="Z60" i="36"/>
  <c r="AU9" i="36"/>
  <c r="F93" i="35"/>
  <c r="G93" i="35"/>
  <c r="I93" i="35"/>
  <c r="S94" i="35"/>
  <c r="E93" i="35"/>
  <c r="E112" i="35" s="1"/>
  <c r="F112" i="35" s="1"/>
  <c r="H93" i="35"/>
  <c r="L93" i="35"/>
  <c r="K93" i="35"/>
  <c r="M93" i="35"/>
  <c r="N93" i="35"/>
  <c r="J93" i="35"/>
  <c r="D13" i="35"/>
  <c r="D31" i="35" s="1"/>
  <c r="G13" i="35"/>
  <c r="H13" i="35"/>
  <c r="J13" i="35"/>
  <c r="I13" i="35"/>
  <c r="K13" i="35"/>
  <c r="M13" i="35"/>
  <c r="E13" i="35"/>
  <c r="S14" i="35"/>
  <c r="F13" i="35"/>
  <c r="L13" i="35"/>
  <c r="D643" i="2"/>
  <c r="D578" i="2" s="1"/>
  <c r="Q486" i="2"/>
  <c r="Q412" i="2" s="1"/>
  <c r="Q47" i="2" s="1"/>
  <c r="Q255" i="2" s="1"/>
  <c r="N453" i="2"/>
  <c r="N379" i="2" s="1"/>
  <c r="N14" i="2" s="1"/>
  <c r="G682" i="2"/>
  <c r="G614" i="2"/>
  <c r="G546" i="2"/>
  <c r="C481" i="2"/>
  <c r="C407" i="2" s="1"/>
  <c r="C42" i="2" s="1"/>
  <c r="E465" i="2"/>
  <c r="E391" i="2" s="1"/>
  <c r="E26" i="2" s="1"/>
  <c r="E510" i="2"/>
  <c r="F480" i="2"/>
  <c r="F406" i="2" s="1"/>
  <c r="F41" i="2" s="1"/>
  <c r="H501" i="2"/>
  <c r="H427" i="2" s="1"/>
  <c r="H62" i="2" s="1"/>
  <c r="H270" i="2" s="1"/>
  <c r="J711" i="2"/>
  <c r="J646" i="2" s="1"/>
  <c r="O378" i="2"/>
  <c r="O13" i="2" s="1"/>
  <c r="D39" i="34"/>
  <c r="F711" i="2"/>
  <c r="F646" i="2" s="1"/>
  <c r="L711" i="2"/>
  <c r="L646" i="2" s="1"/>
  <c r="AG9" i="35"/>
  <c r="K454" i="2"/>
  <c r="K510" i="2"/>
  <c r="N455" i="2"/>
  <c r="N381" i="2" s="1"/>
  <c r="N16" i="2" s="1"/>
  <c r="N224" i="2" s="1"/>
  <c r="L457" i="2"/>
  <c r="L383" i="2" s="1"/>
  <c r="L18" i="2" s="1"/>
  <c r="F482" i="2"/>
  <c r="F408" i="2" s="1"/>
  <c r="F43" i="2" s="1"/>
  <c r="F251" i="2" s="1"/>
  <c r="G596" i="2"/>
  <c r="G664" i="2"/>
  <c r="G528" i="2"/>
  <c r="I643" i="2"/>
  <c r="J272" i="2"/>
  <c r="C473" i="2"/>
  <c r="C399" i="2" s="1"/>
  <c r="C34" i="2" s="1"/>
  <c r="N448" i="2"/>
  <c r="N374" i="2" s="1"/>
  <c r="N9" i="2" s="1"/>
  <c r="K711" i="2"/>
  <c r="K646" i="2" s="1"/>
  <c r="M643" i="2"/>
  <c r="N457" i="2"/>
  <c r="N383" i="2" s="1"/>
  <c r="N18" i="2" s="1"/>
  <c r="M473" i="2"/>
  <c r="M399" i="2" s="1"/>
  <c r="M34" i="2" s="1"/>
  <c r="G470" i="2"/>
  <c r="G396" i="2" s="1"/>
  <c r="G31" i="2" s="1"/>
  <c r="G239" i="2" s="1"/>
  <c r="P465" i="2"/>
  <c r="P391" i="2" s="1"/>
  <c r="P26" i="2" s="1"/>
  <c r="P711" i="2"/>
  <c r="S176" i="35"/>
  <c r="K175" i="35"/>
  <c r="J175" i="35"/>
  <c r="H175" i="35"/>
  <c r="I175" i="35"/>
  <c r="F175" i="35"/>
  <c r="N175" i="35"/>
  <c r="M175" i="35"/>
  <c r="G175" i="35"/>
  <c r="L175" i="35"/>
  <c r="E175" i="35"/>
  <c r="E194" i="35" s="1"/>
  <c r="C210" i="35"/>
  <c r="D19" i="34" s="1"/>
  <c r="D44" i="34" s="1"/>
  <c r="D57" i="34" s="1"/>
  <c r="D192" i="35"/>
  <c r="Q643" i="2"/>
  <c r="E477" i="2"/>
  <c r="E403" i="2" s="1"/>
  <c r="E38" i="2" s="1"/>
  <c r="G594" i="2"/>
  <c r="G662" i="2"/>
  <c r="G526" i="2"/>
  <c r="G705" i="2"/>
  <c r="G637" i="2"/>
  <c r="I503" i="2"/>
  <c r="I429" i="2" s="1"/>
  <c r="I64" i="2" s="1"/>
  <c r="I272" i="2" s="1"/>
  <c r="J501" i="2"/>
  <c r="J427" i="2" s="1"/>
  <c r="J62" i="2" s="1"/>
  <c r="C465" i="2"/>
  <c r="C391" i="2" s="1"/>
  <c r="C26" i="2" s="1"/>
  <c r="D463" i="2"/>
  <c r="D389" i="2" s="1"/>
  <c r="D24" i="2" s="1"/>
  <c r="M578" i="2"/>
  <c r="F510" i="2"/>
  <c r="J135" i="35"/>
  <c r="G135" i="35"/>
  <c r="S136" i="35"/>
  <c r="F135" i="35"/>
  <c r="F154" i="35" s="1"/>
  <c r="I135" i="35"/>
  <c r="H135" i="35"/>
  <c r="C20" i="34"/>
  <c r="O471" i="2"/>
  <c r="O397" i="2" s="1"/>
  <c r="O32" i="2" s="1"/>
  <c r="O510" i="2"/>
  <c r="P444" i="2"/>
  <c r="P370" i="2" s="1"/>
  <c r="P5" i="2" s="1"/>
  <c r="C456" i="2"/>
  <c r="C382" i="2" s="1"/>
  <c r="C17" i="2" s="1"/>
  <c r="C510" i="2"/>
  <c r="Q371" i="2"/>
  <c r="Q6" i="2" s="1"/>
  <c r="E460" i="2"/>
  <c r="E386" i="2" s="1"/>
  <c r="E21" i="2" s="1"/>
  <c r="K455" i="2"/>
  <c r="K381" i="2" s="1"/>
  <c r="K16" i="2" s="1"/>
  <c r="H463" i="2"/>
  <c r="H389" i="2" s="1"/>
  <c r="H24" i="2" s="1"/>
  <c r="I510" i="2"/>
  <c r="I452" i="2"/>
  <c r="G456" i="2"/>
  <c r="G382" i="2" s="1"/>
  <c r="G17" i="2" s="1"/>
  <c r="O578" i="2"/>
  <c r="O480" i="2"/>
  <c r="O406" i="2" s="1"/>
  <c r="O41" i="2" s="1"/>
  <c r="O249" i="2" s="1"/>
  <c r="P369" i="2"/>
  <c r="P4" i="2" s="1"/>
  <c r="E643" i="2"/>
  <c r="C711" i="2"/>
  <c r="C646" i="2" s="1"/>
  <c r="U27" i="5"/>
  <c r="U29" i="5" s="1"/>
  <c r="L371" i="2"/>
  <c r="L6" i="2" s="1"/>
  <c r="N445" i="2"/>
  <c r="L482" i="2"/>
  <c r="L408" i="2" s="1"/>
  <c r="L43" i="2" s="1"/>
  <c r="G675" i="2"/>
  <c r="G607" i="2"/>
  <c r="G539" i="2"/>
  <c r="H503" i="2"/>
  <c r="H429" i="2" s="1"/>
  <c r="H64" i="2" s="1"/>
  <c r="H272" i="2" s="1"/>
  <c r="Q449" i="2"/>
  <c r="Q375" i="2" s="1"/>
  <c r="Q10" i="2" s="1"/>
  <c r="Q218" i="2" s="1"/>
  <c r="Q510" i="2"/>
  <c r="M478" i="2"/>
  <c r="M404" i="2" s="1"/>
  <c r="M39" i="2" s="1"/>
  <c r="K643" i="2"/>
  <c r="M510" i="2"/>
  <c r="M455" i="2"/>
  <c r="M381" i="2" s="1"/>
  <c r="M16" i="2" s="1"/>
  <c r="M224" i="2" s="1"/>
  <c r="K479" i="2"/>
  <c r="K405" i="2" s="1"/>
  <c r="K40" i="2" s="1"/>
  <c r="O486" i="2"/>
  <c r="O412" i="2" s="1"/>
  <c r="O47" i="2" s="1"/>
  <c r="O255" i="2" s="1"/>
  <c r="L155" i="2"/>
  <c r="N155" i="2"/>
  <c r="O155" i="2"/>
  <c r="O222" i="2" s="1"/>
  <c r="E155" i="2"/>
  <c r="E222" i="2" s="1"/>
  <c r="M155" i="2"/>
  <c r="M222" i="2" s="1"/>
  <c r="K155" i="2"/>
  <c r="K222" i="2" s="1"/>
  <c r="Q155" i="2"/>
  <c r="Q222" i="2" s="1"/>
  <c r="F155" i="2"/>
  <c r="F222" i="2" s="1"/>
  <c r="H155" i="2"/>
  <c r="H222" i="2" s="1"/>
  <c r="J155" i="2"/>
  <c r="J222" i="2" s="1"/>
  <c r="G155" i="2"/>
  <c r="C155" i="2"/>
  <c r="C222" i="2" s="1"/>
  <c r="I155" i="2"/>
  <c r="I222" i="2" s="1"/>
  <c r="D155" i="2"/>
  <c r="D222" i="2" s="1"/>
  <c r="P155" i="2"/>
  <c r="P222" i="2" s="1"/>
  <c r="H711" i="2"/>
  <c r="H646" i="2" s="1"/>
  <c r="P463" i="2"/>
  <c r="P389" i="2" s="1"/>
  <c r="P24" i="2" s="1"/>
  <c r="P469" i="2"/>
  <c r="P395" i="2" s="1"/>
  <c r="P30" i="2" s="1"/>
  <c r="P238" i="2" s="1"/>
  <c r="P455" i="2"/>
  <c r="P381" i="2" s="1"/>
  <c r="P16" i="2" s="1"/>
  <c r="P224" i="2" s="1"/>
  <c r="P510" i="2"/>
  <c r="D30" i="35"/>
  <c r="C47" i="35"/>
  <c r="D15" i="34" s="1"/>
  <c r="Z51" i="36"/>
  <c r="AU11" i="36"/>
  <c r="H458" i="2"/>
  <c r="H510" i="2"/>
  <c r="H643" i="2"/>
  <c r="H578" i="2" s="1"/>
  <c r="F643" i="2"/>
  <c r="F507" i="2" s="1"/>
  <c r="F433" i="2" s="1"/>
  <c r="F68" i="2" s="1"/>
  <c r="J643" i="2"/>
  <c r="L510" i="2"/>
  <c r="D711" i="2"/>
  <c r="D646" i="2" s="1"/>
  <c r="C45" i="34"/>
  <c r="N643" i="2"/>
  <c r="Y53" i="35"/>
  <c r="Y72" i="35" s="1"/>
  <c r="AH53" i="35"/>
  <c r="C58" i="34"/>
  <c r="I110" i="35"/>
  <c r="T445" i="2"/>
  <c r="T371" i="2" s="1"/>
  <c r="T6" i="2" s="1"/>
  <c r="T214" i="2" s="1"/>
  <c r="C445" i="2"/>
  <c r="C643" i="2"/>
  <c r="C578" i="2" s="1"/>
  <c r="S13" i="32"/>
  <c r="AF53" i="35" l="1"/>
  <c r="AD53" i="35"/>
  <c r="AE53" i="35"/>
  <c r="M230" i="2"/>
  <c r="M52" i="5"/>
  <c r="D252" i="2"/>
  <c r="F173" i="2"/>
  <c r="F240" i="2" s="1"/>
  <c r="Q173" i="2"/>
  <c r="J166" i="2"/>
  <c r="J233" i="2" s="1"/>
  <c r="AC53" i="35"/>
  <c r="J270" i="2"/>
  <c r="G230" i="2"/>
  <c r="M254" i="2"/>
  <c r="Q233" i="2"/>
  <c r="D273" i="2"/>
  <c r="G173" i="2"/>
  <c r="E173" i="2"/>
  <c r="E240" i="2" s="1"/>
  <c r="H166" i="2"/>
  <c r="H233" i="2" s="1"/>
  <c r="F166" i="2"/>
  <c r="F233" i="2" s="1"/>
  <c r="C166" i="2"/>
  <c r="C233" i="2" s="1"/>
  <c r="G166" i="2"/>
  <c r="Z53" i="35"/>
  <c r="AK53" i="35"/>
  <c r="N233" i="2"/>
  <c r="G238" i="2"/>
  <c r="C173" i="2"/>
  <c r="C240" i="2" s="1"/>
  <c r="D166" i="2"/>
  <c r="D233" i="2" s="1"/>
  <c r="E166" i="2"/>
  <c r="AA53" i="35"/>
  <c r="G233" i="2"/>
  <c r="P173" i="2"/>
  <c r="P240" i="2" s="1"/>
  <c r="J173" i="2"/>
  <c r="J240" i="2" s="1"/>
  <c r="K166" i="2"/>
  <c r="K233" i="2" s="1"/>
  <c r="I166" i="2"/>
  <c r="I233" i="2" s="1"/>
  <c r="L245" i="2"/>
  <c r="L222" i="2"/>
  <c r="L217" i="2"/>
  <c r="H237" i="2"/>
  <c r="N173" i="2"/>
  <c r="N240" i="2" s="1"/>
  <c r="M173" i="2"/>
  <c r="M240" i="2" s="1"/>
  <c r="Q166" i="2"/>
  <c r="O166" i="2"/>
  <c r="O233" i="2" s="1"/>
  <c r="L228" i="2"/>
  <c r="G226" i="2"/>
  <c r="AB53" i="35"/>
  <c r="AJ53" i="35"/>
  <c r="AI53" i="35"/>
  <c r="AG53" i="35"/>
  <c r="O240" i="2"/>
  <c r="N245" i="2"/>
  <c r="D52" i="8"/>
  <c r="D67" i="8" s="1"/>
  <c r="L229" i="2"/>
  <c r="H173" i="2"/>
  <c r="H240" i="2" s="1"/>
  <c r="I273" i="2"/>
  <c r="L166" i="2"/>
  <c r="L233" i="2" s="1"/>
  <c r="J198" i="2"/>
  <c r="J265" i="2" s="1"/>
  <c r="D198" i="2"/>
  <c r="D265" i="2" s="1"/>
  <c r="G198" i="2"/>
  <c r="G265" i="2" s="1"/>
  <c r="H198" i="2"/>
  <c r="H265" i="2" s="1"/>
  <c r="G498" i="2"/>
  <c r="G424" i="2" s="1"/>
  <c r="G59" i="2" s="1"/>
  <c r="G267" i="2" s="1"/>
  <c r="Y70" i="35"/>
  <c r="Z70" i="35" s="1"/>
  <c r="AA70" i="35" s="1"/>
  <c r="AB70" i="35" s="1"/>
  <c r="AC70" i="35" s="1"/>
  <c r="AD70" i="35" s="1"/>
  <c r="AE70" i="35" s="1"/>
  <c r="AF70" i="35" s="1"/>
  <c r="AG70" i="35" s="1"/>
  <c r="AH70" i="35" s="1"/>
  <c r="AI70" i="35" s="1"/>
  <c r="AJ70" i="35" s="1"/>
  <c r="AK70" i="35" s="1"/>
  <c r="P243" i="2"/>
  <c r="Q240" i="2"/>
  <c r="Q252" i="2"/>
  <c r="P213" i="2"/>
  <c r="Q220" i="2"/>
  <c r="Q257" i="2"/>
  <c r="P23" i="8"/>
  <c r="O23" i="8"/>
  <c r="O507" i="2"/>
  <c r="O433" i="2" s="1"/>
  <c r="O68" i="2" s="1"/>
  <c r="O70" i="2" s="1"/>
  <c r="N507" i="2"/>
  <c r="N433" i="2" s="1"/>
  <c r="N68" i="2" s="1"/>
  <c r="E151" i="35"/>
  <c r="F12" i="36"/>
  <c r="F153" i="35"/>
  <c r="G153" i="35" s="1"/>
  <c r="H153" i="35" s="1"/>
  <c r="I153" i="35" s="1"/>
  <c r="J153" i="35" s="1"/>
  <c r="K153" i="35" s="1"/>
  <c r="L153" i="35" s="1"/>
  <c r="M153" i="35" s="1"/>
  <c r="N153" i="35" s="1"/>
  <c r="O153" i="35" s="1"/>
  <c r="P153" i="35" s="1"/>
  <c r="Q153" i="35" s="1"/>
  <c r="R153" i="35" s="1"/>
  <c r="X31" i="35"/>
  <c r="Y31" i="35" s="1"/>
  <c r="Z31" i="35" s="1"/>
  <c r="AA31" i="35" s="1"/>
  <c r="AB31" i="35" s="1"/>
  <c r="AC31" i="35" s="1"/>
  <c r="AD31" i="35" s="1"/>
  <c r="AE31" i="35" s="1"/>
  <c r="AF31" i="35" s="1"/>
  <c r="AG31" i="35" s="1"/>
  <c r="AH31" i="35" s="1"/>
  <c r="AI31" i="35" s="1"/>
  <c r="AJ31" i="35" s="1"/>
  <c r="AK31" i="35" s="1"/>
  <c r="X20" i="34"/>
  <c r="F11" i="36"/>
  <c r="Z58" i="36"/>
  <c r="Z47" i="36"/>
  <c r="Z61" i="36"/>
  <c r="AU10" i="36"/>
  <c r="Z50" i="36"/>
  <c r="G11" i="36"/>
  <c r="X111" i="35"/>
  <c r="Y111" i="35" s="1"/>
  <c r="Z111" i="35" s="1"/>
  <c r="AA111" i="35" s="1"/>
  <c r="AB111" i="35" s="1"/>
  <c r="AC111" i="35" s="1"/>
  <c r="AD111" i="35" s="1"/>
  <c r="AE111" i="35" s="1"/>
  <c r="AF111" i="35" s="1"/>
  <c r="AG111" i="35" s="1"/>
  <c r="AH111" i="35" s="1"/>
  <c r="AI111" i="35" s="1"/>
  <c r="AJ111" i="35" s="1"/>
  <c r="AK111" i="35" s="1"/>
  <c r="K24" i="32"/>
  <c r="K6" i="32"/>
  <c r="K7" i="32" s="1"/>
  <c r="D161" i="2"/>
  <c r="D228" i="2" s="1"/>
  <c r="P230" i="2"/>
  <c r="E259" i="2"/>
  <c r="F161" i="2"/>
  <c r="F228" i="2" s="1"/>
  <c r="N247" i="2"/>
  <c r="G505" i="2"/>
  <c r="G431" i="2" s="1"/>
  <c r="G66" i="2" s="1"/>
  <c r="G274" i="2" s="1"/>
  <c r="D259" i="2"/>
  <c r="O218" i="2"/>
  <c r="H154" i="2"/>
  <c r="H221" i="2" s="1"/>
  <c r="G497" i="2"/>
  <c r="G423" i="2" s="1"/>
  <c r="G58" i="2" s="1"/>
  <c r="G266" i="2" s="1"/>
  <c r="P154" i="2"/>
  <c r="P221" i="2" s="1"/>
  <c r="E161" i="2"/>
  <c r="E228" i="2" s="1"/>
  <c r="I161" i="2"/>
  <c r="I228" i="2" s="1"/>
  <c r="E233" i="2"/>
  <c r="O244" i="2"/>
  <c r="O252" i="2"/>
  <c r="Q161" i="2"/>
  <c r="Q228" i="2" s="1"/>
  <c r="E226" i="2"/>
  <c r="N161" i="2"/>
  <c r="N228" i="2" s="1"/>
  <c r="D247" i="2"/>
  <c r="Q247" i="2"/>
  <c r="N220" i="2"/>
  <c r="G161" i="2"/>
  <c r="G228" i="2" s="1"/>
  <c r="J153" i="2"/>
  <c r="J220" i="2" s="1"/>
  <c r="M153" i="2"/>
  <c r="H161" i="2"/>
  <c r="H228" i="2" s="1"/>
  <c r="O261" i="2"/>
  <c r="P161" i="2"/>
  <c r="P228" i="2" s="1"/>
  <c r="M220" i="2"/>
  <c r="G480" i="2"/>
  <c r="G406" i="2" s="1"/>
  <c r="G41" i="2" s="1"/>
  <c r="G249" i="2" s="1"/>
  <c r="P226" i="2"/>
  <c r="J161" i="2"/>
  <c r="J228" i="2" s="1"/>
  <c r="L270" i="2"/>
  <c r="G213" i="2"/>
  <c r="I507" i="2"/>
  <c r="I433" i="2" s="1"/>
  <c r="I68" i="2" s="1"/>
  <c r="O160" i="2"/>
  <c r="O227" i="2" s="1"/>
  <c r="G261" i="2"/>
  <c r="D219" i="2"/>
  <c r="O247" i="2"/>
  <c r="L216" i="2"/>
  <c r="J264" i="2"/>
  <c r="D240" i="2"/>
  <c r="D174" i="2"/>
  <c r="D241" i="2" s="1"/>
  <c r="P174" i="2"/>
  <c r="P241" i="2" s="1"/>
  <c r="O174" i="2"/>
  <c r="O241" i="2" s="1"/>
  <c r="N174" i="2"/>
  <c r="N241" i="2" s="1"/>
  <c r="E174" i="2"/>
  <c r="E241" i="2" s="1"/>
  <c r="G174" i="2"/>
  <c r="H174" i="2"/>
  <c r="K174" i="2"/>
  <c r="K241" i="2" s="1"/>
  <c r="I174" i="2"/>
  <c r="I241" i="2" s="1"/>
  <c r="M174" i="2"/>
  <c r="M241" i="2" s="1"/>
  <c r="C174" i="2"/>
  <c r="C241" i="2" s="1"/>
  <c r="L174" i="2"/>
  <c r="L241" i="2" s="1"/>
  <c r="Q174" i="2"/>
  <c r="Q241" i="2" s="1"/>
  <c r="F174" i="2"/>
  <c r="F241" i="2" s="1"/>
  <c r="J174" i="2"/>
  <c r="J241" i="2" s="1"/>
  <c r="N154" i="2"/>
  <c r="N221" i="2" s="1"/>
  <c r="Q154" i="2"/>
  <c r="Q221" i="2" s="1"/>
  <c r="D154" i="2"/>
  <c r="D221" i="2" s="1"/>
  <c r="L202" i="2"/>
  <c r="L269" i="2" s="1"/>
  <c r="Q202" i="2"/>
  <c r="Q269" i="2" s="1"/>
  <c r="C202" i="2"/>
  <c r="C269" i="2" s="1"/>
  <c r="K202" i="2"/>
  <c r="K269" i="2" s="1"/>
  <c r="P202" i="2"/>
  <c r="P269" i="2" s="1"/>
  <c r="H202" i="2"/>
  <c r="H269" i="2" s="1"/>
  <c r="I202" i="2"/>
  <c r="I269" i="2" s="1"/>
  <c r="M202" i="2"/>
  <c r="M269" i="2" s="1"/>
  <c r="O202" i="2"/>
  <c r="O269" i="2" s="1"/>
  <c r="D202" i="2"/>
  <c r="D269" i="2" s="1"/>
  <c r="E202" i="2"/>
  <c r="E269" i="2" s="1"/>
  <c r="J202" i="2"/>
  <c r="J269" i="2" s="1"/>
  <c r="G202" i="2"/>
  <c r="G269" i="2" s="1"/>
  <c r="N202" i="2"/>
  <c r="N269" i="2" s="1"/>
  <c r="F202" i="2"/>
  <c r="F269" i="2" s="1"/>
  <c r="M247" i="2"/>
  <c r="C160" i="2"/>
  <c r="C227" i="2" s="1"/>
  <c r="O270" i="2"/>
  <c r="M245" i="2"/>
  <c r="I251" i="2"/>
  <c r="H249" i="2"/>
  <c r="G448" i="2"/>
  <c r="G374" i="2" s="1"/>
  <c r="G9" i="2" s="1"/>
  <c r="G217" i="2" s="1"/>
  <c r="O215" i="2"/>
  <c r="G481" i="2"/>
  <c r="G407" i="2" s="1"/>
  <c r="G42" i="2" s="1"/>
  <c r="P507" i="2"/>
  <c r="P433" i="2" s="1"/>
  <c r="P68" i="2" s="1"/>
  <c r="P70" i="2" s="1"/>
  <c r="P160" i="2"/>
  <c r="P227" i="2" s="1"/>
  <c r="G237" i="2"/>
  <c r="N254" i="2"/>
  <c r="H213" i="2"/>
  <c r="H241" i="2"/>
  <c r="F260" i="2"/>
  <c r="L220" i="2"/>
  <c r="E20" i="36"/>
  <c r="AC45" i="36" s="1"/>
  <c r="Q201" i="2"/>
  <c r="Q268" i="2" s="1"/>
  <c r="D201" i="2"/>
  <c r="D268" i="2" s="1"/>
  <c r="I201" i="2"/>
  <c r="I268" i="2" s="1"/>
  <c r="N201" i="2"/>
  <c r="N268" i="2" s="1"/>
  <c r="M201" i="2"/>
  <c r="M268" i="2" s="1"/>
  <c r="E201" i="2"/>
  <c r="E268" i="2" s="1"/>
  <c r="F201" i="2"/>
  <c r="F268" i="2" s="1"/>
  <c r="G201" i="2"/>
  <c r="G268" i="2" s="1"/>
  <c r="L201" i="2"/>
  <c r="L268" i="2" s="1"/>
  <c r="J201" i="2"/>
  <c r="J268" i="2" s="1"/>
  <c r="C201" i="2"/>
  <c r="C268" i="2" s="1"/>
  <c r="H201" i="2"/>
  <c r="H268" i="2" s="1"/>
  <c r="K201" i="2"/>
  <c r="K268" i="2" s="1"/>
  <c r="O201" i="2"/>
  <c r="O268" i="2" s="1"/>
  <c r="P201" i="2"/>
  <c r="P268" i="2" s="1"/>
  <c r="O165" i="2"/>
  <c r="O232" i="2" s="1"/>
  <c r="C165" i="2"/>
  <c r="C232" i="2" s="1"/>
  <c r="N165" i="2"/>
  <c r="N232" i="2" s="1"/>
  <c r="D165" i="2"/>
  <c r="D232" i="2" s="1"/>
  <c r="P165" i="2"/>
  <c r="P232" i="2" s="1"/>
  <c r="K165" i="2"/>
  <c r="K232" i="2" s="1"/>
  <c r="H52" i="35"/>
  <c r="E52" i="35"/>
  <c r="E71" i="35" s="1"/>
  <c r="G52" i="35"/>
  <c r="F52" i="35"/>
  <c r="S53" i="35"/>
  <c r="L226" i="2"/>
  <c r="Q243" i="2"/>
  <c r="L165" i="2"/>
  <c r="L232" i="2" s="1"/>
  <c r="E165" i="2"/>
  <c r="E232" i="2" s="1"/>
  <c r="I52" i="5"/>
  <c r="L181" i="2"/>
  <c r="L248" i="2" s="1"/>
  <c r="K181" i="2"/>
  <c r="K248" i="2" s="1"/>
  <c r="D181" i="2"/>
  <c r="D248" i="2" s="1"/>
  <c r="M181" i="2"/>
  <c r="M248" i="2" s="1"/>
  <c r="H181" i="2"/>
  <c r="H248" i="2" s="1"/>
  <c r="G181" i="2"/>
  <c r="G248" i="2" s="1"/>
  <c r="E181" i="2"/>
  <c r="E248" i="2" s="1"/>
  <c r="F181" i="2"/>
  <c r="F248" i="2" s="1"/>
  <c r="I181" i="2"/>
  <c r="I248" i="2" s="1"/>
  <c r="C181" i="2"/>
  <c r="C248" i="2" s="1"/>
  <c r="O181" i="2"/>
  <c r="O248" i="2" s="1"/>
  <c r="Q181" i="2"/>
  <c r="Q248" i="2" s="1"/>
  <c r="J181" i="2"/>
  <c r="J248" i="2" s="1"/>
  <c r="N181" i="2"/>
  <c r="N248" i="2" s="1"/>
  <c r="P181" i="2"/>
  <c r="P248" i="2" s="1"/>
  <c r="K224" i="2"/>
  <c r="G154" i="35"/>
  <c r="H154" i="35" s="1"/>
  <c r="I154" i="35" s="1"/>
  <c r="J154" i="35" s="1"/>
  <c r="K154" i="35" s="1"/>
  <c r="L154" i="35" s="1"/>
  <c r="M154" i="35" s="1"/>
  <c r="N154" i="35" s="1"/>
  <c r="O154" i="35" s="1"/>
  <c r="P154" i="35" s="1"/>
  <c r="Q154" i="35" s="1"/>
  <c r="R154" i="35" s="1"/>
  <c r="N226" i="2"/>
  <c r="F249" i="2"/>
  <c r="J165" i="2"/>
  <c r="J232" i="2" s="1"/>
  <c r="H165" i="2"/>
  <c r="H232" i="2" s="1"/>
  <c r="O253" i="2"/>
  <c r="E264" i="2"/>
  <c r="Q224" i="2"/>
  <c r="G443" i="2"/>
  <c r="G369" i="2" s="1"/>
  <c r="G4" i="2" s="1"/>
  <c r="G485" i="2"/>
  <c r="G411" i="2" s="1"/>
  <c r="G46" i="2" s="1"/>
  <c r="G254" i="2" s="1"/>
  <c r="I259" i="2"/>
  <c r="G476" i="2"/>
  <c r="G402" i="2" s="1"/>
  <c r="G37" i="2" s="1"/>
  <c r="N52" i="5"/>
  <c r="M226" i="2"/>
  <c r="G452" i="2"/>
  <c r="G378" i="2" s="1"/>
  <c r="G13" i="2" s="1"/>
  <c r="G221" i="2" s="1"/>
  <c r="Z93" i="35"/>
  <c r="Y93" i="35"/>
  <c r="AD93" i="35"/>
  <c r="AA93" i="35"/>
  <c r="AB93" i="35"/>
  <c r="AG93" i="35"/>
  <c r="AF93" i="35"/>
  <c r="AE93" i="35"/>
  <c r="AC93" i="35"/>
  <c r="X93" i="35"/>
  <c r="X112" i="35" s="1"/>
  <c r="Y112" i="35" s="1"/>
  <c r="AL94" i="35"/>
  <c r="L145" i="2"/>
  <c r="L212" i="2" s="1"/>
  <c r="P145" i="2"/>
  <c r="P212" i="2" s="1"/>
  <c r="K145" i="2"/>
  <c r="K212" i="2" s="1"/>
  <c r="D145" i="2"/>
  <c r="D212" i="2" s="1"/>
  <c r="Q145" i="2"/>
  <c r="Q212" i="2" s="1"/>
  <c r="M145" i="2"/>
  <c r="M212" i="2" s="1"/>
  <c r="J145" i="2"/>
  <c r="J212" i="2" s="1"/>
  <c r="H145" i="2"/>
  <c r="H212" i="2" s="1"/>
  <c r="I145" i="2"/>
  <c r="I212" i="2" s="1"/>
  <c r="G145" i="2"/>
  <c r="O145" i="2"/>
  <c r="O212" i="2" s="1"/>
  <c r="N145" i="2"/>
  <c r="N212" i="2" s="1"/>
  <c r="F145" i="2"/>
  <c r="F212" i="2" s="1"/>
  <c r="C145" i="2"/>
  <c r="C212" i="2" s="1"/>
  <c r="E145" i="2"/>
  <c r="E212" i="2" s="1"/>
  <c r="Q237" i="2"/>
  <c r="M165" i="2"/>
  <c r="M232" i="2" s="1"/>
  <c r="C169" i="2"/>
  <c r="C236" i="2" s="1"/>
  <c r="M169" i="2"/>
  <c r="M236" i="2" s="1"/>
  <c r="E169" i="2"/>
  <c r="E236" i="2" s="1"/>
  <c r="L169" i="2"/>
  <c r="L236" i="2" s="1"/>
  <c r="O169" i="2"/>
  <c r="O236" i="2" s="1"/>
  <c r="Q169" i="2"/>
  <c r="Q236" i="2" s="1"/>
  <c r="G169" i="2"/>
  <c r="G236" i="2" s="1"/>
  <c r="N169" i="2"/>
  <c r="N236" i="2" s="1"/>
  <c r="H169" i="2"/>
  <c r="H236" i="2" s="1"/>
  <c r="D169" i="2"/>
  <c r="D236" i="2" s="1"/>
  <c r="J169" i="2"/>
  <c r="J236" i="2" s="1"/>
  <c r="P169" i="2"/>
  <c r="P236" i="2" s="1"/>
  <c r="F169" i="2"/>
  <c r="F236" i="2" s="1"/>
  <c r="K169" i="2"/>
  <c r="K236" i="2" s="1"/>
  <c r="I169" i="2"/>
  <c r="I236" i="2" s="1"/>
  <c r="G472" i="2"/>
  <c r="G398" i="2" s="1"/>
  <c r="G33" i="2" s="1"/>
  <c r="I243" i="2"/>
  <c r="AG15" i="35"/>
  <c r="AI15" i="35"/>
  <c r="AA15" i="35"/>
  <c r="AB15" i="35"/>
  <c r="AH15" i="35"/>
  <c r="AE15" i="35"/>
  <c r="Y15" i="35"/>
  <c r="Y33" i="35" s="1"/>
  <c r="AJ15" i="35"/>
  <c r="Z15" i="35"/>
  <c r="AF15" i="35"/>
  <c r="AL16" i="35"/>
  <c r="AC15" i="35"/>
  <c r="AD15" i="35"/>
  <c r="AK15" i="35"/>
  <c r="K507" i="2"/>
  <c r="K433" i="2" s="1"/>
  <c r="K68" i="2" s="1"/>
  <c r="L251" i="2"/>
  <c r="W128" i="35"/>
  <c r="Y18" i="34" s="1"/>
  <c r="E39" i="34" s="1"/>
  <c r="E52" i="34" s="1"/>
  <c r="G7" i="36" s="1"/>
  <c r="M507" i="2"/>
  <c r="M433" i="2" s="1"/>
  <c r="M68" i="2" s="1"/>
  <c r="M70" i="2" s="1"/>
  <c r="R52" i="5"/>
  <c r="K237" i="2"/>
  <c r="P261" i="2"/>
  <c r="F219" i="2"/>
  <c r="Q219" i="2"/>
  <c r="I165" i="2"/>
  <c r="I232" i="2" s="1"/>
  <c r="Q165" i="2"/>
  <c r="Q232" i="2" s="1"/>
  <c r="E253" i="2"/>
  <c r="L253" i="2"/>
  <c r="L247" i="2"/>
  <c r="G245" i="2"/>
  <c r="G484" i="2"/>
  <c r="G410" i="2" s="1"/>
  <c r="G45" i="2" s="1"/>
  <c r="G253" i="2" s="1"/>
  <c r="I6" i="32"/>
  <c r="I7" i="32" s="1"/>
  <c r="K52" i="5"/>
  <c r="G453" i="2"/>
  <c r="G379" i="2" s="1"/>
  <c r="G14" i="2" s="1"/>
  <c r="G222" i="2" s="1"/>
  <c r="L7" i="32"/>
  <c r="F243" i="2"/>
  <c r="J226" i="2"/>
  <c r="E5" i="36"/>
  <c r="AW5" i="36"/>
  <c r="X30" i="35"/>
  <c r="W47" i="35"/>
  <c r="Y16" i="34" s="1"/>
  <c r="E37" i="34" s="1"/>
  <c r="E50" i="34" s="1"/>
  <c r="I216" i="2"/>
  <c r="Y32" i="35"/>
  <c r="Z32" i="35" s="1"/>
  <c r="AA32" i="35" s="1"/>
  <c r="AB32" i="35" s="1"/>
  <c r="AC32" i="35" s="1"/>
  <c r="AD32" i="35" s="1"/>
  <c r="AE32" i="35" s="1"/>
  <c r="AF32" i="35" s="1"/>
  <c r="AG32" i="35" s="1"/>
  <c r="AH32" i="35" s="1"/>
  <c r="AI32" i="35" s="1"/>
  <c r="AJ32" i="35" s="1"/>
  <c r="AK32" i="35" s="1"/>
  <c r="E70" i="35"/>
  <c r="D87" i="35"/>
  <c r="E16" i="34" s="1"/>
  <c r="E41" i="34" s="1"/>
  <c r="E54" i="34" s="1"/>
  <c r="G9" i="36" s="1"/>
  <c r="E21" i="36"/>
  <c r="R201" i="2"/>
  <c r="W87" i="35"/>
  <c r="Y17" i="34" s="1"/>
  <c r="E38" i="34" s="1"/>
  <c r="E51" i="34" s="1"/>
  <c r="G6" i="36" s="1"/>
  <c r="X69" i="35"/>
  <c r="Q230" i="2"/>
  <c r="P246" i="2"/>
  <c r="P245" i="2"/>
  <c r="Q254" i="2"/>
  <c r="O6" i="32"/>
  <c r="O7" i="32" s="1"/>
  <c r="Q52" i="5"/>
  <c r="G486" i="2"/>
  <c r="G412" i="2" s="1"/>
  <c r="G47" i="2" s="1"/>
  <c r="G255" i="2" s="1"/>
  <c r="S46" i="5"/>
  <c r="S54" i="5"/>
  <c r="Q6" i="32" s="1"/>
  <c r="E6" i="32"/>
  <c r="E7" i="32" s="1"/>
  <c r="G52" i="5"/>
  <c r="E507" i="2"/>
  <c r="E433" i="2" s="1"/>
  <c r="E68" i="2" s="1"/>
  <c r="E70" i="2" s="1"/>
  <c r="E229" i="2"/>
  <c r="Q507" i="2"/>
  <c r="Q433" i="2" s="1"/>
  <c r="Q68" i="2" s="1"/>
  <c r="Q70" i="2" s="1"/>
  <c r="P646" i="2"/>
  <c r="F160" i="2"/>
  <c r="F227" i="2" s="1"/>
  <c r="M160" i="2"/>
  <c r="M227" i="2" s="1"/>
  <c r="Q160" i="2"/>
  <c r="Q227" i="2" s="1"/>
  <c r="J160" i="2"/>
  <c r="J227" i="2" s="1"/>
  <c r="D34" i="8"/>
  <c r="D51" i="8" s="1"/>
  <c r="D66" i="8" s="1"/>
  <c r="D31" i="8"/>
  <c r="D48" i="8" s="1"/>
  <c r="D63" i="8" s="1"/>
  <c r="E25" i="8"/>
  <c r="E35" i="8" s="1"/>
  <c r="E52" i="8" s="1"/>
  <c r="E67" i="8" s="1"/>
  <c r="D30" i="8"/>
  <c r="D47" i="8" s="1"/>
  <c r="D62" i="8" s="1"/>
  <c r="D32" i="8"/>
  <c r="D39" i="8"/>
  <c r="D56" i="8" s="1"/>
  <c r="D71" i="8" s="1"/>
  <c r="D36" i="8"/>
  <c r="D53" i="8" s="1"/>
  <c r="D68" i="8" s="1"/>
  <c r="D29" i="8"/>
  <c r="D38" i="8"/>
  <c r="D37" i="8"/>
  <c r="D33" i="8"/>
  <c r="Q5" i="32"/>
  <c r="E246" i="2"/>
  <c r="N217" i="2"/>
  <c r="I578" i="2"/>
  <c r="G112" i="35"/>
  <c r="H112" i="35" s="1"/>
  <c r="I112" i="35" s="1"/>
  <c r="J112" i="35" s="1"/>
  <c r="K112" i="35" s="1"/>
  <c r="L112" i="35" s="1"/>
  <c r="M112" i="35" s="1"/>
  <c r="N112" i="35" s="1"/>
  <c r="O112" i="35" s="1"/>
  <c r="P112" i="35" s="1"/>
  <c r="Q112" i="35" s="1"/>
  <c r="R112" i="35" s="1"/>
  <c r="H160" i="2"/>
  <c r="K160" i="2"/>
  <c r="K227" i="2" s="1"/>
  <c r="D160" i="2"/>
  <c r="D227" i="2" s="1"/>
  <c r="E160" i="2"/>
  <c r="E227" i="2" s="1"/>
  <c r="N160" i="2"/>
  <c r="N227" i="2" s="1"/>
  <c r="I160" i="2"/>
  <c r="I227" i="2" s="1"/>
  <c r="G503" i="2"/>
  <c r="G429" i="2" s="1"/>
  <c r="G64" i="2" s="1"/>
  <c r="G272" i="2" s="1"/>
  <c r="C6" i="32"/>
  <c r="P19" i="32" s="1"/>
  <c r="E52" i="5"/>
  <c r="K245" i="2"/>
  <c r="G4" i="32"/>
  <c r="G10" i="32" s="1"/>
  <c r="H4" i="32"/>
  <c r="F10" i="32"/>
  <c r="H6" i="32"/>
  <c r="H7" i="32" s="1"/>
  <c r="J52" i="5"/>
  <c r="J5" i="32"/>
  <c r="J24" i="32" s="1"/>
  <c r="L52" i="5"/>
  <c r="F194" i="35"/>
  <c r="G194" i="35" s="1"/>
  <c r="Q578" i="2"/>
  <c r="E31" i="35"/>
  <c r="F31" i="35" s="1"/>
  <c r="G31" i="35" s="1"/>
  <c r="H31" i="35" s="1"/>
  <c r="I31" i="35" s="1"/>
  <c r="J31" i="35" s="1"/>
  <c r="K31" i="35" s="1"/>
  <c r="L31" i="35" s="1"/>
  <c r="M31" i="35" s="1"/>
  <c r="N31" i="35" s="1"/>
  <c r="O31" i="35" s="1"/>
  <c r="P31" i="35" s="1"/>
  <c r="Q31" i="35" s="1"/>
  <c r="R31" i="35" s="1"/>
  <c r="L507" i="2"/>
  <c r="N24" i="32"/>
  <c r="F261" i="2"/>
  <c r="J110" i="35"/>
  <c r="M216" i="2"/>
  <c r="AL55" i="35"/>
  <c r="AD54" i="35"/>
  <c r="AA54" i="35"/>
  <c r="AF54" i="35"/>
  <c r="AE54" i="35"/>
  <c r="AH54" i="35"/>
  <c r="AJ54" i="35"/>
  <c r="Z54" i="35"/>
  <c r="Z73" i="35" s="1"/>
  <c r="AB54" i="35"/>
  <c r="AK54" i="35"/>
  <c r="AC54" i="35"/>
  <c r="AI54" i="35"/>
  <c r="AG54" i="35"/>
  <c r="G471" i="2"/>
  <c r="G397" i="2" s="1"/>
  <c r="G32" i="2" s="1"/>
  <c r="G240" i="2" s="1"/>
  <c r="L214" i="2"/>
  <c r="G458" i="2"/>
  <c r="G384" i="2" s="1"/>
  <c r="G19" i="2" s="1"/>
  <c r="G227" i="2" s="1"/>
  <c r="H194" i="35"/>
  <c r="I194" i="35" s="1"/>
  <c r="J194" i="35" s="1"/>
  <c r="K194" i="35" s="1"/>
  <c r="L194" i="35" s="1"/>
  <c r="M194" i="35" s="1"/>
  <c r="N194" i="35" s="1"/>
  <c r="O194" i="35" s="1"/>
  <c r="P194" i="35" s="1"/>
  <c r="Q194" i="35" s="1"/>
  <c r="R194" i="35" s="1"/>
  <c r="H175" i="2"/>
  <c r="H242" i="2" s="1"/>
  <c r="Q175" i="2"/>
  <c r="Q242" i="2" s="1"/>
  <c r="N175" i="2"/>
  <c r="N242" i="2" s="1"/>
  <c r="D175" i="2"/>
  <c r="D242" i="2" s="1"/>
  <c r="O175" i="2"/>
  <c r="O242" i="2" s="1"/>
  <c r="J175" i="2"/>
  <c r="J242" i="2" s="1"/>
  <c r="I175" i="2"/>
  <c r="I242" i="2" s="1"/>
  <c r="P175" i="2"/>
  <c r="P242" i="2" s="1"/>
  <c r="C175" i="2"/>
  <c r="C242" i="2" s="1"/>
  <c r="L175" i="2"/>
  <c r="L242" i="2" s="1"/>
  <c r="G175" i="2"/>
  <c r="G242" i="2" s="1"/>
  <c r="E175" i="2"/>
  <c r="E242" i="2" s="1"/>
  <c r="K175" i="2"/>
  <c r="K242" i="2" s="1"/>
  <c r="M175" i="2"/>
  <c r="M242" i="2" s="1"/>
  <c r="F175" i="2"/>
  <c r="F242" i="2" s="1"/>
  <c r="G460" i="2"/>
  <c r="G386" i="2" s="1"/>
  <c r="G21" i="2" s="1"/>
  <c r="G229" i="2" s="1"/>
  <c r="K380" i="2"/>
  <c r="K15" i="2" s="1"/>
  <c r="D507" i="2"/>
  <c r="D433" i="2" s="1"/>
  <c r="D68" i="2" s="1"/>
  <c r="M94" i="35"/>
  <c r="O94" i="35"/>
  <c r="H94" i="35"/>
  <c r="K94" i="35"/>
  <c r="L94" i="35"/>
  <c r="F94" i="35"/>
  <c r="F113" i="35" s="1"/>
  <c r="F128" i="35" s="1"/>
  <c r="G17" i="34" s="1"/>
  <c r="G42" i="34" s="1"/>
  <c r="G55" i="34" s="1"/>
  <c r="G94" i="35"/>
  <c r="S95" i="35"/>
  <c r="I94" i="35"/>
  <c r="N94" i="35"/>
  <c r="J94" i="35"/>
  <c r="F578" i="2"/>
  <c r="Z72" i="35"/>
  <c r="AA72" i="35" s="1"/>
  <c r="AB72" i="35" s="1"/>
  <c r="AC72" i="35" s="1"/>
  <c r="AD72" i="35" s="1"/>
  <c r="AE72" i="35" s="1"/>
  <c r="AF72" i="35" s="1"/>
  <c r="AG72" i="35" s="1"/>
  <c r="AH72" i="35" s="1"/>
  <c r="AI72" i="35" s="1"/>
  <c r="AJ72" i="35" s="1"/>
  <c r="AK72" i="35" s="1"/>
  <c r="H507" i="2"/>
  <c r="H433" i="2" s="1"/>
  <c r="H68" i="2" s="1"/>
  <c r="D20" i="34"/>
  <c r="D40" i="34"/>
  <c r="D53" i="34" s="1"/>
  <c r="F8" i="36" s="1"/>
  <c r="Q214" i="2"/>
  <c r="J136" i="35"/>
  <c r="H136" i="35"/>
  <c r="S137" i="35"/>
  <c r="I136" i="35"/>
  <c r="G136" i="35"/>
  <c r="G155" i="35" s="1"/>
  <c r="K136" i="35"/>
  <c r="G501" i="2"/>
  <c r="G427" i="2" s="1"/>
  <c r="G62" i="2" s="1"/>
  <c r="G270" i="2" s="1"/>
  <c r="N578" i="2"/>
  <c r="G478" i="2"/>
  <c r="G404" i="2" s="1"/>
  <c r="G39" i="2" s="1"/>
  <c r="G247" i="2" s="1"/>
  <c r="G111" i="35"/>
  <c r="C371" i="2"/>
  <c r="C6" i="2" s="1"/>
  <c r="F216" i="2"/>
  <c r="F70" i="2"/>
  <c r="H384" i="2"/>
  <c r="H19" i="2" s="1"/>
  <c r="K69" i="35"/>
  <c r="O221" i="2"/>
  <c r="F151" i="35"/>
  <c r="E169" i="35"/>
  <c r="F18" i="34" s="1"/>
  <c r="F43" i="34" s="1"/>
  <c r="F56" i="34" s="1"/>
  <c r="H11" i="36" s="1"/>
  <c r="G510" i="2"/>
  <c r="Y110" i="35"/>
  <c r="D52" i="34"/>
  <c r="K183" i="2"/>
  <c r="K250" i="2" s="1"/>
  <c r="M183" i="2"/>
  <c r="M250" i="2" s="1"/>
  <c r="J183" i="2"/>
  <c r="J250" i="2" s="1"/>
  <c r="H183" i="2"/>
  <c r="H250" i="2" s="1"/>
  <c r="O183" i="2"/>
  <c r="O250" i="2" s="1"/>
  <c r="E183" i="2"/>
  <c r="E250" i="2" s="1"/>
  <c r="G183" i="2"/>
  <c r="G250" i="2" s="1"/>
  <c r="P183" i="2"/>
  <c r="P250" i="2" s="1"/>
  <c r="F183" i="2"/>
  <c r="F250" i="2" s="1"/>
  <c r="Q183" i="2"/>
  <c r="Q250" i="2" s="1"/>
  <c r="D183" i="2"/>
  <c r="D250" i="2" s="1"/>
  <c r="N183" i="2"/>
  <c r="N250" i="2" s="1"/>
  <c r="I183" i="2"/>
  <c r="I250" i="2" s="1"/>
  <c r="L183" i="2"/>
  <c r="L250" i="2" s="1"/>
  <c r="C183" i="2"/>
  <c r="C250" i="2" s="1"/>
  <c r="N14" i="35"/>
  <c r="H14" i="35"/>
  <c r="E14" i="35"/>
  <c r="E32" i="35" s="1"/>
  <c r="F14" i="35"/>
  <c r="K14" i="35"/>
  <c r="S15" i="35"/>
  <c r="L14" i="35"/>
  <c r="I14" i="35"/>
  <c r="J14" i="35"/>
  <c r="G14" i="35"/>
  <c r="M14" i="35"/>
  <c r="D387" i="2"/>
  <c r="D22" i="2" s="1"/>
  <c r="G711" i="2"/>
  <c r="G646" i="2" s="1"/>
  <c r="E128" i="35"/>
  <c r="F17" i="34" s="1"/>
  <c r="F42" i="34" s="1"/>
  <c r="F55" i="34" s="1"/>
  <c r="H10" i="36" s="1"/>
  <c r="C507" i="2"/>
  <c r="C433" i="2" s="1"/>
  <c r="C68" i="2" s="1"/>
  <c r="BA12" i="36"/>
  <c r="BB12" i="36"/>
  <c r="F442" i="2"/>
  <c r="J507" i="2"/>
  <c r="J433" i="2" s="1"/>
  <c r="J68" i="2" s="1"/>
  <c r="J70" i="2" s="1"/>
  <c r="D47" i="35"/>
  <c r="E15" i="34" s="1"/>
  <c r="E30" i="35"/>
  <c r="K578" i="2"/>
  <c r="N371" i="2"/>
  <c r="N6" i="2" s="1"/>
  <c r="N442" i="2"/>
  <c r="I378" i="2"/>
  <c r="I13" i="2" s="1"/>
  <c r="I442" i="2"/>
  <c r="E578" i="2"/>
  <c r="H158" i="2"/>
  <c r="H225" i="2" s="1"/>
  <c r="F158" i="2"/>
  <c r="F225" i="2" s="1"/>
  <c r="Q158" i="2"/>
  <c r="Q225" i="2" s="1"/>
  <c r="E158" i="2"/>
  <c r="E225" i="2" s="1"/>
  <c r="N158" i="2"/>
  <c r="N225" i="2" s="1"/>
  <c r="I158" i="2"/>
  <c r="I225" i="2" s="1"/>
  <c r="G158" i="2"/>
  <c r="G225" i="2" s="1"/>
  <c r="M158" i="2"/>
  <c r="M225" i="2" s="1"/>
  <c r="C158" i="2"/>
  <c r="C225" i="2" s="1"/>
  <c r="P158" i="2"/>
  <c r="P225" i="2" s="1"/>
  <c r="D158" i="2"/>
  <c r="D225" i="2" s="1"/>
  <c r="J158" i="2"/>
  <c r="J225" i="2" s="1"/>
  <c r="L158" i="2"/>
  <c r="L225" i="2" s="1"/>
  <c r="O158" i="2"/>
  <c r="O225" i="2" s="1"/>
  <c r="K158" i="2"/>
  <c r="K225" i="2" s="1"/>
  <c r="N167" i="2"/>
  <c r="N234" i="2" s="1"/>
  <c r="K167" i="2"/>
  <c r="K234" i="2" s="1"/>
  <c r="M167" i="2"/>
  <c r="M234" i="2" s="1"/>
  <c r="I167" i="2"/>
  <c r="I234" i="2" s="1"/>
  <c r="G167" i="2"/>
  <c r="G234" i="2" s="1"/>
  <c r="E167" i="2"/>
  <c r="E234" i="2" s="1"/>
  <c r="O167" i="2"/>
  <c r="O234" i="2" s="1"/>
  <c r="H167" i="2"/>
  <c r="H234" i="2" s="1"/>
  <c r="L167" i="2"/>
  <c r="L234" i="2" s="1"/>
  <c r="Q167" i="2"/>
  <c r="Q234" i="2" s="1"/>
  <c r="F167" i="2"/>
  <c r="F234" i="2" s="1"/>
  <c r="J167" i="2"/>
  <c r="J234" i="2" s="1"/>
  <c r="C167" i="2"/>
  <c r="C234" i="2" s="1"/>
  <c r="P167" i="2"/>
  <c r="P234" i="2" s="1"/>
  <c r="D167" i="2"/>
  <c r="D234" i="2" s="1"/>
  <c r="E192" i="35"/>
  <c r="D210" i="35"/>
  <c r="E19" i="34" s="1"/>
  <c r="E44" i="34" s="1"/>
  <c r="E57" i="34" s="1"/>
  <c r="G12" i="36" s="1"/>
  <c r="O176" i="35"/>
  <c r="N176" i="35"/>
  <c r="H176" i="35"/>
  <c r="L176" i="35"/>
  <c r="F176" i="35"/>
  <c r="F195" i="35" s="1"/>
  <c r="M176" i="35"/>
  <c r="J176" i="35"/>
  <c r="S177" i="35"/>
  <c r="G176" i="35"/>
  <c r="K176" i="35"/>
  <c r="I176" i="35"/>
  <c r="J578" i="2"/>
  <c r="N222" i="2"/>
  <c r="L578" i="2"/>
  <c r="G445" i="2"/>
  <c r="G643" i="2"/>
  <c r="O442" i="2" l="1"/>
  <c r="H442" i="2"/>
  <c r="P442" i="2"/>
  <c r="AC46" i="36"/>
  <c r="X128" i="35"/>
  <c r="Z18" i="34" s="1"/>
  <c r="F39" i="34" s="1"/>
  <c r="F52" i="34" s="1"/>
  <c r="H7" i="36" s="1"/>
  <c r="AA73" i="35"/>
  <c r="AB73" i="35" s="1"/>
  <c r="AC73" i="35" s="1"/>
  <c r="AD73" i="35" s="1"/>
  <c r="AE73" i="35" s="1"/>
  <c r="AF73" i="35" s="1"/>
  <c r="AG73" i="35" s="1"/>
  <c r="AH73" i="35" s="1"/>
  <c r="AI73" i="35" s="1"/>
  <c r="AJ73" i="35" s="1"/>
  <c r="AK73" i="35" s="1"/>
  <c r="Z112" i="35"/>
  <c r="AA112" i="35" s="1"/>
  <c r="AB112" i="35" s="1"/>
  <c r="AC112" i="35" s="1"/>
  <c r="AD112" i="35" s="1"/>
  <c r="AE112" i="35" s="1"/>
  <c r="AF112" i="35" s="1"/>
  <c r="AG112" i="35" s="1"/>
  <c r="AH112" i="35" s="1"/>
  <c r="AI112" i="35" s="1"/>
  <c r="AJ112" i="35" s="1"/>
  <c r="AK112" i="35" s="1"/>
  <c r="Z33" i="35"/>
  <c r="AA33" i="35" s="1"/>
  <c r="AB33" i="35" s="1"/>
  <c r="AC33" i="35" s="1"/>
  <c r="AD33" i="35" s="1"/>
  <c r="AE33" i="35" s="1"/>
  <c r="AF33" i="35" s="1"/>
  <c r="AG33" i="35" s="1"/>
  <c r="AH33" i="35" s="1"/>
  <c r="AI33" i="35" s="1"/>
  <c r="AJ33" i="35" s="1"/>
  <c r="AK33" i="35" s="1"/>
  <c r="F71" i="35"/>
  <c r="G71" i="35" s="1"/>
  <c r="H71" i="35" s="1"/>
  <c r="I71" i="35" s="1"/>
  <c r="J71" i="35" s="1"/>
  <c r="K71" i="35" s="1"/>
  <c r="L71" i="35" s="1"/>
  <c r="M71" i="35" s="1"/>
  <c r="N71" i="35" s="1"/>
  <c r="O71" i="35" s="1"/>
  <c r="P71" i="35" s="1"/>
  <c r="Q71" i="35" s="1"/>
  <c r="R71" i="35" s="1"/>
  <c r="K442" i="2"/>
  <c r="G241" i="2"/>
  <c r="G212" i="2"/>
  <c r="F20" i="36"/>
  <c r="E33" i="36"/>
  <c r="X87" i="35"/>
  <c r="Z17" i="34" s="1"/>
  <c r="F38" i="34" s="1"/>
  <c r="F51" i="34" s="1"/>
  <c r="H6" i="36" s="1"/>
  <c r="Y69" i="35"/>
  <c r="F70" i="35"/>
  <c r="E87" i="35"/>
  <c r="F16" i="34" s="1"/>
  <c r="F41" i="34" s="1"/>
  <c r="F54" i="34" s="1"/>
  <c r="H9" i="36" s="1"/>
  <c r="Y30" i="35"/>
  <c r="X47" i="35"/>
  <c r="Z16" i="34" s="1"/>
  <c r="F37" i="34" s="1"/>
  <c r="AJ16" i="35"/>
  <c r="AB16" i="35"/>
  <c r="AK16" i="35"/>
  <c r="AI16" i="35"/>
  <c r="AD16" i="35"/>
  <c r="AE16" i="35"/>
  <c r="AH16" i="35"/>
  <c r="AL17" i="35"/>
  <c r="Z16" i="35"/>
  <c r="Z34" i="35" s="1"/>
  <c r="AG16" i="35"/>
  <c r="AA16" i="35"/>
  <c r="AC16" i="35"/>
  <c r="AF16" i="35"/>
  <c r="F53" i="35"/>
  <c r="F72" i="35" s="1"/>
  <c r="I53" i="35"/>
  <c r="G53" i="35"/>
  <c r="S54" i="35"/>
  <c r="H53" i="35"/>
  <c r="Y20" i="34"/>
  <c r="E442" i="2"/>
  <c r="E34" i="36"/>
  <c r="AC49" i="36"/>
  <c r="AC51" i="36"/>
  <c r="F21" i="36"/>
  <c r="F37" i="36" s="1"/>
  <c r="AC50" i="36"/>
  <c r="AC48" i="36"/>
  <c r="E36" i="36"/>
  <c r="E39" i="36"/>
  <c r="E35" i="36"/>
  <c r="E37" i="36"/>
  <c r="AC52" i="36"/>
  <c r="AC47" i="36"/>
  <c r="E38" i="36"/>
  <c r="E32" i="36"/>
  <c r="E13" i="36"/>
  <c r="M442" i="2"/>
  <c r="AH94" i="35"/>
  <c r="AE94" i="35"/>
  <c r="Y94" i="35"/>
  <c r="Y113" i="35" s="1"/>
  <c r="Y128" i="35" s="1"/>
  <c r="AA18" i="34" s="1"/>
  <c r="G39" i="34" s="1"/>
  <c r="G52" i="34" s="1"/>
  <c r="AB94" i="35"/>
  <c r="AF94" i="35"/>
  <c r="AL95" i="35"/>
  <c r="AG94" i="35"/>
  <c r="AA94" i="35"/>
  <c r="Z94" i="35"/>
  <c r="AC94" i="35"/>
  <c r="AD94" i="35"/>
  <c r="AX5" i="36"/>
  <c r="AY5" i="36" s="1"/>
  <c r="AZ5" i="36" s="1"/>
  <c r="BA5" i="36" s="1"/>
  <c r="F5" i="36"/>
  <c r="Q442" i="2"/>
  <c r="Q7" i="32"/>
  <c r="D54" i="8"/>
  <c r="D69" i="8" s="1"/>
  <c r="D46" i="8"/>
  <c r="D40" i="8"/>
  <c r="D49" i="8"/>
  <c r="D64" i="8" s="1"/>
  <c r="E39" i="8"/>
  <c r="E56" i="8" s="1"/>
  <c r="E71" i="8" s="1"/>
  <c r="E34" i="8"/>
  <c r="E51" i="8" s="1"/>
  <c r="E66" i="8" s="1"/>
  <c r="E32" i="8"/>
  <c r="E49" i="8" s="1"/>
  <c r="E64" i="8" s="1"/>
  <c r="E29" i="8"/>
  <c r="F25" i="8"/>
  <c r="F35" i="8" s="1"/>
  <c r="F52" i="8" s="1"/>
  <c r="F67" i="8" s="1"/>
  <c r="E31" i="8"/>
  <c r="E48" i="8" s="1"/>
  <c r="E63" i="8" s="1"/>
  <c r="E38" i="8"/>
  <c r="E55" i="8" s="1"/>
  <c r="E70" i="8" s="1"/>
  <c r="E30" i="8"/>
  <c r="E47" i="8" s="1"/>
  <c r="E62" i="8" s="1"/>
  <c r="E33" i="8"/>
  <c r="E50" i="8" s="1"/>
  <c r="E65" i="8" s="1"/>
  <c r="E36" i="8"/>
  <c r="E53" i="8" s="1"/>
  <c r="E68" i="8" s="1"/>
  <c r="E37" i="8"/>
  <c r="E54" i="8" s="1"/>
  <c r="E69" i="8" s="1"/>
  <c r="G507" i="2"/>
  <c r="G433" i="2" s="1"/>
  <c r="G68" i="2" s="1"/>
  <c r="S52" i="5"/>
  <c r="D50" i="8"/>
  <c r="D65" i="8" s="1"/>
  <c r="D55" i="8"/>
  <c r="D70" i="8" s="1"/>
  <c r="Q24" i="32"/>
  <c r="H10" i="32"/>
  <c r="I4" i="32"/>
  <c r="M19" i="32"/>
  <c r="Q19" i="32"/>
  <c r="C7" i="32"/>
  <c r="L19" i="32"/>
  <c r="K19" i="32"/>
  <c r="D19" i="32"/>
  <c r="G19" i="32"/>
  <c r="R19" i="32"/>
  <c r="N19" i="32"/>
  <c r="H19" i="32"/>
  <c r="J19" i="32"/>
  <c r="O19" i="32"/>
  <c r="C19" i="32"/>
  <c r="E19" i="32"/>
  <c r="F19" i="32"/>
  <c r="I19" i="32"/>
  <c r="S19" i="32"/>
  <c r="J7" i="32"/>
  <c r="G195" i="35"/>
  <c r="H195" i="35" s="1"/>
  <c r="I195" i="35" s="1"/>
  <c r="J195" i="35" s="1"/>
  <c r="K195" i="35" s="1"/>
  <c r="L195" i="35" s="1"/>
  <c r="M195" i="35" s="1"/>
  <c r="N195" i="35" s="1"/>
  <c r="O195" i="35" s="1"/>
  <c r="P195" i="35" s="1"/>
  <c r="Q195" i="35" s="1"/>
  <c r="R195" i="35" s="1"/>
  <c r="G578" i="2"/>
  <c r="L433" i="2"/>
  <c r="L68" i="2" s="1"/>
  <c r="L70" i="2" s="1"/>
  <c r="L442" i="2"/>
  <c r="I221" i="2"/>
  <c r="I70" i="2"/>
  <c r="C70" i="2"/>
  <c r="C214" i="2"/>
  <c r="K223" i="2"/>
  <c r="K70" i="2"/>
  <c r="D45" i="34"/>
  <c r="Z110" i="35"/>
  <c r="J10" i="36"/>
  <c r="I10" i="36"/>
  <c r="G113" i="35"/>
  <c r="H113" i="35" s="1"/>
  <c r="I113" i="35" s="1"/>
  <c r="J113" i="35" s="1"/>
  <c r="K113" i="35" s="1"/>
  <c r="L113" i="35" s="1"/>
  <c r="M113" i="35" s="1"/>
  <c r="N113" i="35" s="1"/>
  <c r="O113" i="35" s="1"/>
  <c r="P113" i="35" s="1"/>
  <c r="Q113" i="35" s="1"/>
  <c r="R113" i="35" s="1"/>
  <c r="AC55" i="35"/>
  <c r="AI55" i="35"/>
  <c r="AG55" i="35"/>
  <c r="AH55" i="35"/>
  <c r="AA55" i="35"/>
  <c r="AA74" i="35" s="1"/>
  <c r="AF55" i="35"/>
  <c r="AE55" i="35"/>
  <c r="AJ55" i="35"/>
  <c r="AK55" i="35"/>
  <c r="AB55" i="35"/>
  <c r="AD55" i="35"/>
  <c r="AL56" i="35"/>
  <c r="G371" i="2"/>
  <c r="G6" i="2" s="1"/>
  <c r="K177" i="35"/>
  <c r="N177" i="35"/>
  <c r="H177" i="35"/>
  <c r="O177" i="35"/>
  <c r="G177" i="35"/>
  <c r="G196" i="35" s="1"/>
  <c r="J177" i="35"/>
  <c r="S178" i="35"/>
  <c r="M177" i="35"/>
  <c r="I177" i="35"/>
  <c r="P177" i="35"/>
  <c r="L177" i="35"/>
  <c r="J442" i="2"/>
  <c r="E20" i="34"/>
  <c r="E40" i="34"/>
  <c r="F32" i="35"/>
  <c r="G32" i="35" s="1"/>
  <c r="H32" i="35" s="1"/>
  <c r="I32" i="35" s="1"/>
  <c r="J32" i="35" s="1"/>
  <c r="K32" i="35" s="1"/>
  <c r="L32" i="35" s="1"/>
  <c r="M32" i="35" s="1"/>
  <c r="N32" i="35" s="1"/>
  <c r="O32" i="35" s="1"/>
  <c r="P32" i="35" s="1"/>
  <c r="Q32" i="35" s="1"/>
  <c r="R32" i="35" s="1"/>
  <c r="F7" i="36"/>
  <c r="D58" i="34"/>
  <c r="H111" i="35"/>
  <c r="G209" i="2"/>
  <c r="L209" i="2"/>
  <c r="L276" i="2" s="1"/>
  <c r="H209" i="2"/>
  <c r="H276" i="2" s="1"/>
  <c r="M209" i="2"/>
  <c r="M276" i="2" s="1"/>
  <c r="N282" i="2" s="1"/>
  <c r="F209" i="2"/>
  <c r="F276" i="2" s="1"/>
  <c r="G282" i="2" s="1"/>
  <c r="I209" i="2"/>
  <c r="I276" i="2" s="1"/>
  <c r="N209" i="2"/>
  <c r="N276" i="2" s="1"/>
  <c r="O209" i="2"/>
  <c r="O276" i="2" s="1"/>
  <c r="O285" i="2" s="1"/>
  <c r="C209" i="2"/>
  <c r="C276" i="2" s="1"/>
  <c r="P209" i="2"/>
  <c r="P276" i="2" s="1"/>
  <c r="Q209" i="2"/>
  <c r="Q276" i="2" s="1"/>
  <c r="E209" i="2"/>
  <c r="E276" i="2" s="1"/>
  <c r="D209" i="2"/>
  <c r="D276" i="2" s="1"/>
  <c r="K209" i="2"/>
  <c r="K276" i="2" s="1"/>
  <c r="J209" i="2"/>
  <c r="J276" i="2" s="1"/>
  <c r="D230" i="2"/>
  <c r="D70" i="2"/>
  <c r="F50" i="34"/>
  <c r="K110" i="35"/>
  <c r="E47" i="35"/>
  <c r="F15" i="34" s="1"/>
  <c r="F30" i="35"/>
  <c r="BC12" i="36"/>
  <c r="G151" i="35"/>
  <c r="F169" i="35"/>
  <c r="G18" i="34" s="1"/>
  <c r="G43" i="34" s="1"/>
  <c r="G56" i="34" s="1"/>
  <c r="H227" i="2"/>
  <c r="H70" i="2"/>
  <c r="C442" i="2"/>
  <c r="H155" i="35"/>
  <c r="I155" i="35" s="1"/>
  <c r="J155" i="35" s="1"/>
  <c r="K155" i="35" s="1"/>
  <c r="L155" i="35" s="1"/>
  <c r="M155" i="35" s="1"/>
  <c r="N155" i="35" s="1"/>
  <c r="O155" i="35" s="1"/>
  <c r="P155" i="35" s="1"/>
  <c r="Q155" i="35" s="1"/>
  <c r="R155" i="35" s="1"/>
  <c r="F192" i="35"/>
  <c r="E210" i="35"/>
  <c r="F19" i="34" s="1"/>
  <c r="F44" i="34" s="1"/>
  <c r="F57" i="34" s="1"/>
  <c r="H12" i="36" s="1"/>
  <c r="N214" i="2"/>
  <c r="N70" i="2"/>
  <c r="D442" i="2"/>
  <c r="N15" i="35"/>
  <c r="F15" i="35"/>
  <c r="F33" i="35" s="1"/>
  <c r="K15" i="35"/>
  <c r="I15" i="35"/>
  <c r="S16" i="35"/>
  <c r="G15" i="35"/>
  <c r="O15" i="35"/>
  <c r="L15" i="35"/>
  <c r="M15" i="35"/>
  <c r="J15" i="35"/>
  <c r="H15" i="35"/>
  <c r="L69" i="35"/>
  <c r="S138" i="35"/>
  <c r="K137" i="35"/>
  <c r="J137" i="35"/>
  <c r="I137" i="35"/>
  <c r="H137" i="35"/>
  <c r="H156" i="35" s="1"/>
  <c r="L137" i="35"/>
  <c r="O95" i="35"/>
  <c r="P95" i="35"/>
  <c r="N95" i="35"/>
  <c r="L95" i="35"/>
  <c r="M95" i="35"/>
  <c r="G95" i="35"/>
  <c r="G114" i="35" s="1"/>
  <c r="I95" i="35"/>
  <c r="S96" i="35"/>
  <c r="H95" i="35"/>
  <c r="K95" i="35"/>
  <c r="J95" i="35"/>
  <c r="F35" i="36" l="1"/>
  <c r="F32" i="36"/>
  <c r="AD47" i="36"/>
  <c r="AC57" i="36"/>
  <c r="G5" i="36"/>
  <c r="BB5" i="36"/>
  <c r="BC5" i="36" s="1"/>
  <c r="Z20" i="34"/>
  <c r="P286" i="2"/>
  <c r="G276" i="2"/>
  <c r="G442" i="2"/>
  <c r="AC63" i="36"/>
  <c r="AD49" i="36"/>
  <c r="F36" i="36"/>
  <c r="AC60" i="36"/>
  <c r="G20" i="36"/>
  <c r="AE45" i="36" s="1"/>
  <c r="AD46" i="36"/>
  <c r="F33" i="36"/>
  <c r="AC59" i="36"/>
  <c r="AD45" i="36"/>
  <c r="G70" i="35"/>
  <c r="F87" i="35"/>
  <c r="G16" i="34" s="1"/>
  <c r="G41" i="34" s="1"/>
  <c r="G54" i="34" s="1"/>
  <c r="Z113" i="35"/>
  <c r="AA113" i="35" s="1"/>
  <c r="AB113" i="35" s="1"/>
  <c r="AC113" i="35" s="1"/>
  <c r="AD113" i="35" s="1"/>
  <c r="AE113" i="35" s="1"/>
  <c r="AF113" i="35" s="1"/>
  <c r="AG113" i="35" s="1"/>
  <c r="AH113" i="35" s="1"/>
  <c r="AI113" i="35" s="1"/>
  <c r="AJ113" i="35" s="1"/>
  <c r="AK113" i="35" s="1"/>
  <c r="E40" i="36"/>
  <c r="AC58" i="36"/>
  <c r="G21" i="36"/>
  <c r="AE52" i="36" s="1"/>
  <c r="AD50" i="36"/>
  <c r="AD61" i="36" s="1"/>
  <c r="F39" i="36"/>
  <c r="AD51" i="36"/>
  <c r="AD48" i="36"/>
  <c r="AD59" i="36" s="1"/>
  <c r="G72" i="35"/>
  <c r="H72" i="35" s="1"/>
  <c r="I72" i="35" s="1"/>
  <c r="J72" i="35" s="1"/>
  <c r="K72" i="35" s="1"/>
  <c r="L72" i="35" s="1"/>
  <c r="M72" i="35" s="1"/>
  <c r="N72" i="35" s="1"/>
  <c r="O72" i="35" s="1"/>
  <c r="P72" i="35" s="1"/>
  <c r="Q72" i="35" s="1"/>
  <c r="R72" i="35" s="1"/>
  <c r="Y47" i="35"/>
  <c r="AA16" i="34" s="1"/>
  <c r="G37" i="34" s="1"/>
  <c r="G50" i="34" s="1"/>
  <c r="Z30" i="35"/>
  <c r="Y87" i="35"/>
  <c r="AA17" i="34" s="1"/>
  <c r="G38" i="34" s="1"/>
  <c r="G51" i="34" s="1"/>
  <c r="Z69" i="35"/>
  <c r="AG17" i="35"/>
  <c r="AH17" i="35"/>
  <c r="AF17" i="35"/>
  <c r="AC17" i="35"/>
  <c r="AE17" i="35"/>
  <c r="AK17" i="35"/>
  <c r="AD17" i="35"/>
  <c r="AB17" i="35"/>
  <c r="AL18" i="35"/>
  <c r="AJ17" i="35"/>
  <c r="AA17" i="35"/>
  <c r="AA35" i="35" s="1"/>
  <c r="AI17" i="35"/>
  <c r="AC61" i="36"/>
  <c r="H54" i="35"/>
  <c r="S55" i="35"/>
  <c r="I54" i="35"/>
  <c r="J54" i="35"/>
  <c r="G54" i="35"/>
  <c r="G73" i="35" s="1"/>
  <c r="AB95" i="35"/>
  <c r="AF95" i="35"/>
  <c r="AE95" i="35"/>
  <c r="AD95" i="35"/>
  <c r="AG95" i="35"/>
  <c r="AC95" i="35"/>
  <c r="AL96" i="35"/>
  <c r="AA95" i="35"/>
  <c r="Z95" i="35"/>
  <c r="Z114" i="35" s="1"/>
  <c r="AH95" i="35"/>
  <c r="AI95" i="35"/>
  <c r="AC56" i="36"/>
  <c r="AD52" i="36"/>
  <c r="F38" i="36"/>
  <c r="AC62" i="36"/>
  <c r="AA34" i="35"/>
  <c r="AB34" i="35" s="1"/>
  <c r="AC34" i="35" s="1"/>
  <c r="AD34" i="35" s="1"/>
  <c r="AE34" i="35" s="1"/>
  <c r="AF34" i="35" s="1"/>
  <c r="AG34" i="35" s="1"/>
  <c r="AH34" i="35" s="1"/>
  <c r="AI34" i="35" s="1"/>
  <c r="AJ34" i="35" s="1"/>
  <c r="AK34" i="35" s="1"/>
  <c r="P285" i="2"/>
  <c r="F32" i="8"/>
  <c r="F49" i="8" s="1"/>
  <c r="F64" i="8" s="1"/>
  <c r="F30" i="8"/>
  <c r="F47" i="8" s="1"/>
  <c r="F62" i="8" s="1"/>
  <c r="F31" i="8"/>
  <c r="F48" i="8" s="1"/>
  <c r="F63" i="8" s="1"/>
  <c r="F34" i="8"/>
  <c r="F51" i="8" s="1"/>
  <c r="F66" i="8" s="1"/>
  <c r="G25" i="8"/>
  <c r="G35" i="8" s="1"/>
  <c r="G52" i="8" s="1"/>
  <c r="G67" i="8" s="1"/>
  <c r="F29" i="8"/>
  <c r="F36" i="8"/>
  <c r="F53" i="8" s="1"/>
  <c r="F68" i="8" s="1"/>
  <c r="F33" i="8"/>
  <c r="F50" i="8" s="1"/>
  <c r="F65" i="8" s="1"/>
  <c r="F39" i="8"/>
  <c r="F56" i="8" s="1"/>
  <c r="F71" i="8" s="1"/>
  <c r="F38" i="8"/>
  <c r="F55" i="8" s="1"/>
  <c r="F70" i="8" s="1"/>
  <c r="F37" i="8"/>
  <c r="F54" i="8" s="1"/>
  <c r="F69" i="8" s="1"/>
  <c r="E46" i="8"/>
  <c r="E40" i="8"/>
  <c r="I156" i="35"/>
  <c r="J156" i="35" s="1"/>
  <c r="K156" i="35" s="1"/>
  <c r="L156" i="35" s="1"/>
  <c r="M156" i="35" s="1"/>
  <c r="N156" i="35" s="1"/>
  <c r="O156" i="35" s="1"/>
  <c r="P156" i="35" s="1"/>
  <c r="Q156" i="35" s="1"/>
  <c r="R156" i="35" s="1"/>
  <c r="E286" i="2"/>
  <c r="D57" i="8"/>
  <c r="D61" i="8"/>
  <c r="F25" i="32"/>
  <c r="F61" i="32" s="1"/>
  <c r="E53" i="9" s="1"/>
  <c r="C25" i="32"/>
  <c r="D55" i="32" s="1"/>
  <c r="C47" i="9" s="1"/>
  <c r="J25" i="32"/>
  <c r="J54" i="32" s="1"/>
  <c r="N25" i="32"/>
  <c r="O55" i="32" s="1"/>
  <c r="N47" i="9" s="1"/>
  <c r="G25" i="32"/>
  <c r="G61" i="32" s="1"/>
  <c r="F53" i="9" s="1"/>
  <c r="K25" i="32"/>
  <c r="K54" i="32" s="1"/>
  <c r="L25" i="32"/>
  <c r="L61" i="32" s="1"/>
  <c r="K53" i="9" s="1"/>
  <c r="L62" i="32"/>
  <c r="K57" i="9" s="1"/>
  <c r="Q25" i="32"/>
  <c r="R55" i="32" s="1"/>
  <c r="Q47" i="9" s="1"/>
  <c r="J4" i="32"/>
  <c r="I10" i="32"/>
  <c r="K55" i="32"/>
  <c r="J47" i="9" s="1"/>
  <c r="I25" i="32"/>
  <c r="J55" i="32" s="1"/>
  <c r="I47" i="9" s="1"/>
  <c r="E25" i="32"/>
  <c r="E61" i="32" s="1"/>
  <c r="D53" i="9" s="1"/>
  <c r="O25" i="32"/>
  <c r="H25" i="32"/>
  <c r="I54" i="32"/>
  <c r="D25" i="32"/>
  <c r="P25" i="32"/>
  <c r="M25" i="32"/>
  <c r="M61" i="32" s="1"/>
  <c r="L53" i="9" s="1"/>
  <c r="D286" i="2"/>
  <c r="E282" i="2"/>
  <c r="E281" i="2"/>
  <c r="H114" i="35"/>
  <c r="I114" i="35" s="1"/>
  <c r="J114" i="35" s="1"/>
  <c r="K114" i="35" s="1"/>
  <c r="L114" i="35" s="1"/>
  <c r="M114" i="35" s="1"/>
  <c r="N114" i="35" s="1"/>
  <c r="O114" i="35" s="1"/>
  <c r="P114" i="35" s="1"/>
  <c r="Q114" i="35" s="1"/>
  <c r="R114" i="35" s="1"/>
  <c r="Q286" i="2"/>
  <c r="I282" i="2"/>
  <c r="F286" i="2"/>
  <c r="P282" i="2"/>
  <c r="F281" i="2"/>
  <c r="L286" i="2"/>
  <c r="M285" i="2"/>
  <c r="L285" i="2"/>
  <c r="G281" i="2"/>
  <c r="E285" i="2"/>
  <c r="K281" i="2"/>
  <c r="J285" i="2"/>
  <c r="J286" i="2"/>
  <c r="K282" i="2"/>
  <c r="K16" i="35"/>
  <c r="P16" i="35"/>
  <c r="M16" i="35"/>
  <c r="S17" i="35"/>
  <c r="G16" i="35"/>
  <c r="G34" i="35" s="1"/>
  <c r="H16" i="35"/>
  <c r="O16" i="35"/>
  <c r="L16" i="35"/>
  <c r="N16" i="35"/>
  <c r="J16" i="35"/>
  <c r="I16" i="35"/>
  <c r="N285" i="2"/>
  <c r="O281" i="2"/>
  <c r="O282" i="2"/>
  <c r="N286" i="2"/>
  <c r="L110" i="35"/>
  <c r="N281" i="2"/>
  <c r="I178" i="35"/>
  <c r="O178" i="35"/>
  <c r="K178" i="35"/>
  <c r="H178" i="35"/>
  <c r="H197" i="35" s="1"/>
  <c r="M178" i="35"/>
  <c r="P178" i="35"/>
  <c r="N178" i="35"/>
  <c r="J178" i="35"/>
  <c r="L178" i="35"/>
  <c r="Q178" i="35"/>
  <c r="S179" i="35"/>
  <c r="K285" i="2"/>
  <c r="L281" i="2"/>
  <c r="L282" i="2"/>
  <c r="K286" i="2"/>
  <c r="O286" i="2"/>
  <c r="S139" i="35"/>
  <c r="M138" i="35"/>
  <c r="L138" i="35"/>
  <c r="K138" i="35"/>
  <c r="I138" i="35"/>
  <c r="I157" i="35" s="1"/>
  <c r="J138" i="35"/>
  <c r="Q281" i="2"/>
  <c r="R282" i="2"/>
  <c r="N96" i="35"/>
  <c r="M96" i="35"/>
  <c r="J96" i="35"/>
  <c r="L96" i="35"/>
  <c r="K96" i="35"/>
  <c r="H96" i="35"/>
  <c r="H115" i="35" s="1"/>
  <c r="S97" i="35"/>
  <c r="Q96" i="35"/>
  <c r="P96" i="35"/>
  <c r="I96" i="35"/>
  <c r="O96" i="35"/>
  <c r="I11" i="36"/>
  <c r="J11" i="36"/>
  <c r="F47" i="35"/>
  <c r="G15" i="34" s="1"/>
  <c r="G30" i="35"/>
  <c r="Q282" i="2"/>
  <c r="D285" i="2"/>
  <c r="M286" i="2"/>
  <c r="H196" i="35"/>
  <c r="I196" i="35" s="1"/>
  <c r="J196" i="35" s="1"/>
  <c r="K196" i="35" s="1"/>
  <c r="L196" i="35" s="1"/>
  <c r="M196" i="35" s="1"/>
  <c r="N196" i="35" s="1"/>
  <c r="O196" i="35" s="1"/>
  <c r="P196" i="35" s="1"/>
  <c r="Q196" i="35" s="1"/>
  <c r="R196" i="35" s="1"/>
  <c r="G214" i="2"/>
  <c r="G70" i="2"/>
  <c r="M281" i="2"/>
  <c r="F285" i="2"/>
  <c r="AA110" i="35"/>
  <c r="P281" i="2"/>
  <c r="G128" i="35"/>
  <c r="H17" i="34" s="1"/>
  <c r="H42" i="34" s="1"/>
  <c r="H55" i="34" s="1"/>
  <c r="K10" i="36" s="1"/>
  <c r="F34" i="36"/>
  <c r="F13" i="36"/>
  <c r="E53" i="34"/>
  <c r="E45" i="34"/>
  <c r="Q285" i="2"/>
  <c r="I281" i="2"/>
  <c r="BD12" i="36"/>
  <c r="I111" i="35"/>
  <c r="M282" i="2"/>
  <c r="I7" i="36"/>
  <c r="J7" i="36"/>
  <c r="M69" i="35"/>
  <c r="G33" i="35"/>
  <c r="H33" i="35" s="1"/>
  <c r="I33" i="35" s="1"/>
  <c r="J33" i="35" s="1"/>
  <c r="K33" i="35" s="1"/>
  <c r="L33" i="35" s="1"/>
  <c r="M33" i="35" s="1"/>
  <c r="N33" i="35" s="1"/>
  <c r="O33" i="35" s="1"/>
  <c r="P33" i="35" s="1"/>
  <c r="Q33" i="35" s="1"/>
  <c r="R33" i="35" s="1"/>
  <c r="G192" i="35"/>
  <c r="F210" i="35"/>
  <c r="G19" i="34" s="1"/>
  <c r="G44" i="34" s="1"/>
  <c r="G57" i="34" s="1"/>
  <c r="H151" i="35"/>
  <c r="G169" i="35"/>
  <c r="H18" i="34" s="1"/>
  <c r="H43" i="34" s="1"/>
  <c r="H56" i="34" s="1"/>
  <c r="K11" i="36" s="1"/>
  <c r="F40" i="34"/>
  <c r="F20" i="34"/>
  <c r="H5" i="36"/>
  <c r="F282" i="2"/>
  <c r="AL57" i="35"/>
  <c r="AJ56" i="35"/>
  <c r="AB56" i="35"/>
  <c r="AB75" i="35" s="1"/>
  <c r="AC56" i="35"/>
  <c r="AF56" i="35"/>
  <c r="AK56" i="35"/>
  <c r="AD56" i="35"/>
  <c r="AI56" i="35"/>
  <c r="AH56" i="35"/>
  <c r="AG56" i="35"/>
  <c r="AE56" i="35"/>
  <c r="AB74" i="35"/>
  <c r="AC74" i="35" s="1"/>
  <c r="AD74" i="35" s="1"/>
  <c r="AE74" i="35" s="1"/>
  <c r="AF74" i="35" s="1"/>
  <c r="AG74" i="35" s="1"/>
  <c r="AH74" i="35" s="1"/>
  <c r="AI74" i="35" s="1"/>
  <c r="AJ74" i="35" s="1"/>
  <c r="AK74" i="35" s="1"/>
  <c r="D281" i="2"/>
  <c r="D282" i="2"/>
  <c r="J282" i="2"/>
  <c r="J281" i="2"/>
  <c r="I286" i="2"/>
  <c r="I285" i="2"/>
  <c r="D62" i="32" l="1"/>
  <c r="C57" i="9" s="1"/>
  <c r="AD56" i="36"/>
  <c r="G32" i="36"/>
  <c r="AA20" i="34"/>
  <c r="H73" i="35"/>
  <c r="AA114" i="35"/>
  <c r="AB114" i="35" s="1"/>
  <c r="AC114" i="35" s="1"/>
  <c r="AD114" i="35" s="1"/>
  <c r="AE114" i="35" s="1"/>
  <c r="AF114" i="35" s="1"/>
  <c r="AG114" i="35" s="1"/>
  <c r="AH114" i="35" s="1"/>
  <c r="AI114" i="35" s="1"/>
  <c r="AJ114" i="35" s="1"/>
  <c r="AK114" i="35" s="1"/>
  <c r="AD60" i="36"/>
  <c r="N55" i="32"/>
  <c r="M47" i="9" s="1"/>
  <c r="I61" i="32"/>
  <c r="H53" i="9" s="1"/>
  <c r="AB35" i="35"/>
  <c r="AC35" i="35" s="1"/>
  <c r="AD35" i="35" s="1"/>
  <c r="AE35" i="35" s="1"/>
  <c r="AF35" i="35" s="1"/>
  <c r="AG35" i="35" s="1"/>
  <c r="AH35" i="35" s="1"/>
  <c r="AI35" i="35" s="1"/>
  <c r="AJ35" i="35" s="1"/>
  <c r="AK35" i="35" s="1"/>
  <c r="AE46" i="36"/>
  <c r="G33" i="36"/>
  <c r="AD63" i="36"/>
  <c r="G34" i="36"/>
  <c r="AE49" i="36"/>
  <c r="G36" i="36"/>
  <c r="AE48" i="36"/>
  <c r="AD57" i="36"/>
  <c r="H20" i="36"/>
  <c r="AC64" i="36"/>
  <c r="AC66" i="36" s="1"/>
  <c r="AC67" i="36" s="1"/>
  <c r="AC79" i="36" s="1"/>
  <c r="E48" i="36" s="1"/>
  <c r="E59" i="36" s="1"/>
  <c r="Z128" i="35"/>
  <c r="AB18" i="34" s="1"/>
  <c r="H39" i="34" s="1"/>
  <c r="H52" i="34" s="1"/>
  <c r="K7" i="36" s="1"/>
  <c r="F289" i="2"/>
  <c r="F292" i="2" s="1"/>
  <c r="L55" i="32"/>
  <c r="K47" i="9" s="1"/>
  <c r="J6" i="36"/>
  <c r="I6" i="36"/>
  <c r="AE51" i="36"/>
  <c r="G37" i="36"/>
  <c r="AE47" i="36"/>
  <c r="H70" i="35"/>
  <c r="G87" i="35"/>
  <c r="H16" i="34" s="1"/>
  <c r="H41" i="34" s="1"/>
  <c r="H54" i="34" s="1"/>
  <c r="K9" i="36" s="1"/>
  <c r="N289" i="2"/>
  <c r="N292" i="2" s="1"/>
  <c r="K55" i="35"/>
  <c r="H55" i="35"/>
  <c r="H74" i="35" s="1"/>
  <c r="S56" i="35"/>
  <c r="I55" i="35"/>
  <c r="J55" i="35"/>
  <c r="AB18" i="35"/>
  <c r="AB36" i="35" s="1"/>
  <c r="AH18" i="35"/>
  <c r="AI18" i="35"/>
  <c r="AD18" i="35"/>
  <c r="AK18" i="35"/>
  <c r="AF18" i="35"/>
  <c r="AG18" i="35"/>
  <c r="AJ18" i="35"/>
  <c r="AL19" i="35"/>
  <c r="AC18" i="35"/>
  <c r="AE18" i="35"/>
  <c r="G38" i="36"/>
  <c r="P62" i="32"/>
  <c r="O57" i="9" s="1"/>
  <c r="P30" i="32"/>
  <c r="AJ96" i="35"/>
  <c r="AG96" i="35"/>
  <c r="AE96" i="35"/>
  <c r="AI96" i="35"/>
  <c r="AF96" i="35"/>
  <c r="AD96" i="35"/>
  <c r="AL97" i="35"/>
  <c r="AC96" i="35"/>
  <c r="AB96" i="35"/>
  <c r="AA96" i="35"/>
  <c r="AA115" i="35" s="1"/>
  <c r="AH96" i="35"/>
  <c r="AA30" i="35"/>
  <c r="Z47" i="35"/>
  <c r="AB16" i="34" s="1"/>
  <c r="I73" i="35"/>
  <c r="J73" i="35" s="1"/>
  <c r="K73" i="35" s="1"/>
  <c r="L73" i="35" s="1"/>
  <c r="M73" i="35" s="1"/>
  <c r="N73" i="35" s="1"/>
  <c r="O73" i="35" s="1"/>
  <c r="P73" i="35" s="1"/>
  <c r="Q73" i="35" s="1"/>
  <c r="R73" i="35" s="1"/>
  <c r="Z87" i="35"/>
  <c r="AB17" i="34" s="1"/>
  <c r="H38" i="34" s="1"/>
  <c r="H51" i="34" s="1"/>
  <c r="K6" i="36" s="1"/>
  <c r="AA69" i="35"/>
  <c r="AD62" i="36"/>
  <c r="AE50" i="36"/>
  <c r="H21" i="36"/>
  <c r="AF52" i="36" s="1"/>
  <c r="G39" i="36"/>
  <c r="AE63" i="36" s="1"/>
  <c r="J9" i="36"/>
  <c r="I9" i="36"/>
  <c r="Q289" i="2"/>
  <c r="P33" i="9" s="1"/>
  <c r="AB5" i="14" s="1"/>
  <c r="E61" i="8"/>
  <c r="F93" i="8" s="1"/>
  <c r="D48" i="9" s="1"/>
  <c r="E57" i="8"/>
  <c r="F46" i="8"/>
  <c r="F40" i="8"/>
  <c r="J289" i="2"/>
  <c r="J292" i="2" s="1"/>
  <c r="H128" i="35"/>
  <c r="I17" i="34" s="1"/>
  <c r="I42" i="34" s="1"/>
  <c r="I55" i="34" s="1"/>
  <c r="L10" i="36" s="1"/>
  <c r="E54" i="32"/>
  <c r="D43" i="9" s="1"/>
  <c r="E97" i="8"/>
  <c r="C58" i="9" s="1"/>
  <c r="E93" i="8"/>
  <c r="C48" i="9" s="1"/>
  <c r="E77" i="8"/>
  <c r="C10" i="9" s="1"/>
  <c r="E76" i="8"/>
  <c r="G37" i="8"/>
  <c r="G54" i="8" s="1"/>
  <c r="G69" i="8" s="1"/>
  <c r="G29" i="8"/>
  <c r="G38" i="8"/>
  <c r="G55" i="8" s="1"/>
  <c r="G70" i="8" s="1"/>
  <c r="G31" i="8"/>
  <c r="G48" i="8" s="1"/>
  <c r="G63" i="8" s="1"/>
  <c r="G32" i="8"/>
  <c r="G49" i="8" s="1"/>
  <c r="G64" i="8" s="1"/>
  <c r="G34" i="8"/>
  <c r="G51" i="8" s="1"/>
  <c r="G66" i="8" s="1"/>
  <c r="G39" i="8"/>
  <c r="G56" i="8" s="1"/>
  <c r="G71" i="8" s="1"/>
  <c r="H25" i="8"/>
  <c r="H35" i="8" s="1"/>
  <c r="H52" i="8" s="1"/>
  <c r="H67" i="8" s="1"/>
  <c r="G36" i="8"/>
  <c r="G53" i="8" s="1"/>
  <c r="G68" i="8" s="1"/>
  <c r="G30" i="8"/>
  <c r="G47" i="8" s="1"/>
  <c r="G62" i="8" s="1"/>
  <c r="G33" i="8"/>
  <c r="G50" i="8" s="1"/>
  <c r="G65" i="8" s="1"/>
  <c r="P61" i="32"/>
  <c r="O53" i="9" s="1"/>
  <c r="Q30" i="32"/>
  <c r="P37" i="32"/>
  <c r="O19" i="9" s="1"/>
  <c r="P36" i="32"/>
  <c r="O15" i="9" s="1"/>
  <c r="Q31" i="32"/>
  <c r="P9" i="9" s="1"/>
  <c r="E55" i="32"/>
  <c r="D47" i="9" s="1"/>
  <c r="D37" i="32"/>
  <c r="C19" i="9" s="1"/>
  <c r="E31" i="32"/>
  <c r="D9" i="9" s="1"/>
  <c r="D36" i="32"/>
  <c r="C15" i="9" s="1"/>
  <c r="E30" i="32"/>
  <c r="D61" i="32"/>
  <c r="C53" i="9" s="1"/>
  <c r="H43" i="9"/>
  <c r="I30" i="32"/>
  <c r="I31" i="32"/>
  <c r="H9" i="9" s="1"/>
  <c r="P55" i="32"/>
  <c r="O47" i="9" s="1"/>
  <c r="P31" i="32"/>
  <c r="O9" i="9" s="1"/>
  <c r="O36" i="32"/>
  <c r="N15" i="9" s="1"/>
  <c r="O37" i="32"/>
  <c r="N19" i="9" s="1"/>
  <c r="E62" i="32"/>
  <c r="D57" i="9" s="1"/>
  <c r="I62" i="32"/>
  <c r="H57" i="9" s="1"/>
  <c r="J10" i="32"/>
  <c r="K4" i="32"/>
  <c r="R30" i="32"/>
  <c r="Q5" i="9" s="1"/>
  <c r="Q36" i="32"/>
  <c r="P15" i="9" s="1"/>
  <c r="Q37" i="32"/>
  <c r="P19" i="9" s="1"/>
  <c r="R31" i="32"/>
  <c r="Q9" i="9" s="1"/>
  <c r="L37" i="32"/>
  <c r="K19" i="9" s="1"/>
  <c r="M31" i="32"/>
  <c r="L9" i="9" s="1"/>
  <c r="L36" i="32"/>
  <c r="K15" i="9" s="1"/>
  <c r="M30" i="32"/>
  <c r="L54" i="32"/>
  <c r="G36" i="32"/>
  <c r="F15" i="9" s="1"/>
  <c r="G37" i="32"/>
  <c r="F19" i="9" s="1"/>
  <c r="N37" i="32"/>
  <c r="M19" i="9" s="1"/>
  <c r="N54" i="32"/>
  <c r="N36" i="32"/>
  <c r="M15" i="9" s="1"/>
  <c r="O31" i="32"/>
  <c r="N9" i="9" s="1"/>
  <c r="N61" i="32"/>
  <c r="M53" i="9" s="1"/>
  <c r="O30" i="32"/>
  <c r="J43" i="9"/>
  <c r="D54" i="32"/>
  <c r="G54" i="32"/>
  <c r="F36" i="32"/>
  <c r="E15" i="9" s="1"/>
  <c r="F37" i="32"/>
  <c r="E19" i="9" s="1"/>
  <c r="G30" i="32"/>
  <c r="G31" i="32"/>
  <c r="F9" i="9" s="1"/>
  <c r="I43" i="9"/>
  <c r="P289" i="2"/>
  <c r="O33" i="9" s="1"/>
  <c r="AA5" i="14" s="1"/>
  <c r="M62" i="32"/>
  <c r="L57" i="9" s="1"/>
  <c r="M54" i="32"/>
  <c r="M36" i="32"/>
  <c r="L15" i="9" s="1"/>
  <c r="M37" i="32"/>
  <c r="L19" i="9" s="1"/>
  <c r="N31" i="32"/>
  <c r="M9" i="9" s="1"/>
  <c r="N30" i="32"/>
  <c r="Q54" i="32"/>
  <c r="Q55" i="32"/>
  <c r="P47" i="9" s="1"/>
  <c r="R62" i="32"/>
  <c r="Q57" i="9" s="1"/>
  <c r="I55" i="32"/>
  <c r="H47" i="9" s="1"/>
  <c r="O61" i="32"/>
  <c r="N53" i="9" s="1"/>
  <c r="P54" i="32"/>
  <c r="F54" i="32"/>
  <c r="F55" i="32"/>
  <c r="E47" i="9" s="1"/>
  <c r="F30" i="32"/>
  <c r="F31" i="32"/>
  <c r="E9" i="9" s="1"/>
  <c r="E37" i="32"/>
  <c r="D19" i="9" s="1"/>
  <c r="E36" i="32"/>
  <c r="D15" i="9" s="1"/>
  <c r="J62" i="32"/>
  <c r="I57" i="9" s="1"/>
  <c r="J31" i="32"/>
  <c r="I9" i="9" s="1"/>
  <c r="I36" i="32"/>
  <c r="H15" i="9" s="1"/>
  <c r="J30" i="32"/>
  <c r="I37" i="32"/>
  <c r="H19" i="9" s="1"/>
  <c r="Q62" i="32"/>
  <c r="P57" i="9" s="1"/>
  <c r="Q61" i="32"/>
  <c r="P53" i="9" s="1"/>
  <c r="M55" i="32"/>
  <c r="L47" i="9" s="1"/>
  <c r="K61" i="32"/>
  <c r="J53" i="9" s="1"/>
  <c r="L30" i="32"/>
  <c r="L31" i="32"/>
  <c r="K9" i="9" s="1"/>
  <c r="K37" i="32"/>
  <c r="J19" i="9" s="1"/>
  <c r="K36" i="32"/>
  <c r="J15" i="9" s="1"/>
  <c r="G62" i="32"/>
  <c r="F57" i="9" s="1"/>
  <c r="O54" i="32"/>
  <c r="N62" i="32"/>
  <c r="M57" i="9" s="1"/>
  <c r="K31" i="32"/>
  <c r="J9" i="9" s="1"/>
  <c r="J37" i="32"/>
  <c r="I19" i="9" s="1"/>
  <c r="J61" i="32"/>
  <c r="I53" i="9" s="1"/>
  <c r="K62" i="32"/>
  <c r="J57" i="9" s="1"/>
  <c r="K30" i="32"/>
  <c r="J36" i="32"/>
  <c r="I15" i="9" s="1"/>
  <c r="D31" i="32"/>
  <c r="C9" i="9" s="1"/>
  <c r="D30" i="32"/>
  <c r="F62" i="32"/>
  <c r="E57" i="9" s="1"/>
  <c r="G55" i="32"/>
  <c r="F47" i="9" s="1"/>
  <c r="O62" i="32"/>
  <c r="N57" i="9" s="1"/>
  <c r="E289" i="2"/>
  <c r="AL58" i="35"/>
  <c r="AK57" i="35"/>
  <c r="AF57" i="35"/>
  <c r="AH57" i="35"/>
  <c r="AC57" i="35"/>
  <c r="AC76" i="35" s="1"/>
  <c r="AD57" i="35"/>
  <c r="AE57" i="35"/>
  <c r="AJ57" i="35"/>
  <c r="AI57" i="35"/>
  <c r="AG57" i="35"/>
  <c r="F53" i="34"/>
  <c r="F45" i="34"/>
  <c r="H192" i="35"/>
  <c r="G210" i="35"/>
  <c r="H19" i="34" s="1"/>
  <c r="H44" i="34" s="1"/>
  <c r="H57" i="34" s="1"/>
  <c r="K12" i="36" s="1"/>
  <c r="BE12" i="36"/>
  <c r="G285" i="2"/>
  <c r="G286" i="2"/>
  <c r="H30" i="35"/>
  <c r="G47" i="35"/>
  <c r="H15" i="34" s="1"/>
  <c r="M110" i="35"/>
  <c r="I151" i="35"/>
  <c r="H169" i="35"/>
  <c r="I18" i="34" s="1"/>
  <c r="I43" i="34" s="1"/>
  <c r="I56" i="34" s="1"/>
  <c r="L11" i="36" s="1"/>
  <c r="I289" i="2"/>
  <c r="G8" i="36"/>
  <c r="E58" i="34"/>
  <c r="M289" i="2"/>
  <c r="N97" i="35"/>
  <c r="Q97" i="35"/>
  <c r="O97" i="35"/>
  <c r="P97" i="35"/>
  <c r="J97" i="35"/>
  <c r="K97" i="35"/>
  <c r="R97" i="35"/>
  <c r="S98" i="35"/>
  <c r="M97" i="35"/>
  <c r="L97" i="35"/>
  <c r="I97" i="35"/>
  <c r="I116" i="35" s="1"/>
  <c r="I197" i="35"/>
  <c r="J197" i="35" s="1"/>
  <c r="K197" i="35" s="1"/>
  <c r="L197" i="35" s="1"/>
  <c r="M197" i="35" s="1"/>
  <c r="N197" i="35" s="1"/>
  <c r="O197" i="35" s="1"/>
  <c r="P197" i="35" s="1"/>
  <c r="Q197" i="35" s="1"/>
  <c r="R197" i="35" s="1"/>
  <c r="H17" i="35"/>
  <c r="H35" i="35" s="1"/>
  <c r="S18" i="35"/>
  <c r="P17" i="35"/>
  <c r="K17" i="35"/>
  <c r="N17" i="35"/>
  <c r="M17" i="35"/>
  <c r="O17" i="35"/>
  <c r="L17" i="35"/>
  <c r="I17" i="35"/>
  <c r="Q17" i="35"/>
  <c r="J17" i="35"/>
  <c r="I33" i="9"/>
  <c r="AB110" i="35"/>
  <c r="D289" i="2"/>
  <c r="BD5" i="36"/>
  <c r="AD58" i="36"/>
  <c r="F40" i="36"/>
  <c r="G40" i="34"/>
  <c r="G20" i="34"/>
  <c r="O289" i="2"/>
  <c r="H34" i="35"/>
  <c r="I34" i="35" s="1"/>
  <c r="J34" i="35" s="1"/>
  <c r="K34" i="35" s="1"/>
  <c r="L34" i="35" s="1"/>
  <c r="M34" i="35" s="1"/>
  <c r="N34" i="35" s="1"/>
  <c r="O34" i="35" s="1"/>
  <c r="P34" i="35" s="1"/>
  <c r="Q34" i="35" s="1"/>
  <c r="R34" i="35" s="1"/>
  <c r="AC75" i="35"/>
  <c r="AD75" i="35" s="1"/>
  <c r="AE75" i="35" s="1"/>
  <c r="AF75" i="35" s="1"/>
  <c r="AG75" i="35" s="1"/>
  <c r="AH75" i="35" s="1"/>
  <c r="AI75" i="35" s="1"/>
  <c r="AJ75" i="35" s="1"/>
  <c r="AK75" i="35" s="1"/>
  <c r="I5" i="36"/>
  <c r="I12" i="36"/>
  <c r="J12" i="36"/>
  <c r="N69" i="35"/>
  <c r="J111" i="35"/>
  <c r="AE56" i="36"/>
  <c r="J5" i="36"/>
  <c r="I115" i="35"/>
  <c r="J115" i="35" s="1"/>
  <c r="K115" i="35" s="1"/>
  <c r="L115" i="35" s="1"/>
  <c r="M115" i="35" s="1"/>
  <c r="N115" i="35" s="1"/>
  <c r="O115" i="35" s="1"/>
  <c r="P115" i="35" s="1"/>
  <c r="Q115" i="35" s="1"/>
  <c r="R115" i="35" s="1"/>
  <c r="J157" i="35"/>
  <c r="K157" i="35" s="1"/>
  <c r="L157" i="35" s="1"/>
  <c r="M157" i="35" s="1"/>
  <c r="N157" i="35" s="1"/>
  <c r="O157" i="35" s="1"/>
  <c r="P157" i="35" s="1"/>
  <c r="Q157" i="35" s="1"/>
  <c r="R157" i="35" s="1"/>
  <c r="M139" i="35"/>
  <c r="S140" i="35"/>
  <c r="K139" i="35"/>
  <c r="J139" i="35"/>
  <c r="J158" i="35" s="1"/>
  <c r="L139" i="35"/>
  <c r="N139" i="35"/>
  <c r="L289" i="2"/>
  <c r="N179" i="35"/>
  <c r="O179" i="35"/>
  <c r="R179" i="35"/>
  <c r="P179" i="35"/>
  <c r="I179" i="35"/>
  <c r="I198" i="35" s="1"/>
  <c r="Q179" i="35"/>
  <c r="L179" i="35"/>
  <c r="S180" i="35"/>
  <c r="J179" i="35"/>
  <c r="K179" i="35"/>
  <c r="M179" i="35"/>
  <c r="K289" i="2"/>
  <c r="M33" i="9" l="1"/>
  <c r="AA128" i="35"/>
  <c r="AC18" i="34" s="1"/>
  <c r="I39" i="34" s="1"/>
  <c r="I52" i="34" s="1"/>
  <c r="L7" i="36" s="1"/>
  <c r="E68" i="32"/>
  <c r="E72" i="32" s="1"/>
  <c r="Q14" i="14" s="1"/>
  <c r="AE57" i="36"/>
  <c r="AE58" i="36"/>
  <c r="AE60" i="36"/>
  <c r="AD64" i="36"/>
  <c r="AD66" i="36" s="1"/>
  <c r="AD67" i="36" s="1"/>
  <c r="AD79" i="36" s="1"/>
  <c r="F52" i="36" s="1"/>
  <c r="F63" i="36" s="1"/>
  <c r="H36" i="36"/>
  <c r="AF50" i="36"/>
  <c r="I20" i="36"/>
  <c r="I32" i="36" s="1"/>
  <c r="AF46" i="36"/>
  <c r="H33" i="36"/>
  <c r="AF45" i="36"/>
  <c r="AF51" i="36"/>
  <c r="H32" i="36"/>
  <c r="AF48" i="36"/>
  <c r="E47" i="36"/>
  <c r="E58" i="36" s="1"/>
  <c r="E70" i="36" s="1"/>
  <c r="E81" i="36" s="1"/>
  <c r="E49" i="36"/>
  <c r="E60" i="36" s="1"/>
  <c r="G72" i="36" s="1"/>
  <c r="E51" i="36"/>
  <c r="E62" i="36" s="1"/>
  <c r="E74" i="36" s="1"/>
  <c r="E85" i="36" s="1"/>
  <c r="E45" i="36"/>
  <c r="E56" i="36" s="1"/>
  <c r="F68" i="36" s="1"/>
  <c r="E50" i="36"/>
  <c r="E61" i="36" s="1"/>
  <c r="E73" i="36" s="1"/>
  <c r="E84" i="36" s="1"/>
  <c r="E52" i="36"/>
  <c r="E63" i="36" s="1"/>
  <c r="F75" i="36" s="1"/>
  <c r="E46" i="36"/>
  <c r="E57" i="36" s="1"/>
  <c r="E69" i="36" s="1"/>
  <c r="E80" i="36" s="1"/>
  <c r="AB20" i="34"/>
  <c r="H37" i="34"/>
  <c r="H50" i="34" s="1"/>
  <c r="K5" i="36" s="1"/>
  <c r="J116" i="35"/>
  <c r="K116" i="35" s="1"/>
  <c r="L116" i="35" s="1"/>
  <c r="M116" i="35" s="1"/>
  <c r="N116" i="35" s="1"/>
  <c r="O116" i="35" s="1"/>
  <c r="P116" i="35" s="1"/>
  <c r="Q116" i="35" s="1"/>
  <c r="R116" i="35" s="1"/>
  <c r="E33" i="9"/>
  <c r="R5" i="14" s="1"/>
  <c r="H38" i="36"/>
  <c r="AF49" i="36"/>
  <c r="AB115" i="35"/>
  <c r="AC115" i="35" s="1"/>
  <c r="AD115" i="35" s="1"/>
  <c r="AE115" i="35" s="1"/>
  <c r="AF115" i="35" s="1"/>
  <c r="AG115" i="35" s="1"/>
  <c r="AH115" i="35" s="1"/>
  <c r="AI115" i="35" s="1"/>
  <c r="AJ115" i="35" s="1"/>
  <c r="AK115" i="35" s="1"/>
  <c r="AD19" i="35"/>
  <c r="AJ19" i="35"/>
  <c r="AF19" i="35"/>
  <c r="AG19" i="35"/>
  <c r="AC19" i="35"/>
  <c r="AC37" i="35" s="1"/>
  <c r="AI19" i="35"/>
  <c r="AK19" i="35"/>
  <c r="AL20" i="35"/>
  <c r="AH19" i="35"/>
  <c r="AE19" i="35"/>
  <c r="I70" i="35"/>
  <c r="H87" i="35"/>
  <c r="I16" i="34" s="1"/>
  <c r="I41" i="34" s="1"/>
  <c r="I54" i="34" s="1"/>
  <c r="L9" i="36" s="1"/>
  <c r="I33" i="36"/>
  <c r="I21" i="36"/>
  <c r="AG49" i="36" s="1"/>
  <c r="J21" i="36"/>
  <c r="AH52" i="36" s="1"/>
  <c r="H39" i="36"/>
  <c r="AB30" i="35"/>
  <c r="AA47" i="35"/>
  <c r="AC16" i="34" s="1"/>
  <c r="I37" i="34" s="1"/>
  <c r="I50" i="34" s="1"/>
  <c r="J56" i="35"/>
  <c r="L56" i="35"/>
  <c r="I56" i="35"/>
  <c r="I75" i="35" s="1"/>
  <c r="S57" i="35"/>
  <c r="K56" i="35"/>
  <c r="AE61" i="36"/>
  <c r="AB69" i="35"/>
  <c r="AA87" i="35"/>
  <c r="AC17" i="34" s="1"/>
  <c r="I38" i="34" s="1"/>
  <c r="I51" i="34" s="1"/>
  <c r="L6" i="36" s="1"/>
  <c r="H34" i="36"/>
  <c r="H37" i="36"/>
  <c r="AF47" i="36"/>
  <c r="AI97" i="35"/>
  <c r="AK97" i="35"/>
  <c r="AH97" i="35"/>
  <c r="AJ97" i="35"/>
  <c r="AL98" i="35"/>
  <c r="AF97" i="35"/>
  <c r="AD97" i="35"/>
  <c r="AG97" i="35"/>
  <c r="AB97" i="35"/>
  <c r="AB116" i="35" s="1"/>
  <c r="AC97" i="35"/>
  <c r="AE97" i="35"/>
  <c r="AC36" i="35"/>
  <c r="AD36" i="35" s="1"/>
  <c r="AE36" i="35" s="1"/>
  <c r="AF36" i="35" s="1"/>
  <c r="AG36" i="35" s="1"/>
  <c r="AH36" i="35" s="1"/>
  <c r="AI36" i="35" s="1"/>
  <c r="AJ36" i="35" s="1"/>
  <c r="AK36" i="35" s="1"/>
  <c r="I74" i="35"/>
  <c r="J74" i="35" s="1"/>
  <c r="K74" i="35" s="1"/>
  <c r="L74" i="35" s="1"/>
  <c r="M74" i="35" s="1"/>
  <c r="N74" i="35" s="1"/>
  <c r="O74" i="35" s="1"/>
  <c r="P74" i="35" s="1"/>
  <c r="Q74" i="35" s="1"/>
  <c r="R74" i="35" s="1"/>
  <c r="AE62" i="36"/>
  <c r="P292" i="2"/>
  <c r="Q292" i="2"/>
  <c r="H38" i="8"/>
  <c r="H55" i="8" s="1"/>
  <c r="H70" i="8" s="1"/>
  <c r="H36" i="8"/>
  <c r="H53" i="8" s="1"/>
  <c r="H68" i="8" s="1"/>
  <c r="H31" i="8"/>
  <c r="H48" i="8" s="1"/>
  <c r="H63" i="8" s="1"/>
  <c r="H30" i="8"/>
  <c r="H47" i="8" s="1"/>
  <c r="H62" i="8" s="1"/>
  <c r="I25" i="8"/>
  <c r="I35" i="8" s="1"/>
  <c r="I52" i="8" s="1"/>
  <c r="I67" i="8" s="1"/>
  <c r="H34" i="8"/>
  <c r="H51" i="8" s="1"/>
  <c r="H66" i="8" s="1"/>
  <c r="H29" i="8"/>
  <c r="H37" i="8"/>
  <c r="H54" i="8" s="1"/>
  <c r="H69" i="8" s="1"/>
  <c r="H39" i="8"/>
  <c r="H56" i="8" s="1"/>
  <c r="H71" i="8" s="1"/>
  <c r="H32" i="8"/>
  <c r="H49" i="8" s="1"/>
  <c r="H64" i="8" s="1"/>
  <c r="H33" i="8"/>
  <c r="H50" i="8" s="1"/>
  <c r="H65" i="8" s="1"/>
  <c r="F97" i="8"/>
  <c r="D58" i="9" s="1"/>
  <c r="F61" i="8"/>
  <c r="F96" i="8" s="1"/>
  <c r="D54" i="9" s="1"/>
  <c r="F57" i="8"/>
  <c r="G46" i="8"/>
  <c r="G40" i="8"/>
  <c r="C6" i="9"/>
  <c r="E96" i="8"/>
  <c r="C54" i="9" s="1"/>
  <c r="E80" i="8"/>
  <c r="C16" i="9" s="1"/>
  <c r="E81" i="8"/>
  <c r="C20" i="9" s="1"/>
  <c r="F77" i="8"/>
  <c r="D10" i="9" s="1"/>
  <c r="E92" i="8"/>
  <c r="F76" i="8"/>
  <c r="D6" i="9" s="1"/>
  <c r="P5" i="9"/>
  <c r="Q43" i="32"/>
  <c r="Q47" i="32" s="1"/>
  <c r="AB8" i="14" s="1"/>
  <c r="C5" i="9"/>
  <c r="D43" i="32"/>
  <c r="D47" i="32" s="1"/>
  <c r="L43" i="32"/>
  <c r="L47" i="32" s="1"/>
  <c r="W8" i="14" s="1"/>
  <c r="K5" i="9"/>
  <c r="J43" i="32"/>
  <c r="J47" i="32" s="1"/>
  <c r="U8" i="14" s="1"/>
  <c r="I5" i="9"/>
  <c r="O43" i="9"/>
  <c r="P68" i="32"/>
  <c r="P72" i="32" s="1"/>
  <c r="AA14" i="14" s="1"/>
  <c r="N43" i="32"/>
  <c r="N47" i="32" s="1"/>
  <c r="Y8" i="14" s="1"/>
  <c r="M5" i="9"/>
  <c r="L43" i="9"/>
  <c r="M68" i="32"/>
  <c r="M72" i="32" s="1"/>
  <c r="X14" i="14" s="1"/>
  <c r="F5" i="9"/>
  <c r="G43" i="32"/>
  <c r="G47" i="32" s="1"/>
  <c r="S8" i="14" s="1"/>
  <c r="D68" i="32"/>
  <c r="D72" i="32" s="1"/>
  <c r="C43" i="9"/>
  <c r="K68" i="32"/>
  <c r="K72" i="32" s="1"/>
  <c r="V14" i="14" s="1"/>
  <c r="M43" i="32"/>
  <c r="M47" i="32" s="1"/>
  <c r="X8" i="14" s="1"/>
  <c r="L5" i="9"/>
  <c r="L4" i="32"/>
  <c r="K10" i="32"/>
  <c r="P43" i="32"/>
  <c r="P47" i="32" s="1"/>
  <c r="AA8" i="14" s="1"/>
  <c r="O5" i="9"/>
  <c r="H5" i="9"/>
  <c r="I43" i="32"/>
  <c r="I47" i="32" s="1"/>
  <c r="E43" i="32"/>
  <c r="E47" i="32" s="1"/>
  <c r="Q8" i="14" s="1"/>
  <c r="D5" i="9"/>
  <c r="G289" i="2"/>
  <c r="F33" i="9" s="1"/>
  <c r="J5" i="9"/>
  <c r="K43" i="32"/>
  <c r="K47" i="32" s="1"/>
  <c r="V8" i="14" s="1"/>
  <c r="O68" i="32"/>
  <c r="O72" i="32" s="1"/>
  <c r="Z14" i="14" s="1"/>
  <c r="N43" i="9"/>
  <c r="F43" i="32"/>
  <c r="F47" i="32" s="1"/>
  <c r="R8" i="14" s="1"/>
  <c r="E5" i="9"/>
  <c r="E43" i="9"/>
  <c r="F68" i="32"/>
  <c r="F72" i="32" s="1"/>
  <c r="R14" i="14" s="1"/>
  <c r="P43" i="9"/>
  <c r="Q68" i="32"/>
  <c r="Q72" i="32" s="1"/>
  <c r="AB14" i="14" s="1"/>
  <c r="J68" i="32"/>
  <c r="J72" i="32" s="1"/>
  <c r="U14" i="14" s="1"/>
  <c r="F43" i="9"/>
  <c r="G68" i="32"/>
  <c r="G72" i="32" s="1"/>
  <c r="S14" i="14" s="1"/>
  <c r="N5" i="9"/>
  <c r="O43" i="32"/>
  <c r="O47" i="32" s="1"/>
  <c r="Z8" i="14" s="1"/>
  <c r="M43" i="9"/>
  <c r="N68" i="32"/>
  <c r="N72" i="32" s="1"/>
  <c r="Y14" i="14" s="1"/>
  <c r="L68" i="32"/>
  <c r="L72" i="32" s="1"/>
  <c r="W14" i="14" s="1"/>
  <c r="K43" i="9"/>
  <c r="I68" i="32"/>
  <c r="I72" i="32" s="1"/>
  <c r="T14" i="14" s="1"/>
  <c r="E292" i="2"/>
  <c r="D33" i="9"/>
  <c r="Q5" i="14" s="1"/>
  <c r="O292" i="2"/>
  <c r="N33" i="9"/>
  <c r="G53" i="34"/>
  <c r="G45" i="34"/>
  <c r="H8" i="36"/>
  <c r="H35" i="36" s="1"/>
  <c r="F58" i="34"/>
  <c r="S141" i="35"/>
  <c r="N140" i="35"/>
  <c r="K140" i="35"/>
  <c r="K159" i="35" s="1"/>
  <c r="L140" i="35"/>
  <c r="O140" i="35"/>
  <c r="M140" i="35"/>
  <c r="U5" i="14"/>
  <c r="J151" i="35"/>
  <c r="I169" i="35"/>
  <c r="J18" i="34" s="1"/>
  <c r="J43" i="34" s="1"/>
  <c r="J56" i="34" s="1"/>
  <c r="M11" i="36" s="1"/>
  <c r="AD76" i="35"/>
  <c r="AE76" i="35" s="1"/>
  <c r="AF76" i="35" s="1"/>
  <c r="AG76" i="35" s="1"/>
  <c r="AH76" i="35" s="1"/>
  <c r="AI76" i="35" s="1"/>
  <c r="AJ76" i="35" s="1"/>
  <c r="AK76" i="35" s="1"/>
  <c r="I128" i="35"/>
  <c r="J17" i="34" s="1"/>
  <c r="J42" i="34" s="1"/>
  <c r="J55" i="34" s="1"/>
  <c r="M10" i="36" s="1"/>
  <c r="O69" i="35"/>
  <c r="BE5" i="36"/>
  <c r="Y5" i="14"/>
  <c r="H20" i="34"/>
  <c r="H40" i="34"/>
  <c r="BF12" i="36"/>
  <c r="BG12" i="36" s="1"/>
  <c r="BH12" i="36" s="1"/>
  <c r="BI12" i="36" s="1"/>
  <c r="BJ12" i="36" s="1"/>
  <c r="BK12" i="36" s="1"/>
  <c r="BL12" i="36" s="1"/>
  <c r="BM12" i="36" s="1"/>
  <c r="I192" i="35"/>
  <c r="H210" i="35"/>
  <c r="I19" i="34" s="1"/>
  <c r="I44" i="34" s="1"/>
  <c r="I57" i="34" s="1"/>
  <c r="L12" i="36" s="1"/>
  <c r="AI58" i="35"/>
  <c r="AL59" i="35"/>
  <c r="AH58" i="35"/>
  <c r="AK58" i="35"/>
  <c r="AE58" i="35"/>
  <c r="AG58" i="35"/>
  <c r="AF58" i="35"/>
  <c r="AD58" i="35"/>
  <c r="AD77" i="35" s="1"/>
  <c r="AJ58" i="35"/>
  <c r="J180" i="35"/>
  <c r="J199" i="35" s="1"/>
  <c r="L180" i="35"/>
  <c r="M180" i="35"/>
  <c r="Q180" i="35"/>
  <c r="S181" i="35"/>
  <c r="O180" i="35"/>
  <c r="K180" i="35"/>
  <c r="N180" i="35"/>
  <c r="P180" i="35"/>
  <c r="R180" i="35"/>
  <c r="L292" i="2"/>
  <c r="K33" i="9"/>
  <c r="AC110" i="35"/>
  <c r="R18" i="35"/>
  <c r="L18" i="35"/>
  <c r="O18" i="35"/>
  <c r="P18" i="35"/>
  <c r="Q18" i="35"/>
  <c r="M18" i="35"/>
  <c r="S19" i="35"/>
  <c r="J18" i="35"/>
  <c r="I18" i="35"/>
  <c r="I36" i="35" s="1"/>
  <c r="N18" i="35"/>
  <c r="K18" i="35"/>
  <c r="L98" i="35"/>
  <c r="O98" i="35"/>
  <c r="R98" i="35"/>
  <c r="S99" i="35"/>
  <c r="Q98" i="35"/>
  <c r="M98" i="35"/>
  <c r="K98" i="35"/>
  <c r="P98" i="35"/>
  <c r="N98" i="35"/>
  <c r="J98" i="35"/>
  <c r="J117" i="35" s="1"/>
  <c r="I292" i="2"/>
  <c r="H33" i="9"/>
  <c r="D292" i="2"/>
  <c r="C33" i="9"/>
  <c r="I35" i="35"/>
  <c r="J35" i="35" s="1"/>
  <c r="K35" i="35" s="1"/>
  <c r="L35" i="35" s="1"/>
  <c r="M35" i="35" s="1"/>
  <c r="N35" i="35" s="1"/>
  <c r="O35" i="35" s="1"/>
  <c r="P35" i="35" s="1"/>
  <c r="Q35" i="35" s="1"/>
  <c r="R35" i="35" s="1"/>
  <c r="N110" i="35"/>
  <c r="K292" i="2"/>
  <c r="J33" i="9"/>
  <c r="J198" i="35"/>
  <c r="K198" i="35" s="1"/>
  <c r="L198" i="35" s="1"/>
  <c r="M198" i="35" s="1"/>
  <c r="N198" i="35" s="1"/>
  <c r="O198" i="35" s="1"/>
  <c r="P198" i="35" s="1"/>
  <c r="Q198" i="35" s="1"/>
  <c r="R198" i="35" s="1"/>
  <c r="K158" i="35"/>
  <c r="L158" i="35" s="1"/>
  <c r="M158" i="35" s="1"/>
  <c r="N158" i="35" s="1"/>
  <c r="O158" i="35" s="1"/>
  <c r="P158" i="35" s="1"/>
  <c r="Q158" i="35" s="1"/>
  <c r="R158" i="35" s="1"/>
  <c r="K111" i="35"/>
  <c r="L33" i="9"/>
  <c r="M292" i="2"/>
  <c r="G35" i="36"/>
  <c r="G13" i="36"/>
  <c r="I30" i="35"/>
  <c r="H47" i="35"/>
  <c r="I15" i="34" s="1"/>
  <c r="AB128" i="35" l="1"/>
  <c r="AD18" i="34" s="1"/>
  <c r="J39" i="34" s="1"/>
  <c r="J52" i="34" s="1"/>
  <c r="M7" i="36" s="1"/>
  <c r="G73" i="36"/>
  <c r="F73" i="36"/>
  <c r="F48" i="36"/>
  <c r="F59" i="36" s="1"/>
  <c r="F71" i="36" s="1"/>
  <c r="F82" i="36" s="1"/>
  <c r="F47" i="36"/>
  <c r="F58" i="36" s="1"/>
  <c r="F49" i="36"/>
  <c r="F60" i="36" s="1"/>
  <c r="F50" i="36"/>
  <c r="F61" i="36" s="1"/>
  <c r="F84" i="36" s="1"/>
  <c r="H75" i="36"/>
  <c r="I38" i="36"/>
  <c r="I74" i="36" s="1"/>
  <c r="AF62" i="36"/>
  <c r="I37" i="36"/>
  <c r="I73" i="36" s="1"/>
  <c r="H72" i="36"/>
  <c r="F45" i="36"/>
  <c r="F56" i="36" s="1"/>
  <c r="F79" i="36" s="1"/>
  <c r="F46" i="36"/>
  <c r="F57" i="36" s="1"/>
  <c r="AG50" i="36"/>
  <c r="F51" i="36"/>
  <c r="F62" i="36" s="1"/>
  <c r="I34" i="36"/>
  <c r="I70" i="36" s="1"/>
  <c r="AF61" i="36"/>
  <c r="AG52" i="36"/>
  <c r="AF60" i="36"/>
  <c r="AG51" i="36"/>
  <c r="I36" i="36"/>
  <c r="AG60" i="36" s="1"/>
  <c r="AG47" i="36"/>
  <c r="AG48" i="36"/>
  <c r="AF57" i="36"/>
  <c r="E72" i="36"/>
  <c r="E83" i="36" s="1"/>
  <c r="E75" i="36"/>
  <c r="E86" i="36" s="1"/>
  <c r="J39" i="36"/>
  <c r="AH63" i="36" s="1"/>
  <c r="I39" i="36"/>
  <c r="AF56" i="36"/>
  <c r="J20" i="36"/>
  <c r="AG45" i="36"/>
  <c r="AG56" i="36" s="1"/>
  <c r="AG46" i="36"/>
  <c r="AG57" i="36" s="1"/>
  <c r="G74" i="36"/>
  <c r="F74" i="36"/>
  <c r="F72" i="36"/>
  <c r="G75" i="36"/>
  <c r="E68" i="36"/>
  <c r="E79" i="36" s="1"/>
  <c r="H74" i="36"/>
  <c r="H69" i="36"/>
  <c r="E64" i="36"/>
  <c r="F69" i="36"/>
  <c r="F70" i="36"/>
  <c r="G70" i="36"/>
  <c r="G69" i="36"/>
  <c r="H68" i="36"/>
  <c r="G68" i="36"/>
  <c r="F86" i="36"/>
  <c r="AH50" i="36"/>
  <c r="K21" i="36"/>
  <c r="AI47" i="36" s="1"/>
  <c r="J38" i="36"/>
  <c r="J74" i="36" s="1"/>
  <c r="J34" i="36"/>
  <c r="J70" i="36" s="1"/>
  <c r="J70" i="35"/>
  <c r="I87" i="35"/>
  <c r="J16" i="34" s="1"/>
  <c r="J41" i="34" s="1"/>
  <c r="J54" i="34" s="1"/>
  <c r="M9" i="36" s="1"/>
  <c r="J37" i="36"/>
  <c r="J73" i="36" s="1"/>
  <c r="AH47" i="36"/>
  <c r="AK20" i="35"/>
  <c r="AD20" i="35"/>
  <c r="AD38" i="35" s="1"/>
  <c r="AI20" i="35"/>
  <c r="AJ20" i="35"/>
  <c r="AE20" i="35"/>
  <c r="AH20" i="35"/>
  <c r="AF20" i="35"/>
  <c r="AG20" i="35"/>
  <c r="AL21" i="35"/>
  <c r="AC20" i="34"/>
  <c r="H73" i="36"/>
  <c r="AF58" i="36"/>
  <c r="AC69" i="35"/>
  <c r="AB87" i="35"/>
  <c r="AD17" i="34" s="1"/>
  <c r="J38" i="34" s="1"/>
  <c r="J51" i="34" s="1"/>
  <c r="M6" i="36" s="1"/>
  <c r="J57" i="35"/>
  <c r="J76" i="35" s="1"/>
  <c r="K57" i="35"/>
  <c r="S58" i="35"/>
  <c r="M57" i="35"/>
  <c r="L57" i="35"/>
  <c r="AC30" i="35"/>
  <c r="AB47" i="35"/>
  <c r="AD16" i="34" s="1"/>
  <c r="J37" i="34" s="1"/>
  <c r="J50" i="34" s="1"/>
  <c r="AH48" i="36"/>
  <c r="J36" i="36"/>
  <c r="J72" i="36" s="1"/>
  <c r="AH49" i="36"/>
  <c r="AF63" i="36"/>
  <c r="H70" i="36"/>
  <c r="AC116" i="35"/>
  <c r="AD116" i="35" s="1"/>
  <c r="AE116" i="35" s="1"/>
  <c r="AF116" i="35" s="1"/>
  <c r="AG116" i="35" s="1"/>
  <c r="AH116" i="35" s="1"/>
  <c r="AI116" i="35" s="1"/>
  <c r="AJ116" i="35" s="1"/>
  <c r="AK116" i="35" s="1"/>
  <c r="AG98" i="35"/>
  <c r="AH98" i="35"/>
  <c r="AL99" i="35"/>
  <c r="AJ98" i="35"/>
  <c r="AI98" i="35"/>
  <c r="AC98" i="35"/>
  <c r="AC117" i="35" s="1"/>
  <c r="AF98" i="35"/>
  <c r="AE98" i="35"/>
  <c r="AK98" i="35"/>
  <c r="AD98" i="35"/>
  <c r="J75" i="35"/>
  <c r="K75" i="35" s="1"/>
  <c r="L75" i="35" s="1"/>
  <c r="M75" i="35" s="1"/>
  <c r="N75" i="35" s="1"/>
  <c r="O75" i="35" s="1"/>
  <c r="P75" i="35" s="1"/>
  <c r="Q75" i="35" s="1"/>
  <c r="R75" i="35" s="1"/>
  <c r="AH51" i="36"/>
  <c r="AD37" i="35"/>
  <c r="AE37" i="35" s="1"/>
  <c r="AF37" i="35" s="1"/>
  <c r="AG37" i="35" s="1"/>
  <c r="AH37" i="35" s="1"/>
  <c r="AI37" i="35" s="1"/>
  <c r="AJ37" i="35" s="1"/>
  <c r="AK37" i="35" s="1"/>
  <c r="I69" i="36"/>
  <c r="E84" i="8"/>
  <c r="E88" i="8" s="1"/>
  <c r="P9" i="14" s="1"/>
  <c r="H46" i="8"/>
  <c r="H40" i="8"/>
  <c r="I36" i="8"/>
  <c r="I53" i="8" s="1"/>
  <c r="I68" i="8" s="1"/>
  <c r="I29" i="8"/>
  <c r="I32" i="8"/>
  <c r="I49" i="8" s="1"/>
  <c r="I64" i="8" s="1"/>
  <c r="I37" i="8"/>
  <c r="I54" i="8" s="1"/>
  <c r="I69" i="8" s="1"/>
  <c r="J25" i="8"/>
  <c r="J35" i="8" s="1"/>
  <c r="J52" i="8" s="1"/>
  <c r="J67" i="8" s="1"/>
  <c r="I34" i="8"/>
  <c r="I51" i="8" s="1"/>
  <c r="I66" i="8" s="1"/>
  <c r="I38" i="8"/>
  <c r="I55" i="8" s="1"/>
  <c r="I70" i="8" s="1"/>
  <c r="I31" i="8"/>
  <c r="I48" i="8" s="1"/>
  <c r="I63" i="8" s="1"/>
  <c r="I30" i="8"/>
  <c r="I47" i="8" s="1"/>
  <c r="I62" i="8" s="1"/>
  <c r="I39" i="8"/>
  <c r="I56" i="8" s="1"/>
  <c r="I71" i="8" s="1"/>
  <c r="I33" i="8"/>
  <c r="I50" i="8" s="1"/>
  <c r="I65" i="8" s="1"/>
  <c r="G292" i="2"/>
  <c r="C44" i="9"/>
  <c r="E100" i="8"/>
  <c r="E104" i="8" s="1"/>
  <c r="P15" i="14" s="1"/>
  <c r="G57" i="8"/>
  <c r="G97" i="8"/>
  <c r="E58" i="9" s="1"/>
  <c r="G61" i="8"/>
  <c r="H93" i="8" s="1"/>
  <c r="F48" i="9" s="1"/>
  <c r="G93" i="8"/>
  <c r="E48" i="9" s="1"/>
  <c r="F80" i="8"/>
  <c r="G76" i="8"/>
  <c r="E6" i="9" s="1"/>
  <c r="F92" i="8"/>
  <c r="G77" i="8"/>
  <c r="E10" i="9" s="1"/>
  <c r="F81" i="8"/>
  <c r="D20" i="9" s="1"/>
  <c r="P14" i="14"/>
  <c r="L10" i="32"/>
  <c r="M4" i="32"/>
  <c r="P8" i="14"/>
  <c r="K199" i="35"/>
  <c r="L159" i="35"/>
  <c r="M159" i="35" s="1"/>
  <c r="N159" i="35" s="1"/>
  <c r="O159" i="35" s="1"/>
  <c r="P159" i="35" s="1"/>
  <c r="Q159" i="35" s="1"/>
  <c r="R159" i="35" s="1"/>
  <c r="J192" i="35"/>
  <c r="I210" i="35"/>
  <c r="J19" i="34" s="1"/>
  <c r="J44" i="34" s="1"/>
  <c r="J57" i="34" s="1"/>
  <c r="M12" i="36" s="1"/>
  <c r="BF5" i="36"/>
  <c r="P69" i="35"/>
  <c r="Q69" i="35" s="1"/>
  <c r="R69" i="35" s="1"/>
  <c r="K151" i="35"/>
  <c r="J169" i="35"/>
  <c r="K18" i="34" s="1"/>
  <c r="K43" i="34" s="1"/>
  <c r="K56" i="34" s="1"/>
  <c r="N11" i="36" s="1"/>
  <c r="H13" i="36"/>
  <c r="V5" i="14"/>
  <c r="W5" i="14"/>
  <c r="I8" i="36"/>
  <c r="I13" i="36" s="1"/>
  <c r="J8" i="36"/>
  <c r="G58" i="34"/>
  <c r="J30" i="35"/>
  <c r="I47" i="35"/>
  <c r="J15" i="34" s="1"/>
  <c r="X5" i="14"/>
  <c r="L5" i="36"/>
  <c r="J36" i="35"/>
  <c r="K36" i="35" s="1"/>
  <c r="L36" i="35" s="1"/>
  <c r="M36" i="35" s="1"/>
  <c r="N36" i="35" s="1"/>
  <c r="O36" i="35" s="1"/>
  <c r="P36" i="35" s="1"/>
  <c r="Q36" i="35" s="1"/>
  <c r="R36" i="35" s="1"/>
  <c r="AJ59" i="35"/>
  <c r="AL60" i="35"/>
  <c r="AE59" i="35"/>
  <c r="AE78" i="35" s="1"/>
  <c r="AH59" i="35"/>
  <c r="AI59" i="35"/>
  <c r="AG59" i="35"/>
  <c r="AK59" i="35"/>
  <c r="AF59" i="35"/>
  <c r="H53" i="34"/>
  <c r="H45" i="34"/>
  <c r="S142" i="35"/>
  <c r="P141" i="35"/>
  <c r="O141" i="35"/>
  <c r="M141" i="35"/>
  <c r="L141" i="35"/>
  <c r="L160" i="35" s="1"/>
  <c r="N141" i="35"/>
  <c r="S5" i="14"/>
  <c r="Z5" i="14"/>
  <c r="I68" i="36"/>
  <c r="AF59" i="36"/>
  <c r="H40" i="36"/>
  <c r="L111" i="35"/>
  <c r="P5" i="14"/>
  <c r="K99" i="35"/>
  <c r="K118" i="35" s="1"/>
  <c r="O99" i="35"/>
  <c r="S100" i="35"/>
  <c r="N99" i="35"/>
  <c r="Q99" i="35"/>
  <c r="L99" i="35"/>
  <c r="R99" i="35"/>
  <c r="P99" i="35"/>
  <c r="M99" i="35"/>
  <c r="S20" i="35"/>
  <c r="N19" i="35"/>
  <c r="R19" i="35"/>
  <c r="K19" i="35"/>
  <c r="L19" i="35"/>
  <c r="P19" i="35"/>
  <c r="J19" i="35"/>
  <c r="J37" i="35" s="1"/>
  <c r="O19" i="35"/>
  <c r="Q19" i="35"/>
  <c r="M19" i="35"/>
  <c r="M181" i="35"/>
  <c r="O181" i="35"/>
  <c r="P181" i="35"/>
  <c r="K181" i="35"/>
  <c r="K200" i="35" s="1"/>
  <c r="Q181" i="35"/>
  <c r="R181" i="35"/>
  <c r="L181" i="35"/>
  <c r="N181" i="35"/>
  <c r="S182" i="35"/>
  <c r="I40" i="34"/>
  <c r="I20" i="34"/>
  <c r="O110" i="35"/>
  <c r="K117" i="35"/>
  <c r="L117" i="35" s="1"/>
  <c r="M117" i="35" s="1"/>
  <c r="N117" i="35" s="1"/>
  <c r="O117" i="35" s="1"/>
  <c r="P117" i="35" s="1"/>
  <c r="Q117" i="35" s="1"/>
  <c r="R117" i="35" s="1"/>
  <c r="AD110" i="35"/>
  <c r="L199" i="35"/>
  <c r="M199" i="35" s="1"/>
  <c r="N199" i="35" s="1"/>
  <c r="O199" i="35" s="1"/>
  <c r="P199" i="35" s="1"/>
  <c r="Q199" i="35" s="1"/>
  <c r="R199" i="35" s="1"/>
  <c r="AE59" i="36"/>
  <c r="AE64" i="36" s="1"/>
  <c r="AE66" i="36" s="1"/>
  <c r="AE67" i="36" s="1"/>
  <c r="AE79" i="36" s="1"/>
  <c r="G40" i="36"/>
  <c r="J128" i="35"/>
  <c r="K17" i="34" s="1"/>
  <c r="K42" i="34" s="1"/>
  <c r="K55" i="34" s="1"/>
  <c r="N10" i="36" s="1"/>
  <c r="T5" i="14"/>
  <c r="AE77" i="35"/>
  <c r="AF77" i="35" s="1"/>
  <c r="AG77" i="35" s="1"/>
  <c r="AH77" i="35" s="1"/>
  <c r="AI77" i="35" s="1"/>
  <c r="AJ77" i="35" s="1"/>
  <c r="AK77" i="35" s="1"/>
  <c r="AD20" i="34" l="1"/>
  <c r="K37" i="35"/>
  <c r="AC128" i="35"/>
  <c r="AE18" i="34" s="1"/>
  <c r="K39" i="34" s="1"/>
  <c r="K52" i="34" s="1"/>
  <c r="N7" i="36" s="1"/>
  <c r="AG61" i="36"/>
  <c r="G71" i="36"/>
  <c r="H71" i="36"/>
  <c r="F81" i="36"/>
  <c r="AG62" i="36"/>
  <c r="F80" i="36"/>
  <c r="F83" i="36"/>
  <c r="F85" i="36"/>
  <c r="AH62" i="36"/>
  <c r="AG63" i="36"/>
  <c r="J75" i="36"/>
  <c r="F64" i="36"/>
  <c r="I72" i="36"/>
  <c r="AG58" i="36"/>
  <c r="I75" i="36"/>
  <c r="K34" i="36"/>
  <c r="K70" i="36" s="1"/>
  <c r="F92" i="36"/>
  <c r="C8" i="9" s="1"/>
  <c r="C7" i="9" s="1"/>
  <c r="K20" i="36"/>
  <c r="AI45" i="36" s="1"/>
  <c r="AH46" i="36"/>
  <c r="AH45" i="36"/>
  <c r="J33" i="36"/>
  <c r="J69" i="36" s="1"/>
  <c r="J32" i="36"/>
  <c r="J68" i="36" s="1"/>
  <c r="AH60" i="36"/>
  <c r="AH58" i="36"/>
  <c r="F109" i="36"/>
  <c r="C46" i="9" s="1"/>
  <c r="C45" i="9" s="1"/>
  <c r="AC47" i="35"/>
  <c r="AE16" i="34" s="1"/>
  <c r="K37" i="34" s="1"/>
  <c r="K50" i="34" s="1"/>
  <c r="AD30" i="35"/>
  <c r="AI51" i="36"/>
  <c r="L21" i="36"/>
  <c r="AJ51" i="36" s="1"/>
  <c r="AH61" i="36"/>
  <c r="AE38" i="35"/>
  <c r="AF38" i="35" s="1"/>
  <c r="AG38" i="35" s="1"/>
  <c r="AH38" i="35" s="1"/>
  <c r="AI38" i="35" s="1"/>
  <c r="AJ38" i="35" s="1"/>
  <c r="AK38" i="35" s="1"/>
  <c r="K36" i="36"/>
  <c r="K72" i="36" s="1"/>
  <c r="K38" i="36"/>
  <c r="K74" i="36" s="1"/>
  <c r="AI49" i="36"/>
  <c r="AI99" i="35"/>
  <c r="AF99" i="35"/>
  <c r="AH99" i="35"/>
  <c r="AK99" i="35"/>
  <c r="AG99" i="35"/>
  <c r="AJ99" i="35"/>
  <c r="AL100" i="35"/>
  <c r="AE99" i="35"/>
  <c r="AD99" i="35"/>
  <c r="AD118" i="35" s="1"/>
  <c r="AD117" i="35"/>
  <c r="AE117" i="35" s="1"/>
  <c r="AF117" i="35" s="1"/>
  <c r="AG117" i="35" s="1"/>
  <c r="AH117" i="35" s="1"/>
  <c r="AI117" i="35" s="1"/>
  <c r="AJ117" i="35" s="1"/>
  <c r="AK117" i="35" s="1"/>
  <c r="K76" i="35"/>
  <c r="L76" i="35" s="1"/>
  <c r="M76" i="35" s="1"/>
  <c r="N76" i="35" s="1"/>
  <c r="O76" i="35" s="1"/>
  <c r="P76" i="35" s="1"/>
  <c r="Q76" i="35" s="1"/>
  <c r="R76" i="35" s="1"/>
  <c r="AI21" i="35"/>
  <c r="AL22" i="35"/>
  <c r="AF21" i="35"/>
  <c r="AH21" i="35"/>
  <c r="AK21" i="35"/>
  <c r="AE21" i="35"/>
  <c r="AE39" i="35" s="1"/>
  <c r="AJ21" i="35"/>
  <c r="AG21" i="35"/>
  <c r="K70" i="35"/>
  <c r="J87" i="35"/>
  <c r="K16" i="34" s="1"/>
  <c r="K41" i="34" s="1"/>
  <c r="K54" i="34" s="1"/>
  <c r="N9" i="36" s="1"/>
  <c r="K37" i="36"/>
  <c r="K73" i="36" s="1"/>
  <c r="AI52" i="36"/>
  <c r="AF64" i="36"/>
  <c r="AF66" i="36" s="1"/>
  <c r="AF67" i="36" s="1"/>
  <c r="AF79" i="36" s="1"/>
  <c r="H46" i="36" s="1"/>
  <c r="H57" i="36" s="1"/>
  <c r="H80" i="36" s="1"/>
  <c r="N58" i="35"/>
  <c r="M58" i="35"/>
  <c r="L58" i="35"/>
  <c r="K58" i="35"/>
  <c r="K77" i="35" s="1"/>
  <c r="S59" i="35"/>
  <c r="AC87" i="35"/>
  <c r="AE17" i="34" s="1"/>
  <c r="K38" i="34" s="1"/>
  <c r="K51" i="34" s="1"/>
  <c r="N6" i="36" s="1"/>
  <c r="AD69" i="35"/>
  <c r="K39" i="36"/>
  <c r="K75" i="36" s="1"/>
  <c r="AI50" i="36"/>
  <c r="AI48" i="36"/>
  <c r="D44" i="9"/>
  <c r="F100" i="8"/>
  <c r="F104" i="8" s="1"/>
  <c r="Q15" i="14" s="1"/>
  <c r="D16" i="9"/>
  <c r="F84" i="8"/>
  <c r="F88" i="8" s="1"/>
  <c r="Q9" i="14" s="1"/>
  <c r="I46" i="8"/>
  <c r="I40" i="8"/>
  <c r="G81" i="8"/>
  <c r="E20" i="9" s="1"/>
  <c r="H77" i="8"/>
  <c r="F10" i="9" s="1"/>
  <c r="G80" i="8"/>
  <c r="H76" i="8"/>
  <c r="F6" i="9" s="1"/>
  <c r="G92" i="8"/>
  <c r="G96" i="8"/>
  <c r="E54" i="9" s="1"/>
  <c r="J34" i="8"/>
  <c r="J51" i="8" s="1"/>
  <c r="J66" i="8" s="1"/>
  <c r="J39" i="8"/>
  <c r="J56" i="8" s="1"/>
  <c r="J71" i="8" s="1"/>
  <c r="J32" i="8"/>
  <c r="J49" i="8" s="1"/>
  <c r="J64" i="8" s="1"/>
  <c r="J36" i="8"/>
  <c r="J53" i="8" s="1"/>
  <c r="J68" i="8" s="1"/>
  <c r="J30" i="8"/>
  <c r="J47" i="8" s="1"/>
  <c r="J62" i="8" s="1"/>
  <c r="J33" i="8"/>
  <c r="J50" i="8" s="1"/>
  <c r="J65" i="8" s="1"/>
  <c r="J37" i="8"/>
  <c r="J54" i="8" s="1"/>
  <c r="J69" i="8" s="1"/>
  <c r="J31" i="8"/>
  <c r="J48" i="8" s="1"/>
  <c r="J63" i="8" s="1"/>
  <c r="J29" i="8"/>
  <c r="J38" i="8"/>
  <c r="J55" i="8" s="1"/>
  <c r="J70" i="8" s="1"/>
  <c r="K25" i="8"/>
  <c r="K35" i="8" s="1"/>
  <c r="K52" i="8" s="1"/>
  <c r="K67" i="8" s="1"/>
  <c r="H61" i="8"/>
  <c r="H57" i="8"/>
  <c r="H97" i="8"/>
  <c r="F58" i="9" s="1"/>
  <c r="M10" i="32"/>
  <c r="N4" i="32"/>
  <c r="L200" i="35"/>
  <c r="M200" i="35" s="1"/>
  <c r="N200" i="35" s="1"/>
  <c r="O200" i="35" s="1"/>
  <c r="P200" i="35" s="1"/>
  <c r="Q200" i="35" s="1"/>
  <c r="R200" i="35" s="1"/>
  <c r="M160" i="35"/>
  <c r="N160" i="35" s="1"/>
  <c r="O160" i="35" s="1"/>
  <c r="P160" i="35" s="1"/>
  <c r="Q160" i="35" s="1"/>
  <c r="R160" i="35" s="1"/>
  <c r="AF78" i="35"/>
  <c r="AG78" i="35" s="1"/>
  <c r="AH78" i="35" s="1"/>
  <c r="AI78" i="35" s="1"/>
  <c r="AJ78" i="35" s="1"/>
  <c r="AK78" i="35" s="1"/>
  <c r="L118" i="35"/>
  <c r="M118" i="35" s="1"/>
  <c r="N118" i="35" s="1"/>
  <c r="O118" i="35" s="1"/>
  <c r="P118" i="35" s="1"/>
  <c r="Q118" i="35" s="1"/>
  <c r="R118" i="35" s="1"/>
  <c r="K128" i="35"/>
  <c r="L17" i="34" s="1"/>
  <c r="L42" i="34" s="1"/>
  <c r="L55" i="34" s="1"/>
  <c r="O10" i="36" s="1"/>
  <c r="N142" i="35"/>
  <c r="P142" i="35"/>
  <c r="S143" i="35"/>
  <c r="M142" i="35"/>
  <c r="M161" i="35" s="1"/>
  <c r="Q142" i="35"/>
  <c r="O142" i="35"/>
  <c r="J13" i="36"/>
  <c r="Q182" i="35"/>
  <c r="P182" i="35"/>
  <c r="M182" i="35"/>
  <c r="O182" i="35"/>
  <c r="L182" i="35"/>
  <c r="L201" i="35" s="1"/>
  <c r="N182" i="35"/>
  <c r="R182" i="35"/>
  <c r="S183" i="35"/>
  <c r="M111" i="35"/>
  <c r="K20" i="35"/>
  <c r="K38" i="35" s="1"/>
  <c r="O20" i="35"/>
  <c r="S21" i="35"/>
  <c r="P20" i="35"/>
  <c r="R20" i="35"/>
  <c r="L20" i="35"/>
  <c r="N20" i="35"/>
  <c r="Q20" i="35"/>
  <c r="M20" i="35"/>
  <c r="AG60" i="35"/>
  <c r="AL61" i="35"/>
  <c r="AJ60" i="35"/>
  <c r="AF60" i="35"/>
  <c r="AF79" i="35" s="1"/>
  <c r="AH60" i="35"/>
  <c r="AI60" i="35"/>
  <c r="AK60" i="35"/>
  <c r="I35" i="36"/>
  <c r="AE110" i="35"/>
  <c r="K30" i="35"/>
  <c r="J47" i="35"/>
  <c r="K15" i="34" s="1"/>
  <c r="F113" i="36"/>
  <c r="C56" i="9" s="1"/>
  <c r="C55" i="9" s="1"/>
  <c r="F91" i="36"/>
  <c r="M5" i="36"/>
  <c r="G45" i="36"/>
  <c r="G56" i="36" s="1"/>
  <c r="G46" i="36"/>
  <c r="G57" i="36" s="1"/>
  <c r="G80" i="36" s="1"/>
  <c r="G49" i="36"/>
  <c r="G60" i="36" s="1"/>
  <c r="G83" i="36" s="1"/>
  <c r="G47" i="36"/>
  <c r="G58" i="36" s="1"/>
  <c r="G81" i="36" s="1"/>
  <c r="G48" i="36"/>
  <c r="G59" i="36" s="1"/>
  <c r="G52" i="36"/>
  <c r="G63" i="36" s="1"/>
  <c r="G86" i="36" s="1"/>
  <c r="G50" i="36"/>
  <c r="G61" i="36" s="1"/>
  <c r="G84" i="36" s="1"/>
  <c r="G51" i="36"/>
  <c r="G62" i="36" s="1"/>
  <c r="G85" i="36" s="1"/>
  <c r="P110" i="35"/>
  <c r="Q110" i="35" s="1"/>
  <c r="R110" i="35" s="1"/>
  <c r="I53" i="34"/>
  <c r="I45" i="34"/>
  <c r="L37" i="35"/>
  <c r="M37" i="35" s="1"/>
  <c r="N37" i="35" s="1"/>
  <c r="O37" i="35" s="1"/>
  <c r="P37" i="35" s="1"/>
  <c r="Q37" i="35" s="1"/>
  <c r="R37" i="35" s="1"/>
  <c r="P100" i="35"/>
  <c r="R100" i="35"/>
  <c r="O100" i="35"/>
  <c r="L100" i="35"/>
  <c r="L119" i="35" s="1"/>
  <c r="S101" i="35"/>
  <c r="M100" i="35"/>
  <c r="N100" i="35"/>
  <c r="Q100" i="35"/>
  <c r="K8" i="36"/>
  <c r="K35" i="36" s="1"/>
  <c r="H58" i="34"/>
  <c r="J40" i="34"/>
  <c r="J20" i="34"/>
  <c r="J35" i="36"/>
  <c r="L151" i="35"/>
  <c r="K169" i="35"/>
  <c r="L18" i="34" s="1"/>
  <c r="L43" i="34" s="1"/>
  <c r="L56" i="34" s="1"/>
  <c r="O11" i="36" s="1"/>
  <c r="BG5" i="36"/>
  <c r="J210" i="35"/>
  <c r="K19" i="34" s="1"/>
  <c r="K44" i="34" s="1"/>
  <c r="K57" i="34" s="1"/>
  <c r="N12" i="36" s="1"/>
  <c r="K192" i="35"/>
  <c r="AE20" i="34" l="1"/>
  <c r="G82" i="36"/>
  <c r="AD128" i="35"/>
  <c r="AF18" i="34" s="1"/>
  <c r="L39" i="34" s="1"/>
  <c r="L52" i="34" s="1"/>
  <c r="O7" i="36" s="1"/>
  <c r="N161" i="35"/>
  <c r="O161" i="35" s="1"/>
  <c r="P161" i="35" s="1"/>
  <c r="Q161" i="35" s="1"/>
  <c r="R161" i="35" s="1"/>
  <c r="L77" i="35"/>
  <c r="M77" i="35" s="1"/>
  <c r="N77" i="35" s="1"/>
  <c r="O77" i="35" s="1"/>
  <c r="P77" i="35" s="1"/>
  <c r="Q77" i="35" s="1"/>
  <c r="R77" i="35" s="1"/>
  <c r="G92" i="36"/>
  <c r="D8" i="9" s="1"/>
  <c r="D7" i="9" s="1"/>
  <c r="AI61" i="36"/>
  <c r="F112" i="36"/>
  <c r="C52" i="9" s="1"/>
  <c r="C51" i="9" s="1"/>
  <c r="C59" i="9" s="1"/>
  <c r="C64" i="9" s="1"/>
  <c r="G109" i="36"/>
  <c r="D46" i="9" s="1"/>
  <c r="D45" i="9" s="1"/>
  <c r="F95" i="36"/>
  <c r="C14" i="9" s="1"/>
  <c r="C13" i="9" s="1"/>
  <c r="G91" i="36"/>
  <c r="D4" i="9" s="1"/>
  <c r="D3" i="9" s="1"/>
  <c r="F108" i="36"/>
  <c r="F116" i="36" s="1"/>
  <c r="F120" i="36" s="1"/>
  <c r="F96" i="36"/>
  <c r="C18" i="9" s="1"/>
  <c r="C17" i="9" s="1"/>
  <c r="G113" i="36"/>
  <c r="D56" i="9" s="1"/>
  <c r="D55" i="9" s="1"/>
  <c r="AI58" i="36"/>
  <c r="AI46" i="36"/>
  <c r="H48" i="36"/>
  <c r="H59" i="36" s="1"/>
  <c r="H82" i="36" s="1"/>
  <c r="H45" i="36"/>
  <c r="H56" i="36" s="1"/>
  <c r="H79" i="36" s="1"/>
  <c r="K32" i="36"/>
  <c r="K68" i="36" s="1"/>
  <c r="L37" i="36"/>
  <c r="L73" i="36" s="1"/>
  <c r="K33" i="36"/>
  <c r="K69" i="36" s="1"/>
  <c r="AH57" i="36"/>
  <c r="L39" i="36"/>
  <c r="L75" i="36" s="1"/>
  <c r="AJ48" i="36"/>
  <c r="AI62" i="36"/>
  <c r="AI63" i="36"/>
  <c r="AJ47" i="36"/>
  <c r="AJ49" i="36"/>
  <c r="L20" i="36"/>
  <c r="AJ46" i="36" s="1"/>
  <c r="AJ50" i="36"/>
  <c r="AH56" i="36"/>
  <c r="L70" i="35"/>
  <c r="K87" i="35"/>
  <c r="L16" i="34" s="1"/>
  <c r="L41" i="34" s="1"/>
  <c r="L54" i="34" s="1"/>
  <c r="O9" i="36" s="1"/>
  <c r="N59" i="35"/>
  <c r="M59" i="35"/>
  <c r="L59" i="35"/>
  <c r="L78" i="35" s="1"/>
  <c r="S60" i="35"/>
  <c r="O59" i="35"/>
  <c r="AF39" i="35"/>
  <c r="AG39" i="35" s="1"/>
  <c r="AH39" i="35" s="1"/>
  <c r="AI39" i="35" s="1"/>
  <c r="AJ39" i="35" s="1"/>
  <c r="AK39" i="35" s="1"/>
  <c r="AL101" i="35"/>
  <c r="AE100" i="35"/>
  <c r="AE119" i="35" s="1"/>
  <c r="AH100" i="35"/>
  <c r="AJ100" i="35"/>
  <c r="AK100" i="35"/>
  <c r="AF100" i="35"/>
  <c r="AI100" i="35"/>
  <c r="AG100" i="35"/>
  <c r="H47" i="36"/>
  <c r="H58" i="36" s="1"/>
  <c r="H81" i="36" s="1"/>
  <c r="H50" i="36"/>
  <c r="H61" i="36" s="1"/>
  <c r="H84" i="36" s="1"/>
  <c r="AG79" i="35"/>
  <c r="AH79" i="35" s="1"/>
  <c r="AI79" i="35" s="1"/>
  <c r="AJ79" i="35" s="1"/>
  <c r="AK79" i="35" s="1"/>
  <c r="H51" i="36"/>
  <c r="H62" i="36" s="1"/>
  <c r="H85" i="36" s="1"/>
  <c r="H52" i="36"/>
  <c r="H63" i="36" s="1"/>
  <c r="H86" i="36" s="1"/>
  <c r="AE69" i="35"/>
  <c r="AD87" i="35"/>
  <c r="AF17" i="34" s="1"/>
  <c r="L38" i="34" s="1"/>
  <c r="L51" i="34" s="1"/>
  <c r="O6" i="36" s="1"/>
  <c r="AF22" i="35"/>
  <c r="AF40" i="35" s="1"/>
  <c r="AI22" i="35"/>
  <c r="AK22" i="35"/>
  <c r="AG22" i="35"/>
  <c r="AL23" i="35"/>
  <c r="AJ22" i="35"/>
  <c r="AH22" i="35"/>
  <c r="AE118" i="35"/>
  <c r="AF118" i="35" s="1"/>
  <c r="AG118" i="35" s="1"/>
  <c r="AH118" i="35" s="1"/>
  <c r="AI118" i="35" s="1"/>
  <c r="AJ118" i="35" s="1"/>
  <c r="AK118" i="35" s="1"/>
  <c r="L36" i="36"/>
  <c r="L72" i="36" s="1"/>
  <c r="M21" i="36"/>
  <c r="AK47" i="36" s="1"/>
  <c r="H49" i="36"/>
  <c r="H60" i="36" s="1"/>
  <c r="H83" i="36" s="1"/>
  <c r="L128" i="35"/>
  <c r="M17" i="34" s="1"/>
  <c r="M42" i="34" s="1"/>
  <c r="M55" i="34" s="1"/>
  <c r="P10" i="36" s="1"/>
  <c r="AI60" i="36"/>
  <c r="L38" i="36"/>
  <c r="L74" i="36" s="1"/>
  <c r="AJ52" i="36"/>
  <c r="L34" i="36"/>
  <c r="L70" i="36" s="1"/>
  <c r="AE30" i="35"/>
  <c r="AD47" i="35"/>
  <c r="AF16" i="34" s="1"/>
  <c r="H81" i="8"/>
  <c r="F20" i="9" s="1"/>
  <c r="H92" i="8"/>
  <c r="H80" i="8"/>
  <c r="H96" i="8"/>
  <c r="F54" i="9" s="1"/>
  <c r="E44" i="9"/>
  <c r="G100" i="8"/>
  <c r="G104" i="8" s="1"/>
  <c r="R15" i="14" s="1"/>
  <c r="E16" i="9"/>
  <c r="G84" i="8"/>
  <c r="G88" i="8" s="1"/>
  <c r="R9" i="14" s="1"/>
  <c r="I57" i="8"/>
  <c r="I61" i="8"/>
  <c r="J93" i="8" s="1"/>
  <c r="H48" i="9" s="1"/>
  <c r="K39" i="8"/>
  <c r="K56" i="8" s="1"/>
  <c r="K71" i="8" s="1"/>
  <c r="K30" i="8"/>
  <c r="K47" i="8" s="1"/>
  <c r="K62" i="8" s="1"/>
  <c r="K37" i="8"/>
  <c r="K54" i="8" s="1"/>
  <c r="K69" i="8" s="1"/>
  <c r="K29" i="8"/>
  <c r="K36" i="8"/>
  <c r="K53" i="8" s="1"/>
  <c r="K68" i="8" s="1"/>
  <c r="L25" i="8"/>
  <c r="L35" i="8" s="1"/>
  <c r="L52" i="8" s="1"/>
  <c r="L67" i="8" s="1"/>
  <c r="K32" i="8"/>
  <c r="K49" i="8" s="1"/>
  <c r="K64" i="8" s="1"/>
  <c r="K34" i="8"/>
  <c r="K51" i="8" s="1"/>
  <c r="K66" i="8" s="1"/>
  <c r="K31" i="8"/>
  <c r="K48" i="8" s="1"/>
  <c r="K63" i="8" s="1"/>
  <c r="K33" i="8"/>
  <c r="K50" i="8" s="1"/>
  <c r="K65" i="8" s="1"/>
  <c r="K38" i="8"/>
  <c r="K55" i="8" s="1"/>
  <c r="K70" i="8" s="1"/>
  <c r="J46" i="8"/>
  <c r="J40" i="8"/>
  <c r="O4" i="32"/>
  <c r="N10" i="32"/>
  <c r="M201" i="35"/>
  <c r="N201" i="35" s="1"/>
  <c r="O201" i="35" s="1"/>
  <c r="P201" i="35" s="1"/>
  <c r="Q201" i="35" s="1"/>
  <c r="R201" i="35" s="1"/>
  <c r="L38" i="35"/>
  <c r="M38" i="35" s="1"/>
  <c r="N38" i="35" s="1"/>
  <c r="O38" i="35" s="1"/>
  <c r="P38" i="35" s="1"/>
  <c r="Q38" i="35" s="1"/>
  <c r="R38" i="35" s="1"/>
  <c r="BH5" i="36"/>
  <c r="N5" i="36"/>
  <c r="L8" i="36"/>
  <c r="L35" i="36" s="1"/>
  <c r="I58" i="34"/>
  <c r="AH61" i="35"/>
  <c r="AJ61" i="35"/>
  <c r="AG61" i="35"/>
  <c r="AG80" i="35" s="1"/>
  <c r="AL62" i="35"/>
  <c r="AK61" i="35"/>
  <c r="AI61" i="35"/>
  <c r="O183" i="35"/>
  <c r="Q183" i="35"/>
  <c r="S184" i="35"/>
  <c r="N183" i="35"/>
  <c r="P183" i="35"/>
  <c r="M183" i="35"/>
  <c r="M202" i="35" s="1"/>
  <c r="R183" i="35"/>
  <c r="Q143" i="35"/>
  <c r="R143" i="35"/>
  <c r="N143" i="35"/>
  <c r="N162" i="35" s="1"/>
  <c r="O143" i="35"/>
  <c r="P143" i="35"/>
  <c r="S144" i="35"/>
  <c r="M151" i="35"/>
  <c r="L169" i="35"/>
  <c r="M18" i="34" s="1"/>
  <c r="M43" i="34" s="1"/>
  <c r="M56" i="34" s="1"/>
  <c r="P11" i="36" s="1"/>
  <c r="Q101" i="35"/>
  <c r="M101" i="35"/>
  <c r="M120" i="35" s="1"/>
  <c r="P101" i="35"/>
  <c r="R101" i="35"/>
  <c r="S102" i="35"/>
  <c r="N101" i="35"/>
  <c r="O101" i="35"/>
  <c r="AG59" i="36"/>
  <c r="AG64" i="36" s="1"/>
  <c r="AG66" i="36" s="1"/>
  <c r="AG67" i="36" s="1"/>
  <c r="AG79" i="36" s="1"/>
  <c r="I71" i="36"/>
  <c r="I40" i="36"/>
  <c r="L192" i="35"/>
  <c r="K210" i="35"/>
  <c r="L19" i="34" s="1"/>
  <c r="L44" i="34" s="1"/>
  <c r="L57" i="34" s="1"/>
  <c r="O12" i="36" s="1"/>
  <c r="G79" i="36"/>
  <c r="G64" i="36"/>
  <c r="L30" i="35"/>
  <c r="K47" i="35"/>
  <c r="L15" i="34" s="1"/>
  <c r="J53" i="34"/>
  <c r="J45" i="34"/>
  <c r="K40" i="34"/>
  <c r="K20" i="34"/>
  <c r="AI59" i="36"/>
  <c r="K71" i="36"/>
  <c r="AH59" i="36"/>
  <c r="J40" i="36"/>
  <c r="J71" i="36"/>
  <c r="K13" i="36"/>
  <c r="M119" i="35"/>
  <c r="N119" i="35" s="1"/>
  <c r="O119" i="35" s="1"/>
  <c r="P119" i="35" s="1"/>
  <c r="Q119" i="35" s="1"/>
  <c r="R119" i="35" s="1"/>
  <c r="C4" i="9"/>
  <c r="C3" i="9" s="1"/>
  <c r="C11" i="9" s="1"/>
  <c r="C26" i="9" s="1"/>
  <c r="AF110" i="35"/>
  <c r="N21" i="35"/>
  <c r="P21" i="35"/>
  <c r="M21" i="35"/>
  <c r="S22" i="35"/>
  <c r="O21" i="35"/>
  <c r="R21" i="35"/>
  <c r="L21" i="35"/>
  <c r="L39" i="35" s="1"/>
  <c r="Q21" i="35"/>
  <c r="N111" i="35"/>
  <c r="AH80" i="35" l="1"/>
  <c r="N202" i="35"/>
  <c r="AE128" i="35"/>
  <c r="AG18" i="34" s="1"/>
  <c r="M39" i="34" s="1"/>
  <c r="M52" i="34" s="1"/>
  <c r="P7" i="36" s="1"/>
  <c r="N120" i="35"/>
  <c r="O120" i="35" s="1"/>
  <c r="P120" i="35" s="1"/>
  <c r="Q120" i="35" s="1"/>
  <c r="R120" i="35" s="1"/>
  <c r="D11" i="9"/>
  <c r="D26" i="9" s="1"/>
  <c r="C21" i="9"/>
  <c r="C27" i="9" s="1"/>
  <c r="C28" i="9" s="1"/>
  <c r="C29" i="9" s="1"/>
  <c r="F99" i="36"/>
  <c r="F103" i="36" s="1"/>
  <c r="P7" i="14" s="1"/>
  <c r="C42" i="9"/>
  <c r="C41" i="9" s="1"/>
  <c r="C49" i="9" s="1"/>
  <c r="C63" i="9" s="1"/>
  <c r="C65" i="9" s="1"/>
  <c r="C66" i="9" s="1"/>
  <c r="P12" i="14" s="1"/>
  <c r="K40" i="36"/>
  <c r="AJ45" i="36"/>
  <c r="AH64" i="36"/>
  <c r="AH66" i="36" s="1"/>
  <c r="AH67" i="36" s="1"/>
  <c r="AH79" i="36" s="1"/>
  <c r="J46" i="36" s="1"/>
  <c r="J57" i="36" s="1"/>
  <c r="J80" i="36" s="1"/>
  <c r="AJ63" i="36"/>
  <c r="AJ61" i="36"/>
  <c r="AI57" i="36"/>
  <c r="AI56" i="36"/>
  <c r="AK50" i="36"/>
  <c r="AJ62" i="36"/>
  <c r="AJ58" i="36"/>
  <c r="M20" i="36"/>
  <c r="AK45" i="36" s="1"/>
  <c r="L32" i="36"/>
  <c r="L68" i="36" s="1"/>
  <c r="L33" i="36"/>
  <c r="AF30" i="35"/>
  <c r="AE47" i="35"/>
  <c r="AG16" i="34" s="1"/>
  <c r="M37" i="34" s="1"/>
  <c r="M50" i="34" s="1"/>
  <c r="AG40" i="35"/>
  <c r="AH40" i="35" s="1"/>
  <c r="AI40" i="35" s="1"/>
  <c r="AJ40" i="35" s="1"/>
  <c r="AK40" i="35" s="1"/>
  <c r="AF69" i="35"/>
  <c r="AE87" i="35"/>
  <c r="AG17" i="34" s="1"/>
  <c r="M38" i="34" s="1"/>
  <c r="M51" i="34" s="1"/>
  <c r="P6" i="36" s="1"/>
  <c r="H64" i="36"/>
  <c r="M36" i="36"/>
  <c r="M72" i="36" s="1"/>
  <c r="M34" i="36"/>
  <c r="M70" i="36" s="1"/>
  <c r="L37" i="34"/>
  <c r="L50" i="34" s="1"/>
  <c r="O5" i="36" s="1"/>
  <c r="AF20" i="34"/>
  <c r="M38" i="36"/>
  <c r="M74" i="36" s="1"/>
  <c r="AK49" i="36"/>
  <c r="AL102" i="35"/>
  <c r="AH101" i="35"/>
  <c r="AI101" i="35"/>
  <c r="AK101" i="35"/>
  <c r="AF101" i="35"/>
  <c r="AF120" i="35" s="1"/>
  <c r="AG101" i="35"/>
  <c r="AJ101" i="35"/>
  <c r="M78" i="35"/>
  <c r="N78" i="35" s="1"/>
  <c r="O78" i="35" s="1"/>
  <c r="P78" i="35" s="1"/>
  <c r="Q78" i="35" s="1"/>
  <c r="R78" i="35" s="1"/>
  <c r="L87" i="35"/>
  <c r="M16" i="34" s="1"/>
  <c r="M41" i="34" s="1"/>
  <c r="M54" i="34" s="1"/>
  <c r="P9" i="36" s="1"/>
  <c r="M70" i="35"/>
  <c r="AK52" i="36"/>
  <c r="N21" i="36"/>
  <c r="AL52" i="36" s="1"/>
  <c r="M39" i="36"/>
  <c r="M75" i="36" s="1"/>
  <c r="AJ23" i="35"/>
  <c r="AG23" i="35"/>
  <c r="AG41" i="35" s="1"/>
  <c r="AL24" i="35"/>
  <c r="AH23" i="35"/>
  <c r="AK23" i="35"/>
  <c r="AI23" i="35"/>
  <c r="M37" i="36"/>
  <c r="M73" i="36" s="1"/>
  <c r="AK51" i="36"/>
  <c r="AK48" i="36"/>
  <c r="AF119" i="35"/>
  <c r="AG119" i="35" s="1"/>
  <c r="AH119" i="35" s="1"/>
  <c r="AI119" i="35" s="1"/>
  <c r="AJ119" i="35" s="1"/>
  <c r="AK119" i="35" s="1"/>
  <c r="P60" i="35"/>
  <c r="N60" i="35"/>
  <c r="S61" i="35"/>
  <c r="M60" i="35"/>
  <c r="M79" i="35" s="1"/>
  <c r="O60" i="35"/>
  <c r="AJ60" i="36"/>
  <c r="J61" i="8"/>
  <c r="J96" i="8" s="1"/>
  <c r="H54" i="9" s="1"/>
  <c r="J97" i="8"/>
  <c r="H58" i="9" s="1"/>
  <c r="J57" i="8"/>
  <c r="J77" i="8"/>
  <c r="H10" i="9" s="1"/>
  <c r="J76" i="8"/>
  <c r="H100" i="8"/>
  <c r="H104" i="8" s="1"/>
  <c r="S15" i="14" s="1"/>
  <c r="F44" i="9"/>
  <c r="L31" i="8"/>
  <c r="L48" i="8" s="1"/>
  <c r="L63" i="8" s="1"/>
  <c r="L32" i="8"/>
  <c r="L49" i="8" s="1"/>
  <c r="L64" i="8" s="1"/>
  <c r="L39" i="8"/>
  <c r="L56" i="8" s="1"/>
  <c r="L71" i="8" s="1"/>
  <c r="L38" i="8"/>
  <c r="L55" i="8" s="1"/>
  <c r="L70" i="8" s="1"/>
  <c r="L33" i="8"/>
  <c r="L50" i="8" s="1"/>
  <c r="L65" i="8" s="1"/>
  <c r="M25" i="8"/>
  <c r="M35" i="8" s="1"/>
  <c r="M52" i="8" s="1"/>
  <c r="M67" i="8" s="1"/>
  <c r="L37" i="8"/>
  <c r="L54" i="8" s="1"/>
  <c r="L69" i="8" s="1"/>
  <c r="L29" i="8"/>
  <c r="L34" i="8"/>
  <c r="L51" i="8" s="1"/>
  <c r="L66" i="8" s="1"/>
  <c r="L36" i="8"/>
  <c r="L53" i="8" s="1"/>
  <c r="L68" i="8" s="1"/>
  <c r="L30" i="8"/>
  <c r="L47" i="8" s="1"/>
  <c r="L62" i="8" s="1"/>
  <c r="K46" i="8"/>
  <c r="K40" i="8"/>
  <c r="F16" i="9"/>
  <c r="H84" i="8"/>
  <c r="H88" i="8" s="1"/>
  <c r="S9" i="14" s="1"/>
  <c r="O10" i="32"/>
  <c r="P4" i="32"/>
  <c r="O162" i="35"/>
  <c r="P162" i="35" s="1"/>
  <c r="Q162" i="35" s="1"/>
  <c r="R162" i="35" s="1"/>
  <c r="AI80" i="35"/>
  <c r="AJ80" i="35" s="1"/>
  <c r="AK80" i="35" s="1"/>
  <c r="AG110" i="35"/>
  <c r="N151" i="35"/>
  <c r="M169" i="35"/>
  <c r="N18" i="34" s="1"/>
  <c r="N43" i="34" s="1"/>
  <c r="N56" i="34" s="1"/>
  <c r="Q11" i="36" s="1"/>
  <c r="M128" i="35"/>
  <c r="N17" i="34" s="1"/>
  <c r="N42" i="34" s="1"/>
  <c r="N55" i="34" s="1"/>
  <c r="Q10" i="36" s="1"/>
  <c r="AJ59" i="36"/>
  <c r="L71" i="36"/>
  <c r="Q144" i="35"/>
  <c r="O144" i="35"/>
  <c r="O163" i="35" s="1"/>
  <c r="P144" i="35"/>
  <c r="R144" i="35"/>
  <c r="S145" i="35"/>
  <c r="O202" i="35"/>
  <c r="P202" i="35" s="1"/>
  <c r="Q202" i="35" s="1"/>
  <c r="R202" i="35" s="1"/>
  <c r="L13" i="36"/>
  <c r="O111" i="35"/>
  <c r="M39" i="35"/>
  <c r="N39" i="35" s="1"/>
  <c r="O39" i="35" s="1"/>
  <c r="P39" i="35" s="1"/>
  <c r="Q39" i="35" s="1"/>
  <c r="R39" i="35" s="1"/>
  <c r="K53" i="34"/>
  <c r="K45" i="34"/>
  <c r="L47" i="35"/>
  <c r="M15" i="34" s="1"/>
  <c r="M30" i="35"/>
  <c r="I46" i="36"/>
  <c r="I57" i="36" s="1"/>
  <c r="I80" i="36" s="1"/>
  <c r="I45" i="36"/>
  <c r="I56" i="36" s="1"/>
  <c r="I47" i="36"/>
  <c r="I58" i="36" s="1"/>
  <c r="I81" i="36" s="1"/>
  <c r="I51" i="36"/>
  <c r="I62" i="36" s="1"/>
  <c r="I85" i="36" s="1"/>
  <c r="I48" i="36"/>
  <c r="I59" i="36" s="1"/>
  <c r="I82" i="36" s="1"/>
  <c r="I52" i="36"/>
  <c r="I63" i="36" s="1"/>
  <c r="I86" i="36" s="1"/>
  <c r="I49" i="36"/>
  <c r="I60" i="36" s="1"/>
  <c r="I83" i="36" s="1"/>
  <c r="I50" i="36"/>
  <c r="I61" i="36" s="1"/>
  <c r="I84" i="36" s="1"/>
  <c r="P102" i="35"/>
  <c r="O102" i="35"/>
  <c r="Q102" i="35"/>
  <c r="N102" i="35"/>
  <c r="N121" i="35" s="1"/>
  <c r="R102" i="35"/>
  <c r="S103" i="35"/>
  <c r="S185" i="35"/>
  <c r="R184" i="35"/>
  <c r="Q184" i="35"/>
  <c r="N184" i="35"/>
  <c r="N203" i="35" s="1"/>
  <c r="O184" i="35"/>
  <c r="P184" i="35"/>
  <c r="H95" i="36"/>
  <c r="E14" i="9" s="1"/>
  <c r="E13" i="9" s="1"/>
  <c r="I91" i="36"/>
  <c r="H96" i="36"/>
  <c r="E18" i="9" s="1"/>
  <c r="E17" i="9" s="1"/>
  <c r="I92" i="36"/>
  <c r="F8" i="9" s="1"/>
  <c r="F7" i="9" s="1"/>
  <c r="H112" i="36"/>
  <c r="E52" i="9" s="1"/>
  <c r="E51" i="9" s="1"/>
  <c r="I109" i="36"/>
  <c r="F46" i="9" s="1"/>
  <c r="F45" i="9" s="1"/>
  <c r="H108" i="36"/>
  <c r="I113" i="36"/>
  <c r="F56" i="9" s="1"/>
  <c r="F55" i="9" s="1"/>
  <c r="R22" i="35"/>
  <c r="N22" i="35"/>
  <c r="M22" i="35"/>
  <c r="M40" i="35" s="1"/>
  <c r="Q22" i="35"/>
  <c r="S23" i="35"/>
  <c r="O22" i="35"/>
  <c r="P22" i="35"/>
  <c r="M192" i="35"/>
  <c r="L210" i="35"/>
  <c r="M19" i="34" s="1"/>
  <c r="M44" i="34" s="1"/>
  <c r="M57" i="34" s="1"/>
  <c r="P12" i="36" s="1"/>
  <c r="AL63" i="35"/>
  <c r="AH62" i="35"/>
  <c r="AH81" i="35" s="1"/>
  <c r="AK62" i="35"/>
  <c r="AI62" i="35"/>
  <c r="AJ62" i="35"/>
  <c r="P13" i="14"/>
  <c r="L20" i="34"/>
  <c r="L40" i="34"/>
  <c r="M8" i="36"/>
  <c r="M35" i="36" s="1"/>
  <c r="J58" i="34"/>
  <c r="H91" i="36"/>
  <c r="G96" i="36"/>
  <c r="D18" i="9" s="1"/>
  <c r="D17" i="9" s="1"/>
  <c r="G95" i="36"/>
  <c r="H92" i="36"/>
  <c r="E8" i="9" s="1"/>
  <c r="E7" i="9" s="1"/>
  <c r="G108" i="36"/>
  <c r="H113" i="36"/>
  <c r="E56" i="9" s="1"/>
  <c r="E55" i="9" s="1"/>
  <c r="G112" i="36"/>
  <c r="D52" i="9" s="1"/>
  <c r="D51" i="9" s="1"/>
  <c r="D59" i="9" s="1"/>
  <c r="D64" i="9" s="1"/>
  <c r="H109" i="36"/>
  <c r="E46" i="9" s="1"/>
  <c r="E45" i="9" s="1"/>
  <c r="BI5" i="36"/>
  <c r="AF128" i="35" l="1"/>
  <c r="AH18" i="34" s="1"/>
  <c r="N39" i="34" s="1"/>
  <c r="N52" i="34" s="1"/>
  <c r="Q7" i="36" s="1"/>
  <c r="C34" i="9"/>
  <c r="C35" i="9" s="1"/>
  <c r="C36" i="9" s="1"/>
  <c r="AH41" i="35"/>
  <c r="AI41" i="35" s="1"/>
  <c r="AJ41" i="35" s="1"/>
  <c r="AK41" i="35" s="1"/>
  <c r="O121" i="35"/>
  <c r="P121" i="35" s="1"/>
  <c r="Q121" i="35" s="1"/>
  <c r="R121" i="35" s="1"/>
  <c r="J47" i="36"/>
  <c r="J58" i="36" s="1"/>
  <c r="J81" i="36" s="1"/>
  <c r="AG20" i="34"/>
  <c r="J45" i="36"/>
  <c r="J56" i="36" s="1"/>
  <c r="J79" i="36" s="1"/>
  <c r="J49" i="36"/>
  <c r="J60" i="36" s="1"/>
  <c r="J83" i="36" s="1"/>
  <c r="J51" i="36"/>
  <c r="J62" i="36" s="1"/>
  <c r="J85" i="36" s="1"/>
  <c r="AL49" i="36"/>
  <c r="J52" i="36"/>
  <c r="J63" i="36" s="1"/>
  <c r="J86" i="36" s="1"/>
  <c r="J50" i="36"/>
  <c r="J61" i="36" s="1"/>
  <c r="J84" i="36" s="1"/>
  <c r="AK62" i="36"/>
  <c r="J48" i="36"/>
  <c r="J59" i="36" s="1"/>
  <c r="J82" i="36" s="1"/>
  <c r="AI64" i="36"/>
  <c r="AI66" i="36" s="1"/>
  <c r="AI67" i="36" s="1"/>
  <c r="AI79" i="36" s="1"/>
  <c r="K52" i="36" s="1"/>
  <c r="K63" i="36" s="1"/>
  <c r="K86" i="36" s="1"/>
  <c r="N37" i="36"/>
  <c r="N73" i="36" s="1"/>
  <c r="AL48" i="36"/>
  <c r="N38" i="36"/>
  <c r="N74" i="36" s="1"/>
  <c r="AK63" i="36"/>
  <c r="N36" i="36"/>
  <c r="N72" i="36" s="1"/>
  <c r="AL50" i="36"/>
  <c r="AJ56" i="36"/>
  <c r="L40" i="36"/>
  <c r="N34" i="36"/>
  <c r="N70" i="36" s="1"/>
  <c r="AL47" i="36"/>
  <c r="AK61" i="36"/>
  <c r="L69" i="36"/>
  <c r="AJ57" i="36"/>
  <c r="N20" i="36"/>
  <c r="M32" i="36"/>
  <c r="M33" i="36"/>
  <c r="M69" i="36" s="1"/>
  <c r="AK46" i="36"/>
  <c r="AF47" i="35"/>
  <c r="AH16" i="34" s="1"/>
  <c r="AG30" i="35"/>
  <c r="N79" i="35"/>
  <c r="O79" i="35" s="1"/>
  <c r="P79" i="35" s="1"/>
  <c r="Q79" i="35" s="1"/>
  <c r="R79" i="35" s="1"/>
  <c r="AG120" i="35"/>
  <c r="AH120" i="35" s="1"/>
  <c r="AI120" i="35" s="1"/>
  <c r="AJ120" i="35" s="1"/>
  <c r="AK120" i="35" s="1"/>
  <c r="AK60" i="36"/>
  <c r="AK58" i="36"/>
  <c r="AH24" i="35"/>
  <c r="AH42" i="35" s="1"/>
  <c r="AK24" i="35"/>
  <c r="AL25" i="35"/>
  <c r="AI24" i="35"/>
  <c r="AJ24" i="35"/>
  <c r="N70" i="35"/>
  <c r="M87" i="35"/>
  <c r="N16" i="34" s="1"/>
  <c r="N41" i="34" s="1"/>
  <c r="N54" i="34" s="1"/>
  <c r="Q9" i="36" s="1"/>
  <c r="N61" i="35"/>
  <c r="N80" i="35" s="1"/>
  <c r="O61" i="35"/>
  <c r="S62" i="35"/>
  <c r="Q61" i="35"/>
  <c r="P61" i="35"/>
  <c r="AL51" i="36"/>
  <c r="O21" i="36"/>
  <c r="AJ102" i="35"/>
  <c r="AI102" i="35"/>
  <c r="AK102" i="35"/>
  <c r="AH102" i="35"/>
  <c r="AG102" i="35"/>
  <c r="AG121" i="35" s="1"/>
  <c r="AL103" i="35"/>
  <c r="AG69" i="35"/>
  <c r="AF87" i="35"/>
  <c r="AH17" i="34" s="1"/>
  <c r="N38" i="34" s="1"/>
  <c r="N51" i="34" s="1"/>
  <c r="Q6" i="36" s="1"/>
  <c r="N39" i="36"/>
  <c r="N75" i="36" s="1"/>
  <c r="K97" i="8"/>
  <c r="I58" i="9" s="1"/>
  <c r="K57" i="8"/>
  <c r="K61" i="8"/>
  <c r="L46" i="8"/>
  <c r="L40" i="8"/>
  <c r="K93" i="8"/>
  <c r="I48" i="9" s="1"/>
  <c r="K77" i="8"/>
  <c r="I10" i="9" s="1"/>
  <c r="J81" i="8"/>
  <c r="H20" i="9" s="1"/>
  <c r="J92" i="8"/>
  <c r="K76" i="8"/>
  <c r="I6" i="9" s="1"/>
  <c r="J80" i="8"/>
  <c r="H16" i="9" s="1"/>
  <c r="M36" i="8"/>
  <c r="M53" i="8" s="1"/>
  <c r="M68" i="8" s="1"/>
  <c r="M39" i="8"/>
  <c r="M56" i="8" s="1"/>
  <c r="M71" i="8" s="1"/>
  <c r="M31" i="8"/>
  <c r="M48" i="8" s="1"/>
  <c r="M63" i="8" s="1"/>
  <c r="M38" i="8"/>
  <c r="M55" i="8" s="1"/>
  <c r="M70" i="8" s="1"/>
  <c r="M30" i="8"/>
  <c r="M47" i="8" s="1"/>
  <c r="M62" i="8" s="1"/>
  <c r="M29" i="8"/>
  <c r="M37" i="8"/>
  <c r="M54" i="8" s="1"/>
  <c r="M69" i="8" s="1"/>
  <c r="M32" i="8"/>
  <c r="M49" i="8" s="1"/>
  <c r="M64" i="8" s="1"/>
  <c r="N25" i="8"/>
  <c r="N35" i="8" s="1"/>
  <c r="N52" i="8" s="1"/>
  <c r="N67" i="8" s="1"/>
  <c r="M33" i="8"/>
  <c r="M50" i="8" s="1"/>
  <c r="M65" i="8" s="1"/>
  <c r="M34" i="8"/>
  <c r="M51" i="8" s="1"/>
  <c r="M66" i="8" s="1"/>
  <c r="H6" i="9"/>
  <c r="P10" i="32"/>
  <c r="Q4" i="32"/>
  <c r="AI81" i="35"/>
  <c r="AJ81" i="35" s="1"/>
  <c r="AK81" i="35" s="1"/>
  <c r="N40" i="35"/>
  <c r="O40" i="35" s="1"/>
  <c r="P40" i="35" s="1"/>
  <c r="Q40" i="35" s="1"/>
  <c r="R40" i="35" s="1"/>
  <c r="G116" i="36"/>
  <c r="G120" i="36" s="1"/>
  <c r="D42" i="9"/>
  <c r="D41" i="9" s="1"/>
  <c r="D49" i="9" s="1"/>
  <c r="D63" i="9" s="1"/>
  <c r="D65" i="9" s="1"/>
  <c r="D66" i="9" s="1"/>
  <c r="Q185" i="35"/>
  <c r="S186" i="35"/>
  <c r="R185" i="35"/>
  <c r="P185" i="35"/>
  <c r="O185" i="35"/>
  <c r="O204" i="35" s="1"/>
  <c r="M47" i="35"/>
  <c r="N15" i="34" s="1"/>
  <c r="N30" i="35"/>
  <c r="AK59" i="36"/>
  <c r="M71" i="36"/>
  <c r="O151" i="35"/>
  <c r="N169" i="35"/>
  <c r="O18" i="34" s="1"/>
  <c r="O43" i="34" s="1"/>
  <c r="O56" i="34" s="1"/>
  <c r="R11" i="36" s="1"/>
  <c r="O203" i="35"/>
  <c r="P203" i="35" s="1"/>
  <c r="Q203" i="35" s="1"/>
  <c r="R203" i="35" s="1"/>
  <c r="R103" i="35"/>
  <c r="O103" i="35"/>
  <c r="O122" i="35" s="1"/>
  <c r="Q103" i="35"/>
  <c r="P103" i="35"/>
  <c r="S104" i="35"/>
  <c r="D14" i="9"/>
  <c r="D13" i="9" s="1"/>
  <c r="D21" i="9" s="1"/>
  <c r="D27" i="9" s="1"/>
  <c r="G99" i="36"/>
  <c r="G103" i="36" s="1"/>
  <c r="M13" i="36"/>
  <c r="AL64" i="35"/>
  <c r="AJ63" i="35"/>
  <c r="AI63" i="35"/>
  <c r="AI82" i="35" s="1"/>
  <c r="AK63" i="35"/>
  <c r="F4" i="9"/>
  <c r="F3" i="9" s="1"/>
  <c r="F11" i="9" s="1"/>
  <c r="F26" i="9" s="1"/>
  <c r="I64" i="36"/>
  <c r="I79" i="36"/>
  <c r="P111" i="35"/>
  <c r="Q111" i="35" s="1"/>
  <c r="R111" i="35" s="1"/>
  <c r="Q145" i="35"/>
  <c r="R145" i="35"/>
  <c r="P145" i="35"/>
  <c r="P164" i="35" s="1"/>
  <c r="S146" i="35"/>
  <c r="S147" i="35" s="1"/>
  <c r="E4" i="9"/>
  <c r="E3" i="9" s="1"/>
  <c r="E11" i="9" s="1"/>
  <c r="E26" i="9" s="1"/>
  <c r="H99" i="36"/>
  <c r="H103" i="36" s="1"/>
  <c r="R7" i="14" s="1"/>
  <c r="L53" i="34"/>
  <c r="L45" i="34"/>
  <c r="N192" i="35"/>
  <c r="M210" i="35"/>
  <c r="N19" i="34" s="1"/>
  <c r="N44" i="34" s="1"/>
  <c r="N57" i="34" s="1"/>
  <c r="Q12" i="36" s="1"/>
  <c r="BJ5" i="36"/>
  <c r="E42" i="9"/>
  <c r="E41" i="9" s="1"/>
  <c r="E49" i="9" s="1"/>
  <c r="E63" i="9" s="1"/>
  <c r="H116" i="36"/>
  <c r="H120" i="36" s="1"/>
  <c r="R13" i="14" s="1"/>
  <c r="M20" i="34"/>
  <c r="M40" i="34"/>
  <c r="N128" i="35"/>
  <c r="O17" i="34" s="1"/>
  <c r="O42" i="34" s="1"/>
  <c r="O55" i="34" s="1"/>
  <c r="R10" i="36" s="1"/>
  <c r="P163" i="35"/>
  <c r="Q163" i="35" s="1"/>
  <c r="R163" i="35" s="1"/>
  <c r="P5" i="36"/>
  <c r="P23" i="35"/>
  <c r="R23" i="35"/>
  <c r="O23" i="35"/>
  <c r="N23" i="35"/>
  <c r="N41" i="35" s="1"/>
  <c r="S24" i="35"/>
  <c r="Q23" i="35"/>
  <c r="E59" i="9"/>
  <c r="E64" i="9" s="1"/>
  <c r="E21" i="9"/>
  <c r="E27" i="9" s="1"/>
  <c r="N8" i="36"/>
  <c r="K58" i="34"/>
  <c r="P6" i="14"/>
  <c r="AH110" i="35"/>
  <c r="P204" i="35" l="1"/>
  <c r="Q204" i="35" s="1"/>
  <c r="Q164" i="35"/>
  <c r="O128" i="35"/>
  <c r="P17" i="34" s="1"/>
  <c r="P42" i="34" s="1"/>
  <c r="P55" i="34" s="1"/>
  <c r="S10" i="36" s="1"/>
  <c r="AL60" i="36"/>
  <c r="AM49" i="36"/>
  <c r="P21" i="36"/>
  <c r="AN50" i="36" s="1"/>
  <c r="AH121" i="35"/>
  <c r="AI121" i="35" s="1"/>
  <c r="AJ121" i="35" s="1"/>
  <c r="AK121" i="35" s="1"/>
  <c r="AI42" i="35"/>
  <c r="AJ42" i="35" s="1"/>
  <c r="AK42" i="35" s="1"/>
  <c r="M40" i="36"/>
  <c r="J64" i="36"/>
  <c r="AL61" i="36"/>
  <c r="K48" i="36"/>
  <c r="K59" i="36" s="1"/>
  <c r="K82" i="36" s="1"/>
  <c r="K49" i="36"/>
  <c r="K60" i="36" s="1"/>
  <c r="K83" i="36" s="1"/>
  <c r="K47" i="36"/>
  <c r="K58" i="36" s="1"/>
  <c r="K81" i="36" s="1"/>
  <c r="K45" i="36"/>
  <c r="K56" i="36" s="1"/>
  <c r="K79" i="36" s="1"/>
  <c r="K50" i="36"/>
  <c r="K61" i="36" s="1"/>
  <c r="K84" i="36" s="1"/>
  <c r="K51" i="36"/>
  <c r="K62" i="36" s="1"/>
  <c r="K85" i="36" s="1"/>
  <c r="K46" i="36"/>
  <c r="K57" i="36" s="1"/>
  <c r="K80" i="36" s="1"/>
  <c r="AL62" i="36"/>
  <c r="AJ64" i="36"/>
  <c r="AJ66" i="36" s="1"/>
  <c r="AJ67" i="36" s="1"/>
  <c r="AJ79" i="36" s="1"/>
  <c r="L50" i="36" s="1"/>
  <c r="L61" i="36" s="1"/>
  <c r="L84" i="36" s="1"/>
  <c r="AK57" i="36"/>
  <c r="AL58" i="36"/>
  <c r="O34" i="36"/>
  <c r="O70" i="36" s="1"/>
  <c r="O38" i="36"/>
  <c r="O74" i="36" s="1"/>
  <c r="O36" i="36"/>
  <c r="O72" i="36" s="1"/>
  <c r="AM50" i="36"/>
  <c r="M68" i="36"/>
  <c r="AK56" i="36"/>
  <c r="O37" i="36"/>
  <c r="O73" i="36" s="1"/>
  <c r="AM51" i="36"/>
  <c r="AM48" i="36"/>
  <c r="O20" i="36"/>
  <c r="P20" i="36" s="1"/>
  <c r="N33" i="36"/>
  <c r="N69" i="36" s="1"/>
  <c r="AL46" i="36"/>
  <c r="AL45" i="36"/>
  <c r="N32" i="36"/>
  <c r="N68" i="36" s="1"/>
  <c r="AL63" i="36"/>
  <c r="AM47" i="36"/>
  <c r="P62" i="35"/>
  <c r="R62" i="35"/>
  <c r="O62" i="35"/>
  <c r="O81" i="35" s="1"/>
  <c r="S63" i="35"/>
  <c r="Q62" i="35"/>
  <c r="AJ25" i="35"/>
  <c r="AK25" i="35"/>
  <c r="AI25" i="35"/>
  <c r="AI43" i="35" s="1"/>
  <c r="AL26" i="35"/>
  <c r="AL27" i="35" s="1"/>
  <c r="AG47" i="35"/>
  <c r="AI16" i="34" s="1"/>
  <c r="O37" i="34" s="1"/>
  <c r="O50" i="34" s="1"/>
  <c r="AH30" i="35"/>
  <c r="AJ103" i="35"/>
  <c r="AL104" i="35"/>
  <c r="AH103" i="35"/>
  <c r="AH122" i="35" s="1"/>
  <c r="AI103" i="35"/>
  <c r="AK103" i="35"/>
  <c r="AM52" i="36"/>
  <c r="O39" i="36"/>
  <c r="O75" i="36" s="1"/>
  <c r="O80" i="35"/>
  <c r="P80" i="35" s="1"/>
  <c r="Q80" i="35" s="1"/>
  <c r="R80" i="35" s="1"/>
  <c r="N37" i="34"/>
  <c r="N50" i="34" s="1"/>
  <c r="Q5" i="36" s="1"/>
  <c r="AH20" i="34"/>
  <c r="AH69" i="35"/>
  <c r="AG87" i="35"/>
  <c r="AI17" i="34" s="1"/>
  <c r="O38" i="34" s="1"/>
  <c r="O51" i="34" s="1"/>
  <c r="R6" i="36" s="1"/>
  <c r="O70" i="35"/>
  <c r="N87" i="35"/>
  <c r="O16" i="34" s="1"/>
  <c r="O41" i="34" s="1"/>
  <c r="O54" i="34" s="1"/>
  <c r="R9" i="36" s="1"/>
  <c r="AG128" i="35"/>
  <c r="AI18" i="34" s="1"/>
  <c r="O39" i="34" s="1"/>
  <c r="O52" i="34" s="1"/>
  <c r="R7" i="36" s="1"/>
  <c r="P4" i="14"/>
  <c r="J84" i="8"/>
  <c r="J88" i="8" s="1"/>
  <c r="T9" i="14" s="1"/>
  <c r="N36" i="8"/>
  <c r="N53" i="8" s="1"/>
  <c r="N68" i="8" s="1"/>
  <c r="N37" i="8"/>
  <c r="N54" i="8" s="1"/>
  <c r="N69" i="8" s="1"/>
  <c r="N38" i="8"/>
  <c r="N55" i="8" s="1"/>
  <c r="N70" i="8" s="1"/>
  <c r="N29" i="8"/>
  <c r="N32" i="8"/>
  <c r="N49" i="8" s="1"/>
  <c r="N64" i="8" s="1"/>
  <c r="N33" i="8"/>
  <c r="N50" i="8" s="1"/>
  <c r="N65" i="8" s="1"/>
  <c r="N34" i="8"/>
  <c r="N51" i="8" s="1"/>
  <c r="N66" i="8" s="1"/>
  <c r="N30" i="8"/>
  <c r="N47" i="8" s="1"/>
  <c r="N62" i="8" s="1"/>
  <c r="N39" i="8"/>
  <c r="N56" i="8" s="1"/>
  <c r="N71" i="8" s="1"/>
  <c r="N31" i="8"/>
  <c r="N48" i="8" s="1"/>
  <c r="N63" i="8" s="1"/>
  <c r="O25" i="8"/>
  <c r="O35" i="8" s="1"/>
  <c r="O52" i="8" s="1"/>
  <c r="O67" i="8" s="1"/>
  <c r="J100" i="8"/>
  <c r="J104" i="8" s="1"/>
  <c r="T15" i="14" s="1"/>
  <c r="H44" i="9"/>
  <c r="K81" i="8"/>
  <c r="I20" i="9" s="1"/>
  <c r="K80" i="8"/>
  <c r="K96" i="8"/>
  <c r="I54" i="9" s="1"/>
  <c r="L77" i="8"/>
  <c r="J10" i="9" s="1"/>
  <c r="L76" i="8"/>
  <c r="J6" i="9" s="1"/>
  <c r="K92" i="8"/>
  <c r="L93" i="8"/>
  <c r="J48" i="9" s="1"/>
  <c r="O41" i="35"/>
  <c r="P41" i="35" s="1"/>
  <c r="Q41" i="35" s="1"/>
  <c r="R41" i="35" s="1"/>
  <c r="M46" i="8"/>
  <c r="M40" i="8"/>
  <c r="L57" i="8"/>
  <c r="L97" i="8"/>
  <c r="J58" i="9" s="1"/>
  <c r="L61" i="8"/>
  <c r="L96" i="8" s="1"/>
  <c r="J54" i="9" s="1"/>
  <c r="R4" i="32"/>
  <c r="Q10" i="32"/>
  <c r="R164" i="35"/>
  <c r="O192" i="35"/>
  <c r="N210" i="35"/>
  <c r="O19" i="34" s="1"/>
  <c r="O44" i="34" s="1"/>
  <c r="O57" i="34" s="1"/>
  <c r="R12" i="36" s="1"/>
  <c r="Q7" i="14"/>
  <c r="M53" i="34"/>
  <c r="M45" i="34"/>
  <c r="AL65" i="35"/>
  <c r="AK64" i="35"/>
  <c r="AJ64" i="35"/>
  <c r="AJ83" i="35" s="1"/>
  <c r="D34" i="9"/>
  <c r="D35" i="9" s="1"/>
  <c r="D36" i="9" s="1"/>
  <c r="D28" i="9"/>
  <c r="D29" i="9" s="1"/>
  <c r="S105" i="35"/>
  <c r="S106" i="35" s="1"/>
  <c r="Q104" i="35"/>
  <c r="P104" i="35"/>
  <c r="P123" i="35" s="1"/>
  <c r="R104" i="35"/>
  <c r="P151" i="35"/>
  <c r="Q151" i="35" s="1"/>
  <c r="R151" i="35" s="1"/>
  <c r="O169" i="35"/>
  <c r="P18" i="34" s="1"/>
  <c r="P43" i="34" s="1"/>
  <c r="P56" i="34" s="1"/>
  <c r="S11" i="36" s="1"/>
  <c r="S187" i="35"/>
  <c r="S188" i="35" s="1"/>
  <c r="R186" i="35"/>
  <c r="Q186" i="35"/>
  <c r="P186" i="35"/>
  <c r="P205" i="35" s="1"/>
  <c r="AI110" i="35"/>
  <c r="BK5" i="36"/>
  <c r="BL5" i="36" s="1"/>
  <c r="BM5" i="36" s="1"/>
  <c r="O8" i="36"/>
  <c r="L58" i="34"/>
  <c r="E34" i="9"/>
  <c r="E35" i="9" s="1"/>
  <c r="E36" i="9" s="1"/>
  <c r="E28" i="9"/>
  <c r="E29" i="9" s="1"/>
  <c r="R6" i="14" s="1"/>
  <c r="R4" i="14" s="1"/>
  <c r="R204" i="35"/>
  <c r="Q12" i="14"/>
  <c r="N13" i="36"/>
  <c r="N20" i="34"/>
  <c r="N40" i="34"/>
  <c r="AJ82" i="35"/>
  <c r="AK82" i="35" s="1"/>
  <c r="O24" i="35"/>
  <c r="O42" i="35" s="1"/>
  <c r="R24" i="35"/>
  <c r="S25" i="35"/>
  <c r="Q24" i="35"/>
  <c r="P24" i="35"/>
  <c r="E65" i="9"/>
  <c r="E66" i="9" s="1"/>
  <c r="R12" i="14" s="1"/>
  <c r="K91" i="36"/>
  <c r="K92" i="36"/>
  <c r="H8" i="9" s="1"/>
  <c r="H7" i="9" s="1"/>
  <c r="K109" i="36"/>
  <c r="H46" i="9" s="1"/>
  <c r="H45" i="9" s="1"/>
  <c r="K113" i="36"/>
  <c r="H56" i="9" s="1"/>
  <c r="H55" i="9" s="1"/>
  <c r="I95" i="36"/>
  <c r="I96" i="36"/>
  <c r="F18" i="9" s="1"/>
  <c r="F17" i="9" s="1"/>
  <c r="I108" i="36"/>
  <c r="I112" i="36"/>
  <c r="F52" i="9" s="1"/>
  <c r="F51" i="9" s="1"/>
  <c r="F59" i="9" s="1"/>
  <c r="F64" i="9" s="1"/>
  <c r="N35" i="36"/>
  <c r="P122" i="35"/>
  <c r="Q122" i="35" s="1"/>
  <c r="R122" i="35" s="1"/>
  <c r="O30" i="35"/>
  <c r="N47" i="35"/>
  <c r="O15" i="34" s="1"/>
  <c r="Q13" i="14"/>
  <c r="AM58" i="36" l="1"/>
  <c r="P81" i="35"/>
  <c r="Q81" i="35" s="1"/>
  <c r="R81" i="35" s="1"/>
  <c r="L109" i="36"/>
  <c r="I46" i="9" s="1"/>
  <c r="I45" i="9" s="1"/>
  <c r="AI122" i="35"/>
  <c r="AJ122" i="35" s="1"/>
  <c r="AK122" i="35" s="1"/>
  <c r="K96" i="36"/>
  <c r="H18" i="9" s="1"/>
  <c r="H17" i="9" s="1"/>
  <c r="L92" i="36"/>
  <c r="I8" i="9" s="1"/>
  <c r="I7" i="9" s="1"/>
  <c r="L113" i="36"/>
  <c r="I56" i="9" s="1"/>
  <c r="I55" i="9" s="1"/>
  <c r="K95" i="36"/>
  <c r="H14" i="9" s="1"/>
  <c r="H13" i="9" s="1"/>
  <c r="K112" i="36"/>
  <c r="H52" i="9" s="1"/>
  <c r="H51" i="9" s="1"/>
  <c r="H59" i="9" s="1"/>
  <c r="H64" i="9" s="1"/>
  <c r="L91" i="36"/>
  <c r="I4" i="9" s="1"/>
  <c r="I3" i="9" s="1"/>
  <c r="K64" i="36"/>
  <c r="K108" i="36"/>
  <c r="H42" i="9" s="1"/>
  <c r="H41" i="9" s="1"/>
  <c r="H49" i="9" s="1"/>
  <c r="H63" i="9" s="1"/>
  <c r="L47" i="36"/>
  <c r="L58" i="36" s="1"/>
  <c r="L81" i="36" s="1"/>
  <c r="AM62" i="36"/>
  <c r="L48" i="36"/>
  <c r="L59" i="36" s="1"/>
  <c r="L82" i="36" s="1"/>
  <c r="L51" i="36"/>
  <c r="L62" i="36" s="1"/>
  <c r="L85" i="36" s="1"/>
  <c r="AK64" i="36"/>
  <c r="AK66" i="36" s="1"/>
  <c r="AK67" i="36" s="1"/>
  <c r="AK79" i="36" s="1"/>
  <c r="L49" i="36"/>
  <c r="L60" i="36" s="1"/>
  <c r="L83" i="36" s="1"/>
  <c r="L46" i="36"/>
  <c r="L57" i="36" s="1"/>
  <c r="L80" i="36" s="1"/>
  <c r="L45" i="36"/>
  <c r="L56" i="36" s="1"/>
  <c r="L52" i="36"/>
  <c r="L63" i="36" s="1"/>
  <c r="L86" i="36" s="1"/>
  <c r="P33" i="36"/>
  <c r="P69" i="36" s="1"/>
  <c r="AM45" i="36"/>
  <c r="P34" i="36"/>
  <c r="P70" i="36" s="1"/>
  <c r="O33" i="36"/>
  <c r="O69" i="36" s="1"/>
  <c r="P39" i="36"/>
  <c r="P75" i="36" s="1"/>
  <c r="AN49" i="36"/>
  <c r="AL56" i="36"/>
  <c r="AM46" i="36"/>
  <c r="O32" i="36"/>
  <c r="O68" i="36" s="1"/>
  <c r="AN48" i="36"/>
  <c r="AL57" i="36"/>
  <c r="AM61" i="36"/>
  <c r="AM60" i="36"/>
  <c r="P37" i="36"/>
  <c r="P73" i="36" s="1"/>
  <c r="AH128" i="35"/>
  <c r="AJ18" i="34" s="1"/>
  <c r="P39" i="34" s="1"/>
  <c r="P52" i="34" s="1"/>
  <c r="S7" i="36" s="1"/>
  <c r="Q205" i="35"/>
  <c r="R205" i="35" s="1"/>
  <c r="AI20" i="34"/>
  <c r="AH87" i="35"/>
  <c r="AJ17" i="34" s="1"/>
  <c r="P38" i="34" s="1"/>
  <c r="P51" i="34" s="1"/>
  <c r="S6" i="36" s="1"/>
  <c r="AI69" i="35"/>
  <c r="AN52" i="36"/>
  <c r="AM63" i="36"/>
  <c r="AI30" i="35"/>
  <c r="AJ30" i="35" s="1"/>
  <c r="AK30" i="35" s="1"/>
  <c r="AH47" i="35"/>
  <c r="AJ16" i="34" s="1"/>
  <c r="P37" i="34" s="1"/>
  <c r="P50" i="34" s="1"/>
  <c r="AJ43" i="35"/>
  <c r="AK43" i="35" s="1"/>
  <c r="P70" i="35"/>
  <c r="Q70" i="35" s="1"/>
  <c r="R70" i="35" s="1"/>
  <c r="O87" i="35"/>
  <c r="P16" i="34" s="1"/>
  <c r="P41" i="34" s="1"/>
  <c r="P54" i="34" s="1"/>
  <c r="S9" i="36" s="1"/>
  <c r="R63" i="35"/>
  <c r="Q63" i="35"/>
  <c r="S64" i="35"/>
  <c r="S65" i="35" s="1"/>
  <c r="P63" i="35"/>
  <c r="P82" i="35" s="1"/>
  <c r="AN51" i="36"/>
  <c r="Q21" i="36"/>
  <c r="AO48" i="36" s="1"/>
  <c r="AK104" i="35"/>
  <c r="AJ104" i="35"/>
  <c r="AL105" i="35"/>
  <c r="AI104" i="35"/>
  <c r="AI123" i="35" s="1"/>
  <c r="P38" i="36"/>
  <c r="P74" i="36" s="1"/>
  <c r="AN47" i="36"/>
  <c r="P36" i="36"/>
  <c r="P72" i="36" s="1"/>
  <c r="I44" i="9"/>
  <c r="K100" i="8"/>
  <c r="K104" i="8" s="1"/>
  <c r="U15" i="14" s="1"/>
  <c r="I16" i="9"/>
  <c r="K84" i="8"/>
  <c r="K88" i="8" s="1"/>
  <c r="U9" i="14" s="1"/>
  <c r="O39" i="8"/>
  <c r="O56" i="8" s="1"/>
  <c r="O71" i="8" s="1"/>
  <c r="P25" i="8"/>
  <c r="P35" i="8" s="1"/>
  <c r="P52" i="8" s="1"/>
  <c r="P67" i="8" s="1"/>
  <c r="O29" i="8"/>
  <c r="O32" i="8"/>
  <c r="O49" i="8" s="1"/>
  <c r="O64" i="8" s="1"/>
  <c r="O33" i="8"/>
  <c r="O50" i="8" s="1"/>
  <c r="O65" i="8" s="1"/>
  <c r="O37" i="8"/>
  <c r="O54" i="8" s="1"/>
  <c r="O69" i="8" s="1"/>
  <c r="O36" i="8"/>
  <c r="O53" i="8" s="1"/>
  <c r="O68" i="8" s="1"/>
  <c r="O30" i="8"/>
  <c r="O47" i="8" s="1"/>
  <c r="O62" i="8" s="1"/>
  <c r="O38" i="8"/>
  <c r="O55" i="8" s="1"/>
  <c r="O70" i="8" s="1"/>
  <c r="O31" i="8"/>
  <c r="O48" i="8" s="1"/>
  <c r="O63" i="8" s="1"/>
  <c r="O34" i="8"/>
  <c r="O51" i="8" s="1"/>
  <c r="O66" i="8" s="1"/>
  <c r="N46" i="8"/>
  <c r="N40" i="8"/>
  <c r="Q123" i="35"/>
  <c r="R123" i="35" s="1"/>
  <c r="M93" i="8"/>
  <c r="K48" i="9" s="1"/>
  <c r="L80" i="8"/>
  <c r="M77" i="8"/>
  <c r="K10" i="9" s="1"/>
  <c r="L92" i="8"/>
  <c r="L81" i="8"/>
  <c r="J20" i="9" s="1"/>
  <c r="M76" i="8"/>
  <c r="K6" i="9" s="1"/>
  <c r="M61" i="8"/>
  <c r="M57" i="8"/>
  <c r="M97" i="8"/>
  <c r="K58" i="9" s="1"/>
  <c r="R10" i="32"/>
  <c r="S4" i="32"/>
  <c r="AK83" i="35"/>
  <c r="O40" i="34"/>
  <c r="O20" i="34"/>
  <c r="S26" i="35"/>
  <c r="S27" i="35" s="1"/>
  <c r="Q25" i="35"/>
  <c r="R25" i="35"/>
  <c r="P25" i="35"/>
  <c r="P43" i="35" s="1"/>
  <c r="N53" i="34"/>
  <c r="N45" i="34"/>
  <c r="O13" i="36"/>
  <c r="AL59" i="36"/>
  <c r="N71" i="36"/>
  <c r="N40" i="36"/>
  <c r="F14" i="9"/>
  <c r="F13" i="9" s="1"/>
  <c r="F21" i="9" s="1"/>
  <c r="F27" i="9" s="1"/>
  <c r="I99" i="36"/>
  <c r="I103" i="36" s="1"/>
  <c r="H4" i="9"/>
  <c r="H3" i="9" s="1"/>
  <c r="H11" i="9" s="1"/>
  <c r="H26" i="9" s="1"/>
  <c r="O35" i="36"/>
  <c r="R5" i="36"/>
  <c r="AK65" i="35"/>
  <c r="AK84" i="35" s="1"/>
  <c r="F42" i="9"/>
  <c r="F41" i="9" s="1"/>
  <c r="F49" i="9" s="1"/>
  <c r="F63" i="9" s="1"/>
  <c r="F65" i="9" s="1"/>
  <c r="F66" i="9" s="1"/>
  <c r="S12" i="14" s="1"/>
  <c r="I116" i="36"/>
  <c r="I120" i="36" s="1"/>
  <c r="P30" i="35"/>
  <c r="Q30" i="35" s="1"/>
  <c r="R30" i="35" s="1"/>
  <c r="O47" i="35"/>
  <c r="P15" i="34" s="1"/>
  <c r="AJ110" i="35"/>
  <c r="P42" i="35"/>
  <c r="Q42" i="35" s="1"/>
  <c r="R42" i="35" s="1"/>
  <c r="Q6" i="14"/>
  <c r="P8" i="36"/>
  <c r="P13" i="36" s="1"/>
  <c r="M58" i="34"/>
  <c r="P192" i="35"/>
  <c r="Q192" i="35" s="1"/>
  <c r="R192" i="35" s="1"/>
  <c r="O210" i="35"/>
  <c r="P19" i="34" s="1"/>
  <c r="P44" i="34" s="1"/>
  <c r="P57" i="34" s="1"/>
  <c r="S12" i="36" s="1"/>
  <c r="AJ123" i="35" l="1"/>
  <c r="AJ20" i="34"/>
  <c r="I11" i="9"/>
  <c r="I26" i="9" s="1"/>
  <c r="H21" i="9"/>
  <c r="H27" i="9" s="1"/>
  <c r="H28" i="9" s="1"/>
  <c r="H29" i="9" s="1"/>
  <c r="T6" i="14" s="1"/>
  <c r="T4" i="14" s="1"/>
  <c r="K116" i="36"/>
  <c r="K120" i="36" s="1"/>
  <c r="T13" i="14" s="1"/>
  <c r="K99" i="36"/>
  <c r="K103" i="36" s="1"/>
  <c r="T7" i="14" s="1"/>
  <c r="AM57" i="36"/>
  <c r="AL64" i="36"/>
  <c r="AL66" i="36" s="1"/>
  <c r="AL67" i="36" s="1"/>
  <c r="AL79" i="36" s="1"/>
  <c r="N50" i="36" s="1"/>
  <c r="N61" i="36" s="1"/>
  <c r="N84" i="36" s="1"/>
  <c r="AN45" i="36"/>
  <c r="L64" i="36"/>
  <c r="L79" i="36"/>
  <c r="AN58" i="36"/>
  <c r="AN46" i="36"/>
  <c r="AN57" i="36" s="1"/>
  <c r="AN63" i="36"/>
  <c r="M51" i="36"/>
  <c r="M62" i="36" s="1"/>
  <c r="M85" i="36" s="1"/>
  <c r="M49" i="36"/>
  <c r="M60" i="36" s="1"/>
  <c r="M83" i="36" s="1"/>
  <c r="M45" i="36"/>
  <c r="M56" i="36" s="1"/>
  <c r="M46" i="36"/>
  <c r="M57" i="36" s="1"/>
  <c r="M80" i="36" s="1"/>
  <c r="M47" i="36"/>
  <c r="M58" i="36" s="1"/>
  <c r="M81" i="36" s="1"/>
  <c r="M50" i="36"/>
  <c r="M61" i="36" s="1"/>
  <c r="M84" i="36" s="1"/>
  <c r="M48" i="36"/>
  <c r="M59" i="36" s="1"/>
  <c r="M82" i="36" s="1"/>
  <c r="M52" i="36"/>
  <c r="M63" i="36" s="1"/>
  <c r="M86" i="36" s="1"/>
  <c r="AO51" i="36"/>
  <c r="Q37" i="36"/>
  <c r="Q73" i="36" s="1"/>
  <c r="AO49" i="36"/>
  <c r="AN62" i="36"/>
  <c r="AO50" i="36"/>
  <c r="Q38" i="36"/>
  <c r="Q74" i="36" s="1"/>
  <c r="AM56" i="36"/>
  <c r="Q34" i="36"/>
  <c r="Q70" i="36" s="1"/>
  <c r="AO47" i="36"/>
  <c r="Q20" i="36"/>
  <c r="AO46" i="36" s="1"/>
  <c r="P32" i="36"/>
  <c r="AK123" i="35"/>
  <c r="Q82" i="35"/>
  <c r="R82" i="35" s="1"/>
  <c r="Q39" i="36"/>
  <c r="Q75" i="36" s="1"/>
  <c r="Q36" i="36"/>
  <c r="Q72" i="36" s="1"/>
  <c r="AN60" i="36"/>
  <c r="AJ69" i="35"/>
  <c r="AI87" i="35"/>
  <c r="AK17" i="34" s="1"/>
  <c r="Q38" i="34" s="1"/>
  <c r="Q51" i="34" s="1"/>
  <c r="T6" i="36" s="1"/>
  <c r="AN61" i="36"/>
  <c r="AL106" i="35"/>
  <c r="AK105" i="35"/>
  <c r="AJ105" i="35"/>
  <c r="AJ124" i="35" s="1"/>
  <c r="AI128" i="35"/>
  <c r="AK18" i="34" s="1"/>
  <c r="Q39" i="34" s="1"/>
  <c r="Q52" i="34" s="1"/>
  <c r="T7" i="36" s="1"/>
  <c r="AO52" i="36"/>
  <c r="R21" i="36"/>
  <c r="AP48" i="36" s="1"/>
  <c r="Q4" i="14"/>
  <c r="H65" i="9"/>
  <c r="H66" i="9" s="1"/>
  <c r="T12" i="14" s="1"/>
  <c r="Q43" i="35"/>
  <c r="R43" i="35" s="1"/>
  <c r="M96" i="8"/>
  <c r="K54" i="9" s="1"/>
  <c r="N77" i="8"/>
  <c r="L10" i="9" s="1"/>
  <c r="M81" i="8"/>
  <c r="K20" i="9" s="1"/>
  <c r="M92" i="8"/>
  <c r="M80" i="8"/>
  <c r="N76" i="8"/>
  <c r="L6" i="9" s="1"/>
  <c r="P39" i="8"/>
  <c r="P56" i="8" s="1"/>
  <c r="P71" i="8" s="1"/>
  <c r="P36" i="8"/>
  <c r="P53" i="8" s="1"/>
  <c r="P68" i="8" s="1"/>
  <c r="P33" i="8"/>
  <c r="P50" i="8" s="1"/>
  <c r="P65" i="8" s="1"/>
  <c r="P32" i="8"/>
  <c r="P49" i="8" s="1"/>
  <c r="P64" i="8" s="1"/>
  <c r="P30" i="8"/>
  <c r="P47" i="8" s="1"/>
  <c r="P62" i="8" s="1"/>
  <c r="P31" i="8"/>
  <c r="P48" i="8" s="1"/>
  <c r="P63" i="8" s="1"/>
  <c r="P37" i="8"/>
  <c r="P54" i="8" s="1"/>
  <c r="P69" i="8" s="1"/>
  <c r="P29" i="8"/>
  <c r="Q25" i="8"/>
  <c r="Q35" i="8" s="1"/>
  <c r="Q52" i="8" s="1"/>
  <c r="Q67" i="8" s="1"/>
  <c r="P38" i="8"/>
  <c r="P55" i="8" s="1"/>
  <c r="P70" i="8" s="1"/>
  <c r="P34" i="8"/>
  <c r="P51" i="8" s="1"/>
  <c r="P66" i="8" s="1"/>
  <c r="N93" i="8"/>
  <c r="L48" i="9" s="1"/>
  <c r="J44" i="9"/>
  <c r="L100" i="8"/>
  <c r="L104" i="8" s="1"/>
  <c r="V15" i="14" s="1"/>
  <c r="J16" i="9"/>
  <c r="L84" i="8"/>
  <c r="L88" i="8" s="1"/>
  <c r="V9" i="14" s="1"/>
  <c r="N97" i="8"/>
  <c r="L58" i="9" s="1"/>
  <c r="N57" i="8"/>
  <c r="N61" i="8"/>
  <c r="N96" i="8" s="1"/>
  <c r="L54" i="9" s="1"/>
  <c r="O46" i="8"/>
  <c r="O40" i="8"/>
  <c r="T4" i="32"/>
  <c r="S10" i="32"/>
  <c r="S13" i="14"/>
  <c r="S7" i="14"/>
  <c r="F28" i="9"/>
  <c r="F29" i="9" s="1"/>
  <c r="F34" i="9"/>
  <c r="F35" i="9" s="1"/>
  <c r="F36" i="9" s="1"/>
  <c r="Q8" i="36"/>
  <c r="Q35" i="36" s="1"/>
  <c r="N58" i="34"/>
  <c r="AK110" i="35"/>
  <c r="O71" i="36"/>
  <c r="AM59" i="36"/>
  <c r="O40" i="36"/>
  <c r="P20" i="34"/>
  <c r="P40" i="34"/>
  <c r="P35" i="36"/>
  <c r="S5" i="36"/>
  <c r="O53" i="34"/>
  <c r="O45" i="34"/>
  <c r="AJ128" i="35" l="1"/>
  <c r="AL18" i="34" s="1"/>
  <c r="R39" i="34" s="1"/>
  <c r="R52" i="34" s="1"/>
  <c r="U7" i="36" s="1"/>
  <c r="H34" i="9"/>
  <c r="H35" i="9" s="1"/>
  <c r="H36" i="9" s="1"/>
  <c r="N52" i="36"/>
  <c r="N63" i="36" s="1"/>
  <c r="N86" i="36" s="1"/>
  <c r="N45" i="36"/>
  <c r="N56" i="36" s="1"/>
  <c r="N79" i="36" s="1"/>
  <c r="N47" i="36"/>
  <c r="N58" i="36" s="1"/>
  <c r="N81" i="36" s="1"/>
  <c r="N51" i="36"/>
  <c r="N62" i="36" s="1"/>
  <c r="N85" i="36" s="1"/>
  <c r="N48" i="36"/>
  <c r="N59" i="36" s="1"/>
  <c r="N82" i="36" s="1"/>
  <c r="N46" i="36"/>
  <c r="N57" i="36" s="1"/>
  <c r="N80" i="36" s="1"/>
  <c r="N49" i="36"/>
  <c r="N60" i="36" s="1"/>
  <c r="N83" i="36" s="1"/>
  <c r="AK124" i="35"/>
  <c r="AO58" i="36"/>
  <c r="AO61" i="36"/>
  <c r="AM64" i="36"/>
  <c r="AM66" i="36" s="1"/>
  <c r="AM67" i="36" s="1"/>
  <c r="AM79" i="36" s="1"/>
  <c r="O49" i="36" s="1"/>
  <c r="O60" i="36" s="1"/>
  <c r="O83" i="36" s="1"/>
  <c r="M64" i="36"/>
  <c r="M79" i="36"/>
  <c r="AO62" i="36"/>
  <c r="M91" i="36"/>
  <c r="J4" i="9" s="1"/>
  <c r="J3" i="9" s="1"/>
  <c r="L108" i="36"/>
  <c r="M109" i="36"/>
  <c r="J46" i="9" s="1"/>
  <c r="J45" i="9" s="1"/>
  <c r="M92" i="36"/>
  <c r="J8" i="9" s="1"/>
  <c r="J7" i="9" s="1"/>
  <c r="L112" i="36"/>
  <c r="I52" i="9" s="1"/>
  <c r="I51" i="9" s="1"/>
  <c r="I59" i="9" s="1"/>
  <c r="I64" i="9" s="1"/>
  <c r="L96" i="36"/>
  <c r="I18" i="9" s="1"/>
  <c r="I17" i="9" s="1"/>
  <c r="L95" i="36"/>
  <c r="M113" i="36"/>
  <c r="J56" i="9" s="1"/>
  <c r="J55" i="9" s="1"/>
  <c r="AO60" i="36"/>
  <c r="R38" i="36"/>
  <c r="R74" i="36" s="1"/>
  <c r="R20" i="36"/>
  <c r="Q32" i="36"/>
  <c r="Q68" i="36" s="1"/>
  <c r="Q33" i="36"/>
  <c r="AO45" i="36"/>
  <c r="AP49" i="36"/>
  <c r="AN56" i="36"/>
  <c r="P68" i="36"/>
  <c r="AP52" i="36"/>
  <c r="AO63" i="36"/>
  <c r="AK69" i="35"/>
  <c r="AJ87" i="35"/>
  <c r="AL17" i="34" s="1"/>
  <c r="R38" i="34" s="1"/>
  <c r="R51" i="34" s="1"/>
  <c r="U6" i="36" s="1"/>
  <c r="AP50" i="36"/>
  <c r="AP47" i="36"/>
  <c r="S21" i="36"/>
  <c r="AQ49" i="36" s="1"/>
  <c r="R39" i="36"/>
  <c r="R75" i="36" s="1"/>
  <c r="R37" i="36"/>
  <c r="R73" i="36" s="1"/>
  <c r="R34" i="36"/>
  <c r="R70" i="36" s="1"/>
  <c r="AP51" i="36"/>
  <c r="R36" i="36"/>
  <c r="R72" i="36" s="1"/>
  <c r="AK106" i="35"/>
  <c r="AK125" i="35" s="1"/>
  <c r="O97" i="8"/>
  <c r="M58" i="9" s="1"/>
  <c r="O61" i="8"/>
  <c r="P93" i="8" s="1"/>
  <c r="N48" i="9" s="1"/>
  <c r="O57" i="8"/>
  <c r="O93" i="8"/>
  <c r="M48" i="9" s="1"/>
  <c r="N81" i="8"/>
  <c r="L20" i="9" s="1"/>
  <c r="N80" i="8"/>
  <c r="N92" i="8"/>
  <c r="O76" i="8"/>
  <c r="M6" i="9" s="1"/>
  <c r="O77" i="8"/>
  <c r="M10" i="9" s="1"/>
  <c r="Q39" i="8"/>
  <c r="Q56" i="8" s="1"/>
  <c r="Q71" i="8" s="1"/>
  <c r="Q38" i="8"/>
  <c r="Q55" i="8" s="1"/>
  <c r="Q70" i="8" s="1"/>
  <c r="Q33" i="8"/>
  <c r="Q50" i="8" s="1"/>
  <c r="Q65" i="8" s="1"/>
  <c r="Q30" i="8"/>
  <c r="Q47" i="8" s="1"/>
  <c r="Q62" i="8" s="1"/>
  <c r="Q29" i="8"/>
  <c r="Q36" i="8"/>
  <c r="Q53" i="8" s="1"/>
  <c r="Q68" i="8" s="1"/>
  <c r="Q37" i="8"/>
  <c r="Q54" i="8" s="1"/>
  <c r="Q69" i="8" s="1"/>
  <c r="Q31" i="8"/>
  <c r="Q48" i="8" s="1"/>
  <c r="Q63" i="8" s="1"/>
  <c r="R25" i="8"/>
  <c r="R35" i="8" s="1"/>
  <c r="R52" i="8" s="1"/>
  <c r="R67" i="8" s="1"/>
  <c r="Q34" i="8"/>
  <c r="Q51" i="8" s="1"/>
  <c r="Q66" i="8" s="1"/>
  <c r="Q32" i="8"/>
  <c r="Q49" i="8" s="1"/>
  <c r="Q64" i="8" s="1"/>
  <c r="M100" i="8"/>
  <c r="M104" i="8" s="1"/>
  <c r="W15" i="14" s="1"/>
  <c r="K44" i="9"/>
  <c r="P40" i="8"/>
  <c r="P46" i="8"/>
  <c r="K16" i="9"/>
  <c r="M84" i="8"/>
  <c r="M88" i="8" s="1"/>
  <c r="W9" i="14" s="1"/>
  <c r="T10" i="32"/>
  <c r="P53" i="34"/>
  <c r="P45" i="34"/>
  <c r="S6" i="14"/>
  <c r="R8" i="36"/>
  <c r="R35" i="36" s="1"/>
  <c r="O58" i="34"/>
  <c r="Q71" i="36"/>
  <c r="AO59" i="36"/>
  <c r="P71" i="36"/>
  <c r="AN59" i="36"/>
  <c r="P40" i="36"/>
  <c r="Q13" i="36"/>
  <c r="N64" i="36" l="1"/>
  <c r="O46" i="36"/>
  <c r="O57" i="36" s="1"/>
  <c r="O80" i="36" s="1"/>
  <c r="O48" i="36"/>
  <c r="O59" i="36" s="1"/>
  <c r="O82" i="36" s="1"/>
  <c r="O52" i="36"/>
  <c r="O63" i="36" s="1"/>
  <c r="O86" i="36" s="1"/>
  <c r="O45" i="36"/>
  <c r="O56" i="36" s="1"/>
  <c r="O79" i="36" s="1"/>
  <c r="AK128" i="35"/>
  <c r="AM18" i="34" s="1"/>
  <c r="S39" i="34" s="1"/>
  <c r="S52" i="34" s="1"/>
  <c r="V7" i="36" s="1"/>
  <c r="O47" i="36"/>
  <c r="O58" i="36" s="1"/>
  <c r="O81" i="36" s="1"/>
  <c r="O51" i="36"/>
  <c r="O62" i="36" s="1"/>
  <c r="O85" i="36" s="1"/>
  <c r="O50" i="36"/>
  <c r="O61" i="36" s="1"/>
  <c r="O84" i="36" s="1"/>
  <c r="AN64" i="36"/>
  <c r="AN66" i="36" s="1"/>
  <c r="AN67" i="36" s="1"/>
  <c r="AN79" i="36" s="1"/>
  <c r="P45" i="36" s="1"/>
  <c r="P56" i="36" s="1"/>
  <c r="S37" i="36"/>
  <c r="S73" i="36" s="1"/>
  <c r="AQ47" i="36"/>
  <c r="Q40" i="36"/>
  <c r="J11" i="9"/>
  <c r="J26" i="9" s="1"/>
  <c r="I42" i="9"/>
  <c r="I41" i="9" s="1"/>
  <c r="I49" i="9" s="1"/>
  <c r="I63" i="9" s="1"/>
  <c r="I65" i="9" s="1"/>
  <c r="I66" i="9" s="1"/>
  <c r="U12" i="14" s="1"/>
  <c r="L116" i="36"/>
  <c r="L120" i="36" s="1"/>
  <c r="U13" i="14" s="1"/>
  <c r="AP62" i="36"/>
  <c r="I14" i="9"/>
  <c r="I13" i="9" s="1"/>
  <c r="I21" i="9" s="1"/>
  <c r="I27" i="9" s="1"/>
  <c r="L99" i="36"/>
  <c r="L103" i="36" s="1"/>
  <c r="U7" i="14" s="1"/>
  <c r="N91" i="36"/>
  <c r="K4" i="9" s="1"/>
  <c r="K3" i="9" s="1"/>
  <c r="M112" i="36"/>
  <c r="J52" i="9" s="1"/>
  <c r="J51" i="9" s="1"/>
  <c r="J59" i="9" s="1"/>
  <c r="J64" i="9" s="1"/>
  <c r="N92" i="36"/>
  <c r="K8" i="9" s="1"/>
  <c r="K7" i="9" s="1"/>
  <c r="M108" i="36"/>
  <c r="N113" i="36"/>
  <c r="K56" i="9" s="1"/>
  <c r="K55" i="9" s="1"/>
  <c r="M96" i="36"/>
  <c r="J18" i="9" s="1"/>
  <c r="J17" i="9" s="1"/>
  <c r="N109" i="36"/>
  <c r="K46" i="9" s="1"/>
  <c r="K45" i="9" s="1"/>
  <c r="M95" i="36"/>
  <c r="AP58" i="36"/>
  <c r="Q69" i="36"/>
  <c r="AO57" i="36"/>
  <c r="S20" i="36"/>
  <c r="AQ46" i="36" s="1"/>
  <c r="R33" i="36"/>
  <c r="R69" i="36" s="1"/>
  <c r="R32" i="36"/>
  <c r="R68" i="36" s="1"/>
  <c r="S38" i="36"/>
  <c r="S74" i="36" s="1"/>
  <c r="AQ52" i="36"/>
  <c r="AP46" i="36"/>
  <c r="AQ50" i="36"/>
  <c r="AQ48" i="36"/>
  <c r="AO56" i="36"/>
  <c r="AP45" i="36"/>
  <c r="S36" i="36"/>
  <c r="S72" i="36" s="1"/>
  <c r="AP61" i="36"/>
  <c r="AP60" i="36"/>
  <c r="AK87" i="35"/>
  <c r="AM17" i="34" s="1"/>
  <c r="S38" i="34" s="1"/>
  <c r="S51" i="34" s="1"/>
  <c r="V6" i="36" s="1"/>
  <c r="AQ51" i="36"/>
  <c r="S34" i="36"/>
  <c r="S70" i="36" s="1"/>
  <c r="S39" i="36"/>
  <c r="S75" i="36" s="1"/>
  <c r="AP63" i="36"/>
  <c r="S4" i="14"/>
  <c r="O96" i="8"/>
  <c r="M54" i="9" s="1"/>
  <c r="P61" i="8"/>
  <c r="P57" i="8"/>
  <c r="P97" i="8"/>
  <c r="N58" i="9" s="1"/>
  <c r="R30" i="8"/>
  <c r="R47" i="8" s="1"/>
  <c r="R62" i="8" s="1"/>
  <c r="R33" i="8"/>
  <c r="R50" i="8" s="1"/>
  <c r="R65" i="8" s="1"/>
  <c r="R31" i="8"/>
  <c r="R48" i="8" s="1"/>
  <c r="R63" i="8" s="1"/>
  <c r="R34" i="8"/>
  <c r="R51" i="8" s="1"/>
  <c r="R66" i="8" s="1"/>
  <c r="R29" i="8"/>
  <c r="R37" i="8"/>
  <c r="R54" i="8" s="1"/>
  <c r="R69" i="8" s="1"/>
  <c r="R36" i="8"/>
  <c r="R53" i="8" s="1"/>
  <c r="R68" i="8" s="1"/>
  <c r="R38" i="8"/>
  <c r="R55" i="8" s="1"/>
  <c r="R70" i="8" s="1"/>
  <c r="R39" i="8"/>
  <c r="R56" i="8" s="1"/>
  <c r="R71" i="8" s="1"/>
  <c r="R32" i="8"/>
  <c r="R49" i="8" s="1"/>
  <c r="R64" i="8" s="1"/>
  <c r="Q40" i="8"/>
  <c r="Q46" i="8"/>
  <c r="N100" i="8"/>
  <c r="N104" i="8" s="1"/>
  <c r="X15" i="14" s="1"/>
  <c r="L44" i="9"/>
  <c r="L16" i="9"/>
  <c r="N84" i="8"/>
  <c r="N88" i="8" s="1"/>
  <c r="X9" i="14" s="1"/>
  <c r="O80" i="8"/>
  <c r="P76" i="8"/>
  <c r="N6" i="9" s="1"/>
  <c r="O92" i="8"/>
  <c r="P77" i="8"/>
  <c r="N10" i="9" s="1"/>
  <c r="O81" i="8"/>
  <c r="M20" i="9" s="1"/>
  <c r="R13" i="36"/>
  <c r="O91" i="36"/>
  <c r="N95" i="36"/>
  <c r="N96" i="36"/>
  <c r="K18" i="9" s="1"/>
  <c r="K17" i="9" s="1"/>
  <c r="O92" i="36"/>
  <c r="L8" i="9" s="1"/>
  <c r="L7" i="9" s="1"/>
  <c r="N108" i="36"/>
  <c r="N112" i="36"/>
  <c r="K52" i="9" s="1"/>
  <c r="K51" i="9" s="1"/>
  <c r="O113" i="36"/>
  <c r="L56" i="9" s="1"/>
  <c r="L55" i="9" s="1"/>
  <c r="O109" i="36"/>
  <c r="L46" i="9" s="1"/>
  <c r="L45" i="9" s="1"/>
  <c r="S8" i="36"/>
  <c r="S13" i="36" s="1"/>
  <c r="P58" i="34"/>
  <c r="R71" i="36"/>
  <c r="AP59" i="36"/>
  <c r="S32" i="36" l="1"/>
  <c r="S68" i="36" s="1"/>
  <c r="AQ61" i="36"/>
  <c r="P47" i="36"/>
  <c r="P58" i="36" s="1"/>
  <c r="P81" i="36" s="1"/>
  <c r="P48" i="36"/>
  <c r="P59" i="36" s="1"/>
  <c r="P82" i="36" s="1"/>
  <c r="P50" i="36"/>
  <c r="P61" i="36" s="1"/>
  <c r="P84" i="36" s="1"/>
  <c r="P46" i="36"/>
  <c r="P57" i="36" s="1"/>
  <c r="P80" i="36" s="1"/>
  <c r="P51" i="36"/>
  <c r="P62" i="36" s="1"/>
  <c r="P85" i="36" s="1"/>
  <c r="P49" i="36"/>
  <c r="P60" i="36" s="1"/>
  <c r="P83" i="36" s="1"/>
  <c r="O64" i="36"/>
  <c r="P52" i="36"/>
  <c r="P63" i="36" s="1"/>
  <c r="P86" i="36" s="1"/>
  <c r="K59" i="9"/>
  <c r="K64" i="9" s="1"/>
  <c r="R40" i="36"/>
  <c r="K11" i="9"/>
  <c r="K26" i="9" s="1"/>
  <c r="J14" i="9"/>
  <c r="J13" i="9" s="1"/>
  <c r="J21" i="9" s="1"/>
  <c r="J27" i="9" s="1"/>
  <c r="M99" i="36"/>
  <c r="M103" i="36" s="1"/>
  <c r="V7" i="14" s="1"/>
  <c r="M116" i="36"/>
  <c r="M120" i="36" s="1"/>
  <c r="V13" i="14" s="1"/>
  <c r="J42" i="9"/>
  <c r="J41" i="9" s="1"/>
  <c r="J49" i="9" s="1"/>
  <c r="J63" i="9" s="1"/>
  <c r="J65" i="9" s="1"/>
  <c r="J66" i="9" s="1"/>
  <c r="V12" i="14" s="1"/>
  <c r="I34" i="9"/>
  <c r="I35" i="9" s="1"/>
  <c r="I36" i="9" s="1"/>
  <c r="I28" i="9"/>
  <c r="I29" i="9" s="1"/>
  <c r="U6" i="14" s="1"/>
  <c r="U4" i="14" s="1"/>
  <c r="AQ62" i="36"/>
  <c r="AO64" i="36"/>
  <c r="AO66" i="36" s="1"/>
  <c r="AO67" i="36" s="1"/>
  <c r="AO79" i="36" s="1"/>
  <c r="Q48" i="36" s="1"/>
  <c r="Q59" i="36" s="1"/>
  <c r="Q82" i="36" s="1"/>
  <c r="AP57" i="36"/>
  <c r="AP56" i="36"/>
  <c r="S33" i="36"/>
  <c r="S69" i="36" s="1"/>
  <c r="AQ45" i="36"/>
  <c r="AQ58" i="36"/>
  <c r="AQ63" i="36"/>
  <c r="AQ60" i="36"/>
  <c r="Q97" i="8"/>
  <c r="O58" i="9" s="1"/>
  <c r="Q61" i="8"/>
  <c r="Q57" i="8"/>
  <c r="R46" i="8"/>
  <c r="R40" i="8"/>
  <c r="O100" i="8"/>
  <c r="O104" i="8" s="1"/>
  <c r="Y15" i="14" s="1"/>
  <c r="M44" i="9"/>
  <c r="M16" i="9"/>
  <c r="O84" i="8"/>
  <c r="O88" i="8" s="1"/>
  <c r="Y9" i="14" s="1"/>
  <c r="P96" i="8"/>
  <c r="N54" i="9" s="1"/>
  <c r="Q77" i="8"/>
  <c r="O10" i="9" s="1"/>
  <c r="P81" i="8"/>
  <c r="N20" i="9" s="1"/>
  <c r="P92" i="8"/>
  <c r="Q93" i="8"/>
  <c r="O48" i="9" s="1"/>
  <c r="P80" i="8"/>
  <c r="Q76" i="8"/>
  <c r="O6" i="9" s="1"/>
  <c r="S35" i="36"/>
  <c r="S71" i="36" s="1"/>
  <c r="K42" i="9"/>
  <c r="K41" i="9" s="1"/>
  <c r="K49" i="9" s="1"/>
  <c r="K63" i="9" s="1"/>
  <c r="N116" i="36"/>
  <c r="N120" i="36" s="1"/>
  <c r="W13" i="14" s="1"/>
  <c r="L4" i="9"/>
  <c r="L3" i="9" s="1"/>
  <c r="L11" i="9" s="1"/>
  <c r="L26" i="9" s="1"/>
  <c r="P79" i="36"/>
  <c r="K14" i="9"/>
  <c r="K13" i="9" s="1"/>
  <c r="K21" i="9" s="1"/>
  <c r="K27" i="9" s="1"/>
  <c r="N99" i="36"/>
  <c r="N103" i="36" s="1"/>
  <c r="P92" i="36"/>
  <c r="M8" i="9" s="1"/>
  <c r="M7" i="9" s="1"/>
  <c r="P91" i="36"/>
  <c r="O95" i="36"/>
  <c r="L14" i="9" s="1"/>
  <c r="L13" i="9" s="1"/>
  <c r="O96" i="36"/>
  <c r="L18" i="9" s="1"/>
  <c r="L17" i="9" s="1"/>
  <c r="O112" i="36"/>
  <c r="L52" i="9" s="1"/>
  <c r="L51" i="9" s="1"/>
  <c r="L59" i="9" s="1"/>
  <c r="L64" i="9" s="1"/>
  <c r="P109" i="36"/>
  <c r="M46" i="9" s="1"/>
  <c r="M45" i="9" s="1"/>
  <c r="O108" i="36"/>
  <c r="P113" i="36"/>
  <c r="M56" i="9" s="1"/>
  <c r="M55" i="9" s="1"/>
  <c r="K65" i="9" l="1"/>
  <c r="K66" i="9" s="1"/>
  <c r="W12" i="14" s="1"/>
  <c r="P64" i="36"/>
  <c r="Q52" i="36"/>
  <c r="Q63" i="36" s="1"/>
  <c r="Q86" i="36" s="1"/>
  <c r="AP64" i="36"/>
  <c r="AP66" i="36" s="1"/>
  <c r="AP67" i="36" s="1"/>
  <c r="AP79" i="36" s="1"/>
  <c r="R46" i="36" s="1"/>
  <c r="R57" i="36" s="1"/>
  <c r="R80" i="36" s="1"/>
  <c r="Q45" i="36"/>
  <c r="Q56" i="36" s="1"/>
  <c r="Q79" i="36" s="1"/>
  <c r="Q46" i="36"/>
  <c r="Q57" i="36" s="1"/>
  <c r="Q80" i="36" s="1"/>
  <c r="Q51" i="36"/>
  <c r="Q62" i="36" s="1"/>
  <c r="Q85" i="36" s="1"/>
  <c r="Q47" i="36"/>
  <c r="Q58" i="36" s="1"/>
  <c r="Q81" i="36" s="1"/>
  <c r="Q49" i="36"/>
  <c r="Q60" i="36" s="1"/>
  <c r="Q83" i="36" s="1"/>
  <c r="J34" i="9"/>
  <c r="J35" i="9" s="1"/>
  <c r="J36" i="9" s="1"/>
  <c r="J28" i="9"/>
  <c r="J29" i="9" s="1"/>
  <c r="V6" i="14" s="1"/>
  <c r="V4" i="14" s="1"/>
  <c r="Q50" i="36"/>
  <c r="Q61" i="36" s="1"/>
  <c r="Q84" i="36" s="1"/>
  <c r="AQ56" i="36"/>
  <c r="AQ57" i="36"/>
  <c r="AQ59" i="36"/>
  <c r="R57" i="8"/>
  <c r="R97" i="8"/>
  <c r="P58" i="9" s="1"/>
  <c r="R61" i="8"/>
  <c r="R93" i="8"/>
  <c r="P48" i="9" s="1"/>
  <c r="R77" i="8"/>
  <c r="P10" i="9" s="1"/>
  <c r="Q81" i="8"/>
  <c r="O20" i="9" s="1"/>
  <c r="R76" i="8"/>
  <c r="P6" i="9" s="1"/>
  <c r="Q80" i="8"/>
  <c r="Q92" i="8"/>
  <c r="Q96" i="8"/>
  <c r="O54" i="9" s="1"/>
  <c r="N16" i="9"/>
  <c r="P84" i="8"/>
  <c r="P88" i="8" s="1"/>
  <c r="N44" i="9"/>
  <c r="P100" i="8"/>
  <c r="P104" i="8" s="1"/>
  <c r="S40" i="36"/>
  <c r="P96" i="36"/>
  <c r="M18" i="9" s="1"/>
  <c r="M17" i="9" s="1"/>
  <c r="Q91" i="36"/>
  <c r="P95" i="36"/>
  <c r="M14" i="9" s="1"/>
  <c r="M13" i="9" s="1"/>
  <c r="Q92" i="36"/>
  <c r="N8" i="9" s="1"/>
  <c r="N7" i="9" s="1"/>
  <c r="P108" i="36"/>
  <c r="Q109" i="36"/>
  <c r="N46" i="9" s="1"/>
  <c r="N45" i="9" s="1"/>
  <c r="Q113" i="36"/>
  <c r="N56" i="9" s="1"/>
  <c r="N55" i="9" s="1"/>
  <c r="P112" i="36"/>
  <c r="M52" i="9" s="1"/>
  <c r="M51" i="9" s="1"/>
  <c r="M59" i="9" s="1"/>
  <c r="M64" i="9" s="1"/>
  <c r="O99" i="36"/>
  <c r="O103" i="36" s="1"/>
  <c r="X7" i="14" s="1"/>
  <c r="O116" i="36"/>
  <c r="O120" i="36" s="1"/>
  <c r="X13" i="14" s="1"/>
  <c r="L42" i="9"/>
  <c r="L41" i="9" s="1"/>
  <c r="L49" i="9" s="1"/>
  <c r="L63" i="9" s="1"/>
  <c r="L65" i="9" s="1"/>
  <c r="L66" i="9" s="1"/>
  <c r="X12" i="14" s="1"/>
  <c r="L21" i="9"/>
  <c r="L27" i="9" s="1"/>
  <c r="L28" i="9" s="1"/>
  <c r="L29" i="9" s="1"/>
  <c r="X6" i="14" s="1"/>
  <c r="X4" i="14" s="1"/>
  <c r="K28" i="9"/>
  <c r="K29" i="9" s="1"/>
  <c r="K34" i="9"/>
  <c r="K35" i="9" s="1"/>
  <c r="K36" i="9" s="1"/>
  <c r="W7" i="14"/>
  <c r="M4" i="9"/>
  <c r="M3" i="9" s="1"/>
  <c r="M11" i="9" s="1"/>
  <c r="M26" i="9" s="1"/>
  <c r="R52" i="36" l="1"/>
  <c r="R63" i="36" s="1"/>
  <c r="R86" i="36" s="1"/>
  <c r="R49" i="36"/>
  <c r="R60" i="36" s="1"/>
  <c r="R83" i="36" s="1"/>
  <c r="R51" i="36"/>
  <c r="R62" i="36" s="1"/>
  <c r="R85" i="36" s="1"/>
  <c r="R48" i="36"/>
  <c r="R59" i="36" s="1"/>
  <c r="R82" i="36" s="1"/>
  <c r="R50" i="36"/>
  <c r="R61" i="36" s="1"/>
  <c r="R84" i="36" s="1"/>
  <c r="R45" i="36"/>
  <c r="R56" i="36" s="1"/>
  <c r="R79" i="36" s="1"/>
  <c r="R47" i="36"/>
  <c r="R58" i="36" s="1"/>
  <c r="R81" i="36" s="1"/>
  <c r="R109" i="36"/>
  <c r="O46" i="9" s="1"/>
  <c r="O45" i="9" s="1"/>
  <c r="R92" i="36"/>
  <c r="O8" i="9" s="1"/>
  <c r="O7" i="9" s="1"/>
  <c r="Q95" i="36"/>
  <c r="N14" i="9" s="1"/>
  <c r="N13" i="9" s="1"/>
  <c r="Q96" i="36"/>
  <c r="N18" i="9" s="1"/>
  <c r="N17" i="9" s="1"/>
  <c r="R91" i="36"/>
  <c r="O4" i="9" s="1"/>
  <c r="O3" i="9" s="1"/>
  <c r="Q112" i="36"/>
  <c r="N52" i="9" s="1"/>
  <c r="N51" i="9" s="1"/>
  <c r="N59" i="9" s="1"/>
  <c r="N64" i="9" s="1"/>
  <c r="Q108" i="36"/>
  <c r="N42" i="9" s="1"/>
  <c r="N41" i="9" s="1"/>
  <c r="N49" i="9" s="1"/>
  <c r="N63" i="9" s="1"/>
  <c r="R113" i="36"/>
  <c r="O56" i="9" s="1"/>
  <c r="O55" i="9" s="1"/>
  <c r="Q64" i="36"/>
  <c r="AQ64" i="36"/>
  <c r="AQ66" i="36" s="1"/>
  <c r="AQ67" i="36" s="1"/>
  <c r="AQ79" i="36" s="1"/>
  <c r="S46" i="36" s="1"/>
  <c r="S57" i="36" s="1"/>
  <c r="S80" i="36" s="1"/>
  <c r="M21" i="9"/>
  <c r="M27" i="9" s="1"/>
  <c r="M34" i="9" s="1"/>
  <c r="M35" i="9" s="1"/>
  <c r="M36" i="9" s="1"/>
  <c r="Z15" i="14"/>
  <c r="Z9" i="14"/>
  <c r="O16" i="9"/>
  <c r="Q84" i="8"/>
  <c r="Q88" i="8" s="1"/>
  <c r="AA9" i="14" s="1"/>
  <c r="O44" i="9"/>
  <c r="Q100" i="8"/>
  <c r="Q104" i="8" s="1"/>
  <c r="AA15" i="14" s="1"/>
  <c r="S93" i="8"/>
  <c r="Q48" i="9" s="1"/>
  <c r="S77" i="8"/>
  <c r="Q10" i="9" s="1"/>
  <c r="R80" i="8"/>
  <c r="R96" i="8"/>
  <c r="P54" i="9" s="1"/>
  <c r="R81" i="8"/>
  <c r="P20" i="9" s="1"/>
  <c r="R92" i="8"/>
  <c r="P99" i="36"/>
  <c r="P103" i="36" s="1"/>
  <c r="Y7" i="14" s="1"/>
  <c r="L34" i="9"/>
  <c r="L35" i="9" s="1"/>
  <c r="L36" i="9" s="1"/>
  <c r="N4" i="9"/>
  <c r="N3" i="9" s="1"/>
  <c r="N11" i="9" s="1"/>
  <c r="N26" i="9" s="1"/>
  <c r="W6" i="14"/>
  <c r="M42" i="9"/>
  <c r="M41" i="9" s="1"/>
  <c r="M49" i="9" s="1"/>
  <c r="M63" i="9" s="1"/>
  <c r="M65" i="9" s="1"/>
  <c r="M66" i="9" s="1"/>
  <c r="Y12" i="14" s="1"/>
  <c r="P116" i="36"/>
  <c r="P120" i="36" s="1"/>
  <c r="Y13" i="14" s="1"/>
  <c r="O11" i="9" l="1"/>
  <c r="O26" i="9" s="1"/>
  <c r="S92" i="36"/>
  <c r="P8" i="9" s="1"/>
  <c r="P7" i="9" s="1"/>
  <c r="R108" i="36"/>
  <c r="O42" i="9" s="1"/>
  <c r="O41" i="9" s="1"/>
  <c r="O49" i="9" s="1"/>
  <c r="O63" i="9" s="1"/>
  <c r="N21" i="9"/>
  <c r="N27" i="9" s="1"/>
  <c r="N34" i="9" s="1"/>
  <c r="N35" i="9" s="1"/>
  <c r="N36" i="9" s="1"/>
  <c r="R95" i="36"/>
  <c r="O14" i="9" s="1"/>
  <c r="O13" i="9" s="1"/>
  <c r="R112" i="36"/>
  <c r="O52" i="9" s="1"/>
  <c r="O51" i="9" s="1"/>
  <c r="O59" i="9" s="1"/>
  <c r="O64" i="9" s="1"/>
  <c r="R96" i="36"/>
  <c r="O18" i="9" s="1"/>
  <c r="O17" i="9" s="1"/>
  <c r="R64" i="36"/>
  <c r="S109" i="36"/>
  <c r="P46" i="9" s="1"/>
  <c r="P45" i="9" s="1"/>
  <c r="S113" i="36"/>
  <c r="P56" i="9" s="1"/>
  <c r="P55" i="9" s="1"/>
  <c r="S91" i="36"/>
  <c r="P4" i="9" s="1"/>
  <c r="P3" i="9" s="1"/>
  <c r="S47" i="36"/>
  <c r="S58" i="36" s="1"/>
  <c r="S81" i="36" s="1"/>
  <c r="S51" i="36"/>
  <c r="S62" i="36" s="1"/>
  <c r="S85" i="36" s="1"/>
  <c r="S52" i="36"/>
  <c r="S63" i="36" s="1"/>
  <c r="S86" i="36" s="1"/>
  <c r="Q99" i="36"/>
  <c r="Q103" i="36" s="1"/>
  <c r="S49" i="36"/>
  <c r="S60" i="36" s="1"/>
  <c r="S83" i="36" s="1"/>
  <c r="Q116" i="36"/>
  <c r="Q120" i="36" s="1"/>
  <c r="S45" i="36"/>
  <c r="S56" i="36" s="1"/>
  <c r="S79" i="36" s="1"/>
  <c r="S50" i="36"/>
  <c r="S61" i="36" s="1"/>
  <c r="S84" i="36" s="1"/>
  <c r="S48" i="36"/>
  <c r="S59" i="36" s="1"/>
  <c r="S82" i="36" s="1"/>
  <c r="W4" i="14"/>
  <c r="M28" i="9"/>
  <c r="M29" i="9" s="1"/>
  <c r="Y6" i="14" s="1"/>
  <c r="Y4" i="14" s="1"/>
  <c r="N65" i="9"/>
  <c r="N66" i="9" s="1"/>
  <c r="P44" i="9"/>
  <c r="R100" i="8"/>
  <c r="R104" i="8" s="1"/>
  <c r="AB15" i="14" s="1"/>
  <c r="P16" i="9"/>
  <c r="R84" i="8"/>
  <c r="R88" i="8" s="1"/>
  <c r="AB9" i="14" s="1"/>
  <c r="N28" i="9" l="1"/>
  <c r="N29" i="9" s="1"/>
  <c r="Z6" i="14" s="1"/>
  <c r="Z4" i="14" s="1"/>
  <c r="P11" i="9"/>
  <c r="P26" i="9" s="1"/>
  <c r="Z13" i="14"/>
  <c r="R99" i="36"/>
  <c r="R103" i="36" s="1"/>
  <c r="AA7" i="14" s="1"/>
  <c r="S96" i="36"/>
  <c r="P18" i="9" s="1"/>
  <c r="P17" i="9" s="1"/>
  <c r="R116" i="36"/>
  <c r="R120" i="36" s="1"/>
  <c r="AA13" i="14" s="1"/>
  <c r="Z7" i="14"/>
  <c r="O65" i="9"/>
  <c r="O66" i="9" s="1"/>
  <c r="AA12" i="14" s="1"/>
  <c r="O21" i="9"/>
  <c r="O27" i="9" s="1"/>
  <c r="O34" i="9" s="1"/>
  <c r="O35" i="9" s="1"/>
  <c r="O36" i="9" s="1"/>
  <c r="T109" i="36"/>
  <c r="Q46" i="9" s="1"/>
  <c r="Q45" i="9" s="1"/>
  <c r="S95" i="36"/>
  <c r="P14" i="9" s="1"/>
  <c r="P13" i="9" s="1"/>
  <c r="T92" i="36"/>
  <c r="Q8" i="9" s="1"/>
  <c r="Q7" i="9" s="1"/>
  <c r="S108" i="36"/>
  <c r="P42" i="9" s="1"/>
  <c r="P41" i="9" s="1"/>
  <c r="P49" i="9" s="1"/>
  <c r="P63" i="9" s="1"/>
  <c r="S112" i="36"/>
  <c r="P52" i="9" s="1"/>
  <c r="P51" i="9" s="1"/>
  <c r="P59" i="9" s="1"/>
  <c r="P64" i="9" s="1"/>
  <c r="S64" i="36"/>
  <c r="Z12" i="14"/>
  <c r="P21" i="9" l="1"/>
  <c r="P27" i="9" s="1"/>
  <c r="P28" i="9" s="1"/>
  <c r="P29" i="9" s="1"/>
  <c r="AB6" i="14" s="1"/>
  <c r="AB4" i="14" s="1"/>
  <c r="S99" i="36"/>
  <c r="S103" i="36" s="1"/>
  <c r="AB7" i="14" s="1"/>
  <c r="O28" i="9"/>
  <c r="O29" i="9" s="1"/>
  <c r="AA6" i="14" s="1"/>
  <c r="AA4" i="14" s="1"/>
  <c r="P65" i="9"/>
  <c r="P66" i="9" s="1"/>
  <c r="AB12" i="14" s="1"/>
  <c r="S116" i="36"/>
  <c r="S120" i="36" s="1"/>
  <c r="AB13" i="14" s="1"/>
  <c r="P34" i="9" l="1"/>
  <c r="P35" i="9" s="1"/>
  <c r="P36" i="9" s="1"/>
  <c r="P5" i="35" l="1"/>
  <c r="P7" i="35"/>
  <c r="P6" i="35"/>
  <c r="P8" i="35"/>
  <c r="P210" i="35" l="1"/>
  <c r="Q19" i="34" s="1"/>
  <c r="Q44" i="34" s="1"/>
  <c r="Q57" i="34" s="1"/>
  <c r="T12" i="36" s="1"/>
  <c r="R187" i="35"/>
  <c r="Q187" i="35"/>
  <c r="Q206" i="35" s="1"/>
  <c r="Q105" i="35"/>
  <c r="Q124" i="35" s="1"/>
  <c r="P128" i="35"/>
  <c r="Q17" i="34" s="1"/>
  <c r="Q42" i="34" s="1"/>
  <c r="Q55" i="34" s="1"/>
  <c r="T10" i="36" s="1"/>
  <c r="R105" i="35"/>
  <c r="Q146" i="35"/>
  <c r="Q165" i="35" s="1"/>
  <c r="P169" i="35"/>
  <c r="Q18" i="34" s="1"/>
  <c r="Q43" i="34" s="1"/>
  <c r="Q56" i="34" s="1"/>
  <c r="T11" i="36" s="1"/>
  <c r="R146" i="35"/>
  <c r="Q64" i="35"/>
  <c r="Q83" i="35" s="1"/>
  <c r="R64" i="35"/>
  <c r="P87" i="35"/>
  <c r="Q16" i="34" s="1"/>
  <c r="Q41" i="34" s="1"/>
  <c r="Q54" i="34" s="1"/>
  <c r="T9" i="36" s="1"/>
  <c r="R165" i="35" l="1"/>
  <c r="R83" i="35"/>
  <c r="R124" i="35"/>
  <c r="R206" i="35"/>
  <c r="P4" i="35"/>
  <c r="Q11" i="34"/>
  <c r="P9" i="35" l="1"/>
  <c r="P47" i="35"/>
  <c r="Q15" i="34" s="1"/>
  <c r="Q26" i="35"/>
  <c r="Q44" i="35" s="1"/>
  <c r="R26" i="35"/>
  <c r="R44" i="35" l="1"/>
  <c r="Q40" i="34"/>
  <c r="Q53" i="34" s="1"/>
  <c r="T8" i="36" s="1"/>
  <c r="Q20" i="34"/>
  <c r="R75" i="2" l="1"/>
  <c r="R146" i="2" l="1"/>
  <c r="R120" i="2"/>
  <c r="R191" i="2" s="1"/>
  <c r="R135" i="2"/>
  <c r="R206" i="2" s="1"/>
  <c r="R131" i="2"/>
  <c r="R202" i="2" s="1"/>
  <c r="R136" i="2"/>
  <c r="R207" i="2" s="1"/>
  <c r="R132" i="2"/>
  <c r="R203" i="2" s="1"/>
  <c r="R138" i="2"/>
  <c r="R209" i="2" s="1"/>
  <c r="R134" i="2"/>
  <c r="R205" i="2" s="1"/>
  <c r="R137" i="2"/>
  <c r="R208" i="2" s="1"/>
  <c r="R133" i="2"/>
  <c r="R204" i="2" s="1"/>
  <c r="R123" i="2"/>
  <c r="R194" i="2" s="1"/>
  <c r="R74" i="2"/>
  <c r="R145" i="2" l="1"/>
  <c r="R124" i="2"/>
  <c r="R195" i="2" s="1"/>
  <c r="R125" i="2"/>
  <c r="R196" i="2" s="1"/>
  <c r="R121" i="2"/>
  <c r="R192" i="2" s="1"/>
  <c r="R105" i="2" l="1"/>
  <c r="R176" i="2" s="1"/>
  <c r="R115" i="2"/>
  <c r="R186" i="2" s="1"/>
  <c r="R97" i="2"/>
  <c r="R168" i="2" s="1"/>
  <c r="R113" i="2"/>
  <c r="R184" i="2" s="1"/>
  <c r="R103" i="2"/>
  <c r="R174" i="2" s="1"/>
  <c r="R110" i="2"/>
  <c r="R181" i="2" s="1"/>
  <c r="R100" i="2"/>
  <c r="R171" i="2" s="1"/>
  <c r="R106" i="2"/>
  <c r="R177" i="2" s="1"/>
  <c r="R116" i="2"/>
  <c r="R187" i="2" s="1"/>
  <c r="R109" i="2"/>
  <c r="R180" i="2" s="1"/>
  <c r="R99" i="2"/>
  <c r="R170" i="2" s="1"/>
  <c r="R102" i="2"/>
  <c r="R173" i="2" s="1"/>
  <c r="R98" i="2"/>
  <c r="R169" i="2" s="1"/>
  <c r="R108" i="2"/>
  <c r="R179" i="2" s="1"/>
  <c r="R101" i="2"/>
  <c r="R172" i="2" s="1"/>
  <c r="R111" i="2"/>
  <c r="R182" i="2" s="1"/>
  <c r="R104" i="2"/>
  <c r="R175" i="2" s="1"/>
  <c r="R114" i="2"/>
  <c r="R185" i="2" s="1"/>
  <c r="R112" i="2" l="1"/>
  <c r="R183" i="2" s="1"/>
  <c r="R107" i="2"/>
  <c r="R178" i="2" s="1"/>
  <c r="R118" i="2"/>
  <c r="R189" i="2" s="1"/>
  <c r="R82" i="2" l="1"/>
  <c r="R153" i="2" s="1"/>
  <c r="R91" i="2"/>
  <c r="R162" i="2" s="1"/>
  <c r="R81" i="2"/>
  <c r="R152" i="2" s="1"/>
  <c r="R77" i="2"/>
  <c r="R148" i="2" s="1"/>
  <c r="R96" i="2"/>
  <c r="R167" i="2" s="1"/>
  <c r="R86" i="2"/>
  <c r="R157" i="2" s="1"/>
  <c r="R80" i="2"/>
  <c r="R151" i="2" s="1"/>
  <c r="R90" i="2"/>
  <c r="R161" i="2" s="1"/>
  <c r="R79" i="2"/>
  <c r="R150" i="2" s="1"/>
  <c r="R89" i="2"/>
  <c r="R160" i="2" s="1"/>
  <c r="R83" i="2"/>
  <c r="R154" i="2" s="1"/>
  <c r="R93" i="2"/>
  <c r="R164" i="2" s="1"/>
  <c r="R95" i="2"/>
  <c r="R166" i="2" s="1"/>
  <c r="R85" i="2"/>
  <c r="R156" i="2" s="1"/>
  <c r="R84" i="2"/>
  <c r="R155" i="2" s="1"/>
  <c r="R94" i="2"/>
  <c r="R165" i="2" s="1"/>
  <c r="R78" i="2"/>
  <c r="R149" i="2" s="1"/>
  <c r="R88" i="2"/>
  <c r="R159" i="2" s="1"/>
  <c r="R87" i="2" l="1"/>
  <c r="R158" i="2" s="1"/>
  <c r="R92" i="2"/>
  <c r="R163" i="2" s="1"/>
  <c r="R119" i="2"/>
  <c r="R190" i="2" s="1"/>
  <c r="R117" i="2"/>
  <c r="R188" i="2" s="1"/>
  <c r="R122" i="2" l="1"/>
  <c r="R193" i="2" s="1"/>
  <c r="R281" i="2" l="1"/>
  <c r="R301" i="2" l="1"/>
  <c r="R344" i="2"/>
  <c r="R347" i="2"/>
  <c r="R350" i="2"/>
  <c r="S46" i="7"/>
  <c r="S13" i="8" s="1"/>
  <c r="R349" i="2"/>
  <c r="R363" i="2"/>
  <c r="R360" i="2"/>
  <c r="R362" i="2"/>
  <c r="R361" i="2"/>
  <c r="R348" i="2"/>
  <c r="R353" i="2" l="1"/>
  <c r="R352" i="2"/>
  <c r="R359" i="2"/>
  <c r="R357" i="2"/>
  <c r="R355" i="2"/>
  <c r="R356" i="2"/>
  <c r="R354" i="2"/>
  <c r="R627" i="2"/>
  <c r="R695" i="2"/>
  <c r="R708" i="2"/>
  <c r="R640" i="2"/>
  <c r="R709" i="2"/>
  <c r="R641" i="2"/>
  <c r="R639" i="2"/>
  <c r="R707" i="2"/>
  <c r="R710" i="2"/>
  <c r="R642" i="2"/>
  <c r="R697" i="2"/>
  <c r="R629" i="2"/>
  <c r="S47" i="7"/>
  <c r="S14" i="8" s="1"/>
  <c r="S49" i="7"/>
  <c r="S16" i="8" s="1"/>
  <c r="S43" i="7"/>
  <c r="S10" i="8" s="1"/>
  <c r="S6" i="8"/>
  <c r="R623" i="2"/>
  <c r="R691" i="2"/>
  <c r="R648" i="2"/>
  <c r="R580" i="2"/>
  <c r="R696" i="2"/>
  <c r="R628" i="2"/>
  <c r="S41" i="7"/>
  <c r="S8" i="8" s="1"/>
  <c r="S40" i="7"/>
  <c r="S7" i="8" s="1"/>
  <c r="R694" i="2"/>
  <c r="R626" i="2"/>
  <c r="R345" i="2"/>
  <c r="AR70" i="36"/>
  <c r="AR72" i="36" s="1"/>
  <c r="AR65" i="36" s="1"/>
  <c r="S42" i="7"/>
  <c r="S9" i="8" s="1"/>
  <c r="S44" i="7"/>
  <c r="S11" i="8" s="1"/>
  <c r="R346" i="2"/>
  <c r="R491" i="2" l="1"/>
  <c r="R417" i="2" s="1"/>
  <c r="R52" i="2" s="1"/>
  <c r="R260" i="2" s="1"/>
  <c r="R503" i="2"/>
  <c r="R429" i="2" s="1"/>
  <c r="R64" i="2" s="1"/>
  <c r="R272" i="2" s="1"/>
  <c r="R487" i="2"/>
  <c r="R413" i="2" s="1"/>
  <c r="R48" i="2" s="1"/>
  <c r="R256" i="2" s="1"/>
  <c r="R493" i="2"/>
  <c r="R419" i="2" s="1"/>
  <c r="R54" i="2" s="1"/>
  <c r="R262" i="2" s="1"/>
  <c r="R506" i="2"/>
  <c r="R432" i="2" s="1"/>
  <c r="R67" i="2" s="1"/>
  <c r="R275" i="2" s="1"/>
  <c r="R351" i="2"/>
  <c r="R630" i="2" s="1"/>
  <c r="R358" i="2"/>
  <c r="R705" i="2" s="1"/>
  <c r="R505" i="2"/>
  <c r="R431" i="2" s="1"/>
  <c r="R66" i="2" s="1"/>
  <c r="R274" i="2" s="1"/>
  <c r="R504" i="2"/>
  <c r="R430" i="2" s="1"/>
  <c r="R65" i="2" s="1"/>
  <c r="R273" i="2" s="1"/>
  <c r="R633" i="2"/>
  <c r="R701" i="2"/>
  <c r="R634" i="2"/>
  <c r="R702" i="2"/>
  <c r="R706" i="2"/>
  <c r="R638" i="2"/>
  <c r="R699" i="2"/>
  <c r="R631" i="2"/>
  <c r="R364" i="2"/>
  <c r="R635" i="2"/>
  <c r="R703" i="2"/>
  <c r="R636" i="2"/>
  <c r="R704" i="2"/>
  <c r="R632" i="2"/>
  <c r="R700" i="2"/>
  <c r="R693" i="2"/>
  <c r="R625" i="2"/>
  <c r="R692" i="2"/>
  <c r="R624" i="2"/>
  <c r="R308" i="2"/>
  <c r="R315" i="2"/>
  <c r="R305" i="2"/>
  <c r="R322" i="2"/>
  <c r="R312" i="2"/>
  <c r="R324" i="2"/>
  <c r="R334" i="2"/>
  <c r="R341" i="2"/>
  <c r="R331" i="2"/>
  <c r="R492" i="2"/>
  <c r="R418" i="2" s="1"/>
  <c r="R53" i="2" s="1"/>
  <c r="R261" i="2" s="1"/>
  <c r="R444" i="2"/>
  <c r="R370" i="2" s="1"/>
  <c r="R5" i="2" s="1"/>
  <c r="R213" i="2" s="1"/>
  <c r="R314" i="2"/>
  <c r="R304" i="2"/>
  <c r="R306" i="2"/>
  <c r="R316" i="2"/>
  <c r="R328" i="2"/>
  <c r="R340" i="2"/>
  <c r="R330" i="2"/>
  <c r="R327" i="2"/>
  <c r="R337" i="2"/>
  <c r="R300" i="2"/>
  <c r="R303" i="2"/>
  <c r="R310" i="2"/>
  <c r="R320" i="2"/>
  <c r="R307" i="2"/>
  <c r="R317" i="2"/>
  <c r="R329" i="2"/>
  <c r="R339" i="2"/>
  <c r="R326" i="2"/>
  <c r="R336" i="2"/>
  <c r="R490" i="2"/>
  <c r="R416" i="2" s="1"/>
  <c r="R51" i="2" s="1"/>
  <c r="R259" i="2" s="1"/>
  <c r="AK11" i="34"/>
  <c r="AI5" i="35"/>
  <c r="R319" i="2"/>
  <c r="R309" i="2"/>
  <c r="R321" i="2"/>
  <c r="R311" i="2"/>
  <c r="R323" i="2"/>
  <c r="R335" i="2"/>
  <c r="R325" i="2"/>
  <c r="R332" i="2"/>
  <c r="R342" i="2"/>
  <c r="S48" i="7"/>
  <c r="S15" i="8" s="1"/>
  <c r="R698" i="2" l="1"/>
  <c r="R637" i="2"/>
  <c r="R501" i="2" s="1"/>
  <c r="R427" i="2" s="1"/>
  <c r="R62" i="2" s="1"/>
  <c r="R270" i="2" s="1"/>
  <c r="R489" i="2"/>
  <c r="R415" i="2" s="1"/>
  <c r="R50" i="2" s="1"/>
  <c r="R258" i="2" s="1"/>
  <c r="R498" i="2"/>
  <c r="R424" i="2" s="1"/>
  <c r="R59" i="2" s="1"/>
  <c r="R267" i="2" s="1"/>
  <c r="R497" i="2"/>
  <c r="R423" i="2" s="1"/>
  <c r="R58" i="2" s="1"/>
  <c r="R266" i="2" s="1"/>
  <c r="R495" i="2"/>
  <c r="R421" i="2" s="1"/>
  <c r="R56" i="2" s="1"/>
  <c r="R264" i="2" s="1"/>
  <c r="R502" i="2"/>
  <c r="R428" i="2" s="1"/>
  <c r="R63" i="2" s="1"/>
  <c r="R271" i="2" s="1"/>
  <c r="S18" i="7"/>
  <c r="R488" i="2"/>
  <c r="R414" i="2" s="1"/>
  <c r="R49" i="2" s="1"/>
  <c r="R257" i="2" s="1"/>
  <c r="R496" i="2"/>
  <c r="R422" i="2" s="1"/>
  <c r="R57" i="2" s="1"/>
  <c r="R265" i="2" s="1"/>
  <c r="R494" i="2"/>
  <c r="R420" i="2" s="1"/>
  <c r="R55" i="2" s="1"/>
  <c r="R263" i="2" s="1"/>
  <c r="R500" i="2"/>
  <c r="R426" i="2" s="1"/>
  <c r="R61" i="2" s="1"/>
  <c r="R269" i="2" s="1"/>
  <c r="R499" i="2"/>
  <c r="R425" i="2" s="1"/>
  <c r="R60" i="2" s="1"/>
  <c r="R268" i="2" s="1"/>
  <c r="S17" i="8"/>
  <c r="R621" i="2"/>
  <c r="R553" i="2"/>
  <c r="R689" i="2"/>
  <c r="R536" i="2"/>
  <c r="R672" i="2"/>
  <c r="R604" i="2"/>
  <c r="R333" i="2"/>
  <c r="R532" i="2"/>
  <c r="R600" i="2"/>
  <c r="R668" i="2"/>
  <c r="R530" i="2"/>
  <c r="R666" i="2"/>
  <c r="R598" i="2"/>
  <c r="R605" i="2"/>
  <c r="R673" i="2"/>
  <c r="R537" i="2"/>
  <c r="R676" i="2"/>
  <c r="R540" i="2"/>
  <c r="R608" i="2"/>
  <c r="R654" i="2"/>
  <c r="R586" i="2"/>
  <c r="R518" i="2"/>
  <c r="R521" i="2"/>
  <c r="R589" i="2"/>
  <c r="R657" i="2"/>
  <c r="R313" i="2"/>
  <c r="R579" i="2"/>
  <c r="R647" i="2"/>
  <c r="R511" i="2"/>
  <c r="S6" i="7"/>
  <c r="S50" i="7"/>
  <c r="R674" i="2"/>
  <c r="R606" i="2"/>
  <c r="R538" i="2"/>
  <c r="R619" i="2"/>
  <c r="R551" i="2"/>
  <c r="R687" i="2"/>
  <c r="R675" i="2"/>
  <c r="R539" i="2"/>
  <c r="R607" i="2"/>
  <c r="R663" i="2"/>
  <c r="R595" i="2"/>
  <c r="R527" i="2"/>
  <c r="R583" i="2"/>
  <c r="R651" i="2"/>
  <c r="R515" i="2"/>
  <c r="R552" i="2"/>
  <c r="R620" i="2"/>
  <c r="R688" i="2"/>
  <c r="R671" i="2"/>
  <c r="R535" i="2"/>
  <c r="R603" i="2"/>
  <c r="R601" i="2"/>
  <c r="R533" i="2"/>
  <c r="R669" i="2"/>
  <c r="R526" i="2"/>
  <c r="R594" i="2"/>
  <c r="R662" i="2"/>
  <c r="R655" i="2"/>
  <c r="R519" i="2"/>
  <c r="R587" i="2"/>
  <c r="R611" i="2"/>
  <c r="R679" i="2"/>
  <c r="R543" i="2"/>
  <c r="R546" i="2"/>
  <c r="R614" i="2"/>
  <c r="R682" i="2"/>
  <c r="R670" i="2"/>
  <c r="R602" i="2"/>
  <c r="R534" i="2"/>
  <c r="R590" i="2"/>
  <c r="R522" i="2"/>
  <c r="R658" i="2"/>
  <c r="R656" i="2"/>
  <c r="R588" i="2"/>
  <c r="R520" i="2"/>
  <c r="AK26" i="35"/>
  <c r="AJ26" i="35"/>
  <c r="AJ44" i="35" s="1"/>
  <c r="AI47" i="35"/>
  <c r="AK16" i="34" s="1"/>
  <c r="AI9" i="35"/>
  <c r="R683" i="2"/>
  <c r="R547" i="2"/>
  <c r="R615" i="2"/>
  <c r="R686" i="2"/>
  <c r="R618" i="2"/>
  <c r="R550" i="2"/>
  <c r="R664" i="2"/>
  <c r="R528" i="2"/>
  <c r="R596" i="2"/>
  <c r="R531" i="2"/>
  <c r="R667" i="2"/>
  <c r="R599" i="2"/>
  <c r="R650" i="2"/>
  <c r="R514" i="2"/>
  <c r="R582" i="2"/>
  <c r="T15" i="5"/>
  <c r="R548" i="2"/>
  <c r="R616" i="2"/>
  <c r="R684" i="2"/>
  <c r="R609" i="2"/>
  <c r="R677" i="2"/>
  <c r="R541" i="2"/>
  <c r="R338" i="2"/>
  <c r="R653" i="2"/>
  <c r="R517" i="2"/>
  <c r="R585" i="2"/>
  <c r="R593" i="2"/>
  <c r="R525" i="2"/>
  <c r="R661" i="2"/>
  <c r="R542" i="2"/>
  <c r="R610" i="2"/>
  <c r="R678" i="2"/>
  <c r="R545" i="2"/>
  <c r="R681" i="2"/>
  <c r="R613" i="2"/>
  <c r="R659" i="2"/>
  <c r="R591" i="2"/>
  <c r="R523" i="2"/>
  <c r="R584" i="2"/>
  <c r="R516" i="2"/>
  <c r="R652" i="2"/>
  <c r="R318" i="2"/>
  <c r="R343" i="2"/>
  <c r="AG89" i="1"/>
  <c r="R467" i="2" l="1"/>
  <c r="R393" i="2" s="1"/>
  <c r="R28" i="2" s="1"/>
  <c r="R236" i="2" s="1"/>
  <c r="R457" i="2"/>
  <c r="R383" i="2" s="1"/>
  <c r="R18" i="2" s="1"/>
  <c r="R226" i="2" s="1"/>
  <c r="R450" i="2"/>
  <c r="R376" i="2" s="1"/>
  <c r="R11" i="2" s="1"/>
  <c r="R219" i="2" s="1"/>
  <c r="R472" i="2"/>
  <c r="R398" i="2" s="1"/>
  <c r="R33" i="2" s="1"/>
  <c r="R241" i="2" s="1"/>
  <c r="R469" i="2"/>
  <c r="R395" i="2" s="1"/>
  <c r="R30" i="2" s="1"/>
  <c r="R238" i="2" s="1"/>
  <c r="R447" i="2"/>
  <c r="R373" i="2" s="1"/>
  <c r="R8" i="2" s="1"/>
  <c r="R216" i="2" s="1"/>
  <c r="R483" i="2"/>
  <c r="R409" i="2" s="1"/>
  <c r="R44" i="2" s="1"/>
  <c r="R252" i="2" s="1"/>
  <c r="R470" i="2"/>
  <c r="R396" i="2" s="1"/>
  <c r="R31" i="2" s="1"/>
  <c r="R239" i="2" s="1"/>
  <c r="R477" i="2"/>
  <c r="R403" i="2" s="1"/>
  <c r="R38" i="2" s="1"/>
  <c r="R246" i="2" s="1"/>
  <c r="R549" i="2"/>
  <c r="R617" i="2"/>
  <c r="R685" i="2"/>
  <c r="R480" i="2"/>
  <c r="R406" i="2" s="1"/>
  <c r="R41" i="2" s="1"/>
  <c r="R249" i="2" s="1"/>
  <c r="T32" i="5"/>
  <c r="T34" i="5" s="1"/>
  <c r="T44" i="5" s="1"/>
  <c r="T14" i="5"/>
  <c r="Q37" i="34"/>
  <c r="AK20" i="34"/>
  <c r="R478" i="2"/>
  <c r="R404" i="2" s="1"/>
  <c r="R39" i="2" s="1"/>
  <c r="R247" i="2" s="1"/>
  <c r="R484" i="2"/>
  <c r="R410" i="2" s="1"/>
  <c r="R45" i="2" s="1"/>
  <c r="R253" i="2" s="1"/>
  <c r="R453" i="2"/>
  <c r="R379" i="2" s="1"/>
  <c r="R14" i="2" s="1"/>
  <c r="R222" i="2" s="1"/>
  <c r="R464" i="2"/>
  <c r="R390" i="2" s="1"/>
  <c r="R25" i="2" s="1"/>
  <c r="R233" i="2" s="1"/>
  <c r="R612" i="2"/>
  <c r="R544" i="2"/>
  <c r="R680" i="2"/>
  <c r="T41" i="5"/>
  <c r="R690" i="2"/>
  <c r="R622" i="2"/>
  <c r="R529" i="2"/>
  <c r="R597" i="2"/>
  <c r="R665" i="2"/>
  <c r="R448" i="2"/>
  <c r="R374" i="2" s="1"/>
  <c r="R9" i="2" s="1"/>
  <c r="R217" i="2" s="1"/>
  <c r="R455" i="2"/>
  <c r="R381" i="2" s="1"/>
  <c r="R16" i="2" s="1"/>
  <c r="R224" i="2" s="1"/>
  <c r="R474" i="2"/>
  <c r="R400" i="2" s="1"/>
  <c r="R35" i="2" s="1"/>
  <c r="R243" i="2" s="1"/>
  <c r="R449" i="2"/>
  <c r="R375" i="2" s="1"/>
  <c r="R10" i="2" s="1"/>
  <c r="R218" i="2" s="1"/>
  <c r="R473" i="2"/>
  <c r="R399" i="2" s="1"/>
  <c r="R34" i="2" s="1"/>
  <c r="R242" i="2" s="1"/>
  <c r="T33" i="5"/>
  <c r="T35" i="5" s="1"/>
  <c r="T45" i="5" s="1"/>
  <c r="R446" i="2"/>
  <c r="R372" i="2" s="1"/>
  <c r="R7" i="2" s="1"/>
  <c r="R215" i="2" s="1"/>
  <c r="R463" i="2"/>
  <c r="R389" i="2" s="1"/>
  <c r="R24" i="2" s="1"/>
  <c r="R232" i="2" s="1"/>
  <c r="R460" i="2"/>
  <c r="R386" i="2" s="1"/>
  <c r="R21" i="2" s="1"/>
  <c r="R229" i="2" s="1"/>
  <c r="R482" i="2"/>
  <c r="R408" i="2" s="1"/>
  <c r="R43" i="2" s="1"/>
  <c r="R251" i="2" s="1"/>
  <c r="R479" i="2"/>
  <c r="R405" i="2" s="1"/>
  <c r="R40" i="2" s="1"/>
  <c r="R248" i="2" s="1"/>
  <c r="AK44" i="35"/>
  <c r="R452" i="2"/>
  <c r="R378" i="2" s="1"/>
  <c r="R13" i="2" s="1"/>
  <c r="R221" i="2" s="1"/>
  <c r="R454" i="2"/>
  <c r="R380" i="2" s="1"/>
  <c r="R15" i="2" s="1"/>
  <c r="R223" i="2" s="1"/>
  <c r="R466" i="2"/>
  <c r="R392" i="2" s="1"/>
  <c r="R27" i="2" s="1"/>
  <c r="R235" i="2" s="1"/>
  <c r="R475" i="2"/>
  <c r="R401" i="2" s="1"/>
  <c r="R36" i="2" s="1"/>
  <c r="R244" i="2" s="1"/>
  <c r="R451" i="2"/>
  <c r="R377" i="2" s="1"/>
  <c r="R12" i="2" s="1"/>
  <c r="R220" i="2" s="1"/>
  <c r="R458" i="2"/>
  <c r="R384" i="2" s="1"/>
  <c r="R19" i="2" s="1"/>
  <c r="R227" i="2" s="1"/>
  <c r="R465" i="2"/>
  <c r="R391" i="2" s="1"/>
  <c r="R26" i="2" s="1"/>
  <c r="R234" i="2" s="1"/>
  <c r="R459" i="2"/>
  <c r="R385" i="2" s="1"/>
  <c r="R20" i="2" s="1"/>
  <c r="R228" i="2" s="1"/>
  <c r="R471" i="2"/>
  <c r="R397" i="2" s="1"/>
  <c r="R32" i="2" s="1"/>
  <c r="R240" i="2" s="1"/>
  <c r="R443" i="2"/>
  <c r="R592" i="2"/>
  <c r="R524" i="2"/>
  <c r="R660" i="2"/>
  <c r="R462" i="2"/>
  <c r="R388" i="2" s="1"/>
  <c r="R23" i="2" s="1"/>
  <c r="R231" i="2" s="1"/>
  <c r="R468" i="2"/>
  <c r="R394" i="2" s="1"/>
  <c r="R29" i="2" s="1"/>
  <c r="R237" i="2" s="1"/>
  <c r="R485" i="2"/>
  <c r="R411" i="2" s="1"/>
  <c r="R46" i="2" s="1"/>
  <c r="R254" i="2" s="1"/>
  <c r="T40" i="5"/>
  <c r="R711" i="2" l="1"/>
  <c r="R646" i="2" s="1"/>
  <c r="R643" i="2"/>
  <c r="T53" i="5"/>
  <c r="R5" i="32" s="1"/>
  <c r="T46" i="5"/>
  <c r="R476" i="2"/>
  <c r="R402" i="2" s="1"/>
  <c r="R37" i="2" s="1"/>
  <c r="R245" i="2" s="1"/>
  <c r="R369" i="2"/>
  <c r="R4" i="2" s="1"/>
  <c r="R461" i="2"/>
  <c r="R387" i="2" s="1"/>
  <c r="R22" i="2" s="1"/>
  <c r="R230" i="2" s="1"/>
  <c r="R456" i="2"/>
  <c r="R382" i="2" s="1"/>
  <c r="R17" i="2" s="1"/>
  <c r="R225" i="2" s="1"/>
  <c r="R510" i="2"/>
  <c r="R486" i="2"/>
  <c r="R412" i="2" s="1"/>
  <c r="R47" i="2" s="1"/>
  <c r="R255" i="2" s="1"/>
  <c r="T42" i="5"/>
  <c r="T54" i="5"/>
  <c r="R6" i="32" s="1"/>
  <c r="R25" i="32" s="1"/>
  <c r="Q50" i="34"/>
  <c r="Q45" i="34"/>
  <c r="R481" i="2"/>
  <c r="R407" i="2" s="1"/>
  <c r="R42" i="2" s="1"/>
  <c r="R250" i="2" s="1"/>
  <c r="R507" i="2" l="1"/>
  <c r="R433" i="2" s="1"/>
  <c r="R68" i="2" s="1"/>
  <c r="R276" i="2" s="1"/>
  <c r="R578" i="2"/>
  <c r="S4" i="7"/>
  <c r="Q58" i="34"/>
  <c r="T5" i="36"/>
  <c r="T52" i="5"/>
  <c r="R24" i="32"/>
  <c r="R7" i="32"/>
  <c r="R212" i="2"/>
  <c r="R285" i="2" l="1"/>
  <c r="R70" i="2"/>
  <c r="R442" i="2"/>
  <c r="S282" i="2"/>
  <c r="R286" i="2"/>
  <c r="R61" i="32"/>
  <c r="Q53" i="9" s="1"/>
  <c r="R37" i="32"/>
  <c r="Q19" i="9" s="1"/>
  <c r="S55" i="32"/>
  <c r="R47" i="9" s="1"/>
  <c r="S62" i="32"/>
  <c r="R57" i="9" s="1"/>
  <c r="R54" i="32"/>
  <c r="S31" i="32"/>
  <c r="R9" i="9" s="1"/>
  <c r="R36" i="32"/>
  <c r="S30" i="32"/>
  <c r="R5" i="9" s="1"/>
  <c r="T13" i="36"/>
  <c r="Q15" i="9" l="1"/>
  <c r="R43" i="32"/>
  <c r="R47" i="32" s="1"/>
  <c r="AC8" i="14" s="1"/>
  <c r="Q43" i="9"/>
  <c r="R68" i="32"/>
  <c r="R72" i="32" s="1"/>
  <c r="AC14" i="14" s="1"/>
  <c r="R289" i="2"/>
  <c r="Q33" i="9" l="1"/>
  <c r="R292" i="2"/>
  <c r="AC5" i="14" l="1"/>
  <c r="S24" i="8" l="1"/>
  <c r="T24" i="8" l="1"/>
  <c r="T18" i="36" l="1"/>
  <c r="S21" i="8"/>
  <c r="S23" i="8" s="1"/>
  <c r="S25" i="8" s="1"/>
  <c r="S35" i="8" s="1"/>
  <c r="S52" i="8" s="1"/>
  <c r="S67" i="8" s="1"/>
  <c r="S38" i="8" l="1"/>
  <c r="S55" i="8" s="1"/>
  <c r="S70" i="8" s="1"/>
  <c r="S30" i="8"/>
  <c r="S47" i="8" s="1"/>
  <c r="S62" i="8" s="1"/>
  <c r="S37" i="8"/>
  <c r="S54" i="8" s="1"/>
  <c r="S69" i="8" s="1"/>
  <c r="S32" i="8"/>
  <c r="S49" i="8" s="1"/>
  <c r="S64" i="8" s="1"/>
  <c r="S36" i="8"/>
  <c r="S53" i="8" s="1"/>
  <c r="S68" i="8" s="1"/>
  <c r="S29" i="8"/>
  <c r="S39" i="8"/>
  <c r="S56" i="8" s="1"/>
  <c r="S71" i="8" s="1"/>
  <c r="S34" i="8"/>
  <c r="S51" i="8" s="1"/>
  <c r="S66" i="8" s="1"/>
  <c r="S33" i="8"/>
  <c r="S50" i="8" s="1"/>
  <c r="S65" i="8" s="1"/>
  <c r="S31" i="8"/>
  <c r="S48" i="8" s="1"/>
  <c r="S63" i="8" s="1"/>
  <c r="U18" i="36"/>
  <c r="T21" i="8"/>
  <c r="T23" i="8" s="1"/>
  <c r="T25" i="8" s="1"/>
  <c r="T35" i="8" s="1"/>
  <c r="T52" i="8" s="1"/>
  <c r="T67" i="8" s="1"/>
  <c r="Q7" i="35"/>
  <c r="Q5" i="35"/>
  <c r="Q8" i="35"/>
  <c r="Q6" i="35"/>
  <c r="S40" i="8" l="1"/>
  <c r="S46" i="8"/>
  <c r="R65" i="35"/>
  <c r="R84" i="35" s="1"/>
  <c r="Q87" i="35"/>
  <c r="R16" i="34" s="1"/>
  <c r="R41" i="34" s="1"/>
  <c r="R54" i="34" s="1"/>
  <c r="U9" i="36" s="1"/>
  <c r="Q169" i="35"/>
  <c r="R18" i="34" s="1"/>
  <c r="R43" i="34" s="1"/>
  <c r="R56" i="34" s="1"/>
  <c r="U11" i="36" s="1"/>
  <c r="R147" i="35"/>
  <c r="R166" i="35" s="1"/>
  <c r="R106" i="35"/>
  <c r="R125" i="35" s="1"/>
  <c r="Q128" i="35"/>
  <c r="R17" i="34" s="1"/>
  <c r="R42" i="34" s="1"/>
  <c r="R55" i="34" s="1"/>
  <c r="U10" i="36" s="1"/>
  <c r="Q210" i="35"/>
  <c r="R19" i="34" s="1"/>
  <c r="R44" i="34" s="1"/>
  <c r="R57" i="34" s="1"/>
  <c r="U12" i="36" s="1"/>
  <c r="R188" i="35"/>
  <c r="R207" i="35" s="1"/>
  <c r="S76" i="8" l="1"/>
  <c r="S57" i="8"/>
  <c r="S97" i="8"/>
  <c r="Q58" i="9" s="1"/>
  <c r="S61" i="8"/>
  <c r="S96" i="8" s="1"/>
  <c r="Q54" i="9" s="1"/>
  <c r="R11" i="34"/>
  <c r="Q4" i="35"/>
  <c r="T93" i="8" l="1"/>
  <c r="R48" i="9" s="1"/>
  <c r="S92" i="8"/>
  <c r="S81" i="8"/>
  <c r="Q20" i="9" s="1"/>
  <c r="S80" i="8"/>
  <c r="Q16" i="9" s="1"/>
  <c r="T77" i="8"/>
  <c r="R10" i="9" s="1"/>
  <c r="Q6" i="9"/>
  <c r="Q47" i="35"/>
  <c r="R15" i="34" s="1"/>
  <c r="Q9" i="35"/>
  <c r="R27" i="35"/>
  <c r="R45" i="35" s="1"/>
  <c r="S84" i="8" l="1"/>
  <c r="S88" i="8" s="1"/>
  <c r="AC9" i="14" s="1"/>
  <c r="Q44" i="9"/>
  <c r="S100" i="8"/>
  <c r="S104" i="8" s="1"/>
  <c r="AC15" i="14" s="1"/>
  <c r="R20" i="34"/>
  <c r="R40" i="34"/>
  <c r="R53" i="34" s="1"/>
  <c r="U8" i="36" s="1"/>
  <c r="AJ5" i="35" l="1"/>
  <c r="AJ47" i="35" l="1"/>
  <c r="AL16" i="34" s="1"/>
  <c r="AK27" i="35"/>
  <c r="AK45" i="35" s="1"/>
  <c r="AL20" i="34" l="1"/>
  <c r="R37" i="34"/>
  <c r="R45" i="34" l="1"/>
  <c r="R50" i="34"/>
  <c r="R58" i="34" l="1"/>
  <c r="U5" i="36"/>
  <c r="U13" i="36" l="1"/>
  <c r="T12" i="32" l="1"/>
  <c r="T19" i="32" s="1"/>
  <c r="T11" i="32" l="1"/>
  <c r="T18" i="32" s="1"/>
  <c r="V6" i="5"/>
  <c r="V27" i="5" s="1"/>
  <c r="V29" i="5" s="1"/>
  <c r="V26" i="5" l="1"/>
  <c r="V28" i="5" s="1"/>
  <c r="T13" i="32"/>
  <c r="E21" i="14" l="1"/>
  <c r="U21" i="8"/>
  <c r="U23" i="8" s="1"/>
  <c r="V18" i="36"/>
  <c r="U24" i="8" l="1"/>
  <c r="U25" i="8" s="1"/>
  <c r="U35" i="8" s="1"/>
  <c r="U52" i="8" s="1"/>
  <c r="U67" i="8" s="1"/>
  <c r="T17" i="36" l="1"/>
  <c r="T19" i="36" s="1"/>
  <c r="T20" i="36" l="1"/>
  <c r="T21" i="36"/>
  <c r="U17" i="36"/>
  <c r="U19" i="36" s="1"/>
  <c r="U20" i="36" l="1"/>
  <c r="T33" i="36"/>
  <c r="T69" i="36" s="1"/>
  <c r="T32" i="36"/>
  <c r="V17" i="36"/>
  <c r="V19" i="36" s="1"/>
  <c r="T35" i="36"/>
  <c r="T71" i="36" s="1"/>
  <c r="T36" i="36"/>
  <c r="T72" i="36" s="1"/>
  <c r="T34" i="36"/>
  <c r="T70" i="36" s="1"/>
  <c r="T37" i="36"/>
  <c r="T73" i="36" s="1"/>
  <c r="U21" i="36"/>
  <c r="U38" i="36" s="1"/>
  <c r="U74" i="36" s="1"/>
  <c r="T38" i="36"/>
  <c r="T74" i="36" s="1"/>
  <c r="T39" i="36"/>
  <c r="T75" i="36" s="1"/>
  <c r="V20" i="36" l="1"/>
  <c r="U37" i="36"/>
  <c r="U73" i="36" s="1"/>
  <c r="V21" i="36"/>
  <c r="U35" i="36"/>
  <c r="U71" i="36" s="1"/>
  <c r="U33" i="36"/>
  <c r="U69" i="36" s="1"/>
  <c r="U34" i="36"/>
  <c r="U70" i="36" s="1"/>
  <c r="U36" i="36"/>
  <c r="U72" i="36" s="1"/>
  <c r="U32" i="36"/>
  <c r="U39" i="36"/>
  <c r="U75" i="36" s="1"/>
  <c r="T68" i="36"/>
  <c r="T40" i="36"/>
  <c r="U68" i="36" l="1"/>
  <c r="U40" i="36"/>
  <c r="T113" i="36"/>
  <c r="Q56" i="9" s="1"/>
  <c r="Q55" i="9" s="1"/>
  <c r="T91" i="36"/>
  <c r="Q4" i="9" s="1"/>
  <c r="Q3" i="9" s="1"/>
  <c r="Q11" i="9" s="1"/>
  <c r="Q26" i="9" s="1"/>
  <c r="V33" i="36"/>
  <c r="V69" i="36" s="1"/>
  <c r="V34" i="36"/>
  <c r="V70" i="36" s="1"/>
  <c r="S120" i="2" l="1"/>
  <c r="S191" i="2" s="1"/>
  <c r="T120" i="2" l="1"/>
  <c r="T191" i="2" s="1"/>
  <c r="AS70" i="36" l="1"/>
  <c r="AS72" i="36" s="1"/>
  <c r="AS65" i="36" s="1"/>
  <c r="S75" i="2" l="1"/>
  <c r="S131" i="2"/>
  <c r="S202" i="2" s="1"/>
  <c r="S146" i="2" l="1"/>
  <c r="S135" i="2"/>
  <c r="S206" i="2" s="1"/>
  <c r="S138" i="2"/>
  <c r="S209" i="2" s="1"/>
  <c r="S134" i="2"/>
  <c r="S205" i="2" s="1"/>
  <c r="S137" i="2"/>
  <c r="S208" i="2" s="1"/>
  <c r="S136" i="2"/>
  <c r="S207" i="2" s="1"/>
  <c r="S133" i="2"/>
  <c r="S204" i="2" s="1"/>
  <c r="S132" i="2"/>
  <c r="S203" i="2" s="1"/>
  <c r="S74" i="2"/>
  <c r="S145" i="2" l="1"/>
  <c r="S125" i="2"/>
  <c r="S196" i="2" s="1"/>
  <c r="S124" i="2"/>
  <c r="S195" i="2" s="1"/>
  <c r="T74" i="2" l="1"/>
  <c r="T145" i="2" l="1"/>
  <c r="T131" i="2"/>
  <c r="T202" i="2" s="1"/>
  <c r="T135" i="2"/>
  <c r="T206" i="2" s="1"/>
  <c r="T138" i="2"/>
  <c r="T209" i="2" s="1"/>
  <c r="T133" i="2"/>
  <c r="T204" i="2" s="1"/>
  <c r="T134" i="2"/>
  <c r="T205" i="2" s="1"/>
  <c r="T137" i="2"/>
  <c r="T208" i="2" s="1"/>
  <c r="T132" i="2"/>
  <c r="T203" i="2" s="1"/>
  <c r="T136" i="2"/>
  <c r="T207" i="2" s="1"/>
  <c r="T75" i="2" l="1"/>
  <c r="T146" i="2" l="1"/>
  <c r="T124" i="2"/>
  <c r="T195" i="2" s="1"/>
  <c r="T125" i="2" l="1"/>
  <c r="T196" i="2" s="1"/>
  <c r="S104" i="2" l="1"/>
  <c r="S175" i="2" s="1"/>
  <c r="S114" i="2"/>
  <c r="S185" i="2" s="1"/>
  <c r="S115" i="2"/>
  <c r="S186" i="2" s="1"/>
  <c r="S105" i="2"/>
  <c r="S176" i="2" s="1"/>
  <c r="S97" i="2"/>
  <c r="S168" i="2" s="1"/>
  <c r="S111" i="2"/>
  <c r="S182" i="2" s="1"/>
  <c r="S101" i="2"/>
  <c r="S172" i="2" s="1"/>
  <c r="T114" i="2"/>
  <c r="T185" i="2" s="1"/>
  <c r="T104" i="2"/>
  <c r="T175" i="2" s="1"/>
  <c r="T109" i="2"/>
  <c r="T180" i="2" s="1"/>
  <c r="T99" i="2"/>
  <c r="T170" i="2" s="1"/>
  <c r="T102" i="2"/>
  <c r="T173" i="2" s="1"/>
  <c r="S103" i="2"/>
  <c r="S174" i="2" s="1"/>
  <c r="S113" i="2"/>
  <c r="S184" i="2" s="1"/>
  <c r="T103" i="2"/>
  <c r="T174" i="2" s="1"/>
  <c r="T113" i="2"/>
  <c r="T184" i="2" s="1"/>
  <c r="T108" i="2"/>
  <c r="T179" i="2" s="1"/>
  <c r="T98" i="2"/>
  <c r="T169" i="2" s="1"/>
  <c r="T97" i="2"/>
  <c r="T168" i="2" s="1"/>
  <c r="S109" i="2"/>
  <c r="S180" i="2" s="1"/>
  <c r="S99" i="2"/>
  <c r="S170" i="2" s="1"/>
  <c r="S110" i="2"/>
  <c r="S181" i="2" s="1"/>
  <c r="S100" i="2"/>
  <c r="S171" i="2" s="1"/>
  <c r="T110" i="2"/>
  <c r="T181" i="2" s="1"/>
  <c r="T100" i="2"/>
  <c r="T171" i="2" s="1"/>
  <c r="T105" i="2"/>
  <c r="T176" i="2" s="1"/>
  <c r="T115" i="2"/>
  <c r="T186" i="2" s="1"/>
  <c r="S108" i="2"/>
  <c r="S179" i="2" s="1"/>
  <c r="S98" i="2"/>
  <c r="S169" i="2" s="1"/>
  <c r="S102" i="2"/>
  <c r="S173" i="2" s="1"/>
  <c r="S106" i="2"/>
  <c r="S177" i="2" s="1"/>
  <c r="S116" i="2"/>
  <c r="S187" i="2" s="1"/>
  <c r="T101" i="2"/>
  <c r="T172" i="2" s="1"/>
  <c r="T111" i="2"/>
  <c r="T182" i="2" s="1"/>
  <c r="T116" i="2"/>
  <c r="T187" i="2" s="1"/>
  <c r="T106" i="2"/>
  <c r="T177" i="2" s="1"/>
  <c r="T118" i="2" l="1"/>
  <c r="T189" i="2" s="1"/>
  <c r="S118" i="2"/>
  <c r="S189" i="2" s="1"/>
  <c r="S112" i="2"/>
  <c r="S183" i="2" s="1"/>
  <c r="T107" i="2"/>
  <c r="T178" i="2" s="1"/>
  <c r="T112" i="2"/>
  <c r="T183" i="2" s="1"/>
  <c r="S107" i="2"/>
  <c r="S178" i="2" s="1"/>
  <c r="S123" i="2" l="1"/>
  <c r="S194" i="2" s="1"/>
  <c r="S121" i="2" l="1"/>
  <c r="S192" i="2" s="1"/>
  <c r="T123" i="2" l="1"/>
  <c r="T194" i="2" s="1"/>
  <c r="T121" i="2" l="1"/>
  <c r="T192" i="2" s="1"/>
  <c r="S89" i="2" l="1"/>
  <c r="S160" i="2" s="1"/>
  <c r="S79" i="2"/>
  <c r="S150" i="2" s="1"/>
  <c r="S86" i="2"/>
  <c r="S157" i="2" s="1"/>
  <c r="S96" i="2"/>
  <c r="S167" i="2" s="1"/>
  <c r="T83" i="2"/>
  <c r="T154" i="2" s="1"/>
  <c r="T93" i="2"/>
  <c r="T164" i="2" s="1"/>
  <c r="T78" i="2"/>
  <c r="T149" i="2" s="1"/>
  <c r="T88" i="2"/>
  <c r="T159" i="2" s="1"/>
  <c r="S77" i="2"/>
  <c r="S148" i="2" s="1"/>
  <c r="S83" i="2"/>
  <c r="S154" i="2" s="1"/>
  <c r="S93" i="2"/>
  <c r="S164" i="2" s="1"/>
  <c r="S80" i="2"/>
  <c r="S151" i="2" s="1"/>
  <c r="S90" i="2"/>
  <c r="S161" i="2" s="1"/>
  <c r="T91" i="2"/>
  <c r="T162" i="2" s="1"/>
  <c r="T81" i="2"/>
  <c r="T152" i="2" s="1"/>
  <c r="T96" i="2"/>
  <c r="T167" i="2" s="1"/>
  <c r="T86" i="2"/>
  <c r="T157" i="2" s="1"/>
  <c r="T77" i="2"/>
  <c r="T148" i="2" s="1"/>
  <c r="S91" i="2"/>
  <c r="S162" i="2" s="1"/>
  <c r="S81" i="2"/>
  <c r="S152" i="2" s="1"/>
  <c r="S94" i="2"/>
  <c r="S165" i="2" s="1"/>
  <c r="S84" i="2"/>
  <c r="S155" i="2" s="1"/>
  <c r="T80" i="2"/>
  <c r="T151" i="2" s="1"/>
  <c r="T90" i="2"/>
  <c r="T161" i="2" s="1"/>
  <c r="T95" i="2"/>
  <c r="T166" i="2" s="1"/>
  <c r="T85" i="2"/>
  <c r="T156" i="2" s="1"/>
  <c r="T82" i="2"/>
  <c r="T153" i="2" s="1"/>
  <c r="S95" i="2"/>
  <c r="S166" i="2" s="1"/>
  <c r="S85" i="2"/>
  <c r="S156" i="2" s="1"/>
  <c r="S82" i="2"/>
  <c r="S153" i="2" s="1"/>
  <c r="S78" i="2"/>
  <c r="S149" i="2" s="1"/>
  <c r="S88" i="2"/>
  <c r="S159" i="2" s="1"/>
  <c r="T89" i="2"/>
  <c r="T160" i="2" s="1"/>
  <c r="T79" i="2"/>
  <c r="T150" i="2" s="1"/>
  <c r="T84" i="2"/>
  <c r="T155" i="2" s="1"/>
  <c r="T94" i="2"/>
  <c r="T165" i="2" s="1"/>
  <c r="T117" i="2" l="1"/>
  <c r="T188" i="2" s="1"/>
  <c r="S92" i="2"/>
  <c r="S163" i="2" s="1"/>
  <c r="T92" i="2"/>
  <c r="T163" i="2" s="1"/>
  <c r="T87" i="2"/>
  <c r="T158" i="2" s="1"/>
  <c r="S117" i="2"/>
  <c r="S188" i="2" s="1"/>
  <c r="S87" i="2"/>
  <c r="S158" i="2" s="1"/>
  <c r="T122" i="2" l="1"/>
  <c r="T193" i="2" s="1"/>
  <c r="S122" i="2"/>
  <c r="S193" i="2" s="1"/>
  <c r="S128" i="2" l="1"/>
  <c r="S199" i="2" s="1"/>
  <c r="S129" i="2"/>
  <c r="S200" i="2" s="1"/>
  <c r="S126" i="2"/>
  <c r="S197" i="2" s="1"/>
  <c r="S127" i="2"/>
  <c r="S198" i="2" s="1"/>
  <c r="S130" i="2"/>
  <c r="S201" i="2" s="1"/>
  <c r="T128" i="2" l="1"/>
  <c r="T199" i="2" s="1"/>
  <c r="T126" i="2"/>
  <c r="T197" i="2" s="1"/>
  <c r="T129" i="2"/>
  <c r="T200" i="2" s="1"/>
  <c r="T127" i="2"/>
  <c r="T198" i="2" s="1"/>
  <c r="T130" i="2"/>
  <c r="T201" i="2" s="1"/>
  <c r="U15" i="5" l="1"/>
  <c r="U41" i="5" l="1"/>
  <c r="U40" i="5"/>
  <c r="U33" i="5"/>
  <c r="U35" i="5" s="1"/>
  <c r="U14" i="5"/>
  <c r="U32" i="5"/>
  <c r="U34" i="5" s="1"/>
  <c r="U42" i="5" l="1"/>
  <c r="V15" i="5" l="1"/>
  <c r="V33" i="5" s="1"/>
  <c r="V35" i="5" s="1"/>
  <c r="V41" i="5" l="1"/>
  <c r="V14" i="5"/>
  <c r="V32" i="5"/>
  <c r="V34" i="5" s="1"/>
  <c r="V40" i="5"/>
  <c r="V42" i="5" l="1"/>
  <c r="R6" i="35" l="1"/>
  <c r="R7" i="35"/>
  <c r="R8" i="35"/>
  <c r="R5" i="35"/>
  <c r="R87" i="35" l="1"/>
  <c r="S16" i="34" s="1"/>
  <c r="S41" i="34" s="1"/>
  <c r="S54" i="34" s="1"/>
  <c r="V9" i="36" s="1"/>
  <c r="R210" i="35"/>
  <c r="S19" i="34" s="1"/>
  <c r="S44" i="34" s="1"/>
  <c r="S57" i="34" s="1"/>
  <c r="V12" i="36" s="1"/>
  <c r="R128" i="35"/>
  <c r="S17" i="34" s="1"/>
  <c r="S42" i="34" s="1"/>
  <c r="S55" i="34" s="1"/>
  <c r="V10" i="36" s="1"/>
  <c r="R169" i="35"/>
  <c r="S18" i="34" s="1"/>
  <c r="S43" i="34" s="1"/>
  <c r="S56" i="34" s="1"/>
  <c r="V11" i="36" s="1"/>
  <c r="V38" i="36" l="1"/>
  <c r="V74" i="36" s="1"/>
  <c r="S11" i="34"/>
  <c r="R4" i="35"/>
  <c r="V37" i="36"/>
  <c r="V73" i="36" s="1"/>
  <c r="V39" i="36"/>
  <c r="V75" i="36" s="1"/>
  <c r="V36" i="36"/>
  <c r="V72" i="36" s="1"/>
  <c r="R9" i="35" l="1"/>
  <c r="R47" i="35"/>
  <c r="S15" i="34" s="1"/>
  <c r="S40" i="34" s="1"/>
  <c r="S53" i="34" l="1"/>
  <c r="V8" i="36" s="1"/>
  <c r="S20" i="34"/>
  <c r="S301" i="2" l="1"/>
  <c r="V35" i="36"/>
  <c r="V71" i="36" s="1"/>
  <c r="S315" i="2"/>
  <c r="S305" i="2"/>
  <c r="S319" i="2"/>
  <c r="S309" i="2"/>
  <c r="S322" i="2"/>
  <c r="S312" i="2"/>
  <c r="S339" i="2"/>
  <c r="S329" i="2"/>
  <c r="S308" i="2"/>
  <c r="S306" i="2"/>
  <c r="S316" i="2"/>
  <c r="S323" i="2"/>
  <c r="S340" i="2"/>
  <c r="S330" i="2"/>
  <c r="S342" i="2"/>
  <c r="S332" i="2"/>
  <c r="S320" i="2"/>
  <c r="S310" i="2"/>
  <c r="S314" i="2"/>
  <c r="S304" i="2"/>
  <c r="S307" i="2"/>
  <c r="S317" i="2"/>
  <c r="S334" i="2"/>
  <c r="S324" i="2"/>
  <c r="S303" i="2"/>
  <c r="S311" i="2"/>
  <c r="S321" i="2"/>
  <c r="S328" i="2"/>
  <c r="S335" i="2"/>
  <c r="S325" i="2"/>
  <c r="S337" i="2"/>
  <c r="S327" i="2"/>
  <c r="S300" i="2" l="1"/>
  <c r="S648" i="2"/>
  <c r="S580" i="2"/>
  <c r="S674" i="2"/>
  <c r="S606" i="2"/>
  <c r="S538" i="2"/>
  <c r="S672" i="2"/>
  <c r="S604" i="2"/>
  <c r="S536" i="2"/>
  <c r="S539" i="2"/>
  <c r="S607" i="2"/>
  <c r="S675" i="2"/>
  <c r="S522" i="2"/>
  <c r="S590" i="2"/>
  <c r="S658" i="2"/>
  <c r="S650" i="2"/>
  <c r="S514" i="2"/>
  <c r="S582" i="2"/>
  <c r="S535" i="2"/>
  <c r="S603" i="2"/>
  <c r="S671" i="2"/>
  <c r="S664" i="2"/>
  <c r="S528" i="2"/>
  <c r="S596" i="2"/>
  <c r="S515" i="2"/>
  <c r="S583" i="2"/>
  <c r="S651" i="2"/>
  <c r="S657" i="2"/>
  <c r="S589" i="2"/>
  <c r="S521" i="2"/>
  <c r="S543" i="2"/>
  <c r="S611" i="2"/>
  <c r="S679" i="2"/>
  <c r="S541" i="2"/>
  <c r="S609" i="2"/>
  <c r="S677" i="2"/>
  <c r="S534" i="2"/>
  <c r="S670" i="2"/>
  <c r="S602" i="2"/>
  <c r="S653" i="2"/>
  <c r="S585" i="2"/>
  <c r="S517" i="2"/>
  <c r="S318" i="2"/>
  <c r="S608" i="2"/>
  <c r="S540" i="2"/>
  <c r="S676" i="2"/>
  <c r="S591" i="2"/>
  <c r="S659" i="2"/>
  <c r="S523" i="2"/>
  <c r="S656" i="2"/>
  <c r="S588" i="2"/>
  <c r="S520" i="2"/>
  <c r="S584" i="2"/>
  <c r="S516" i="2"/>
  <c r="S652" i="2"/>
  <c r="S326" i="2"/>
  <c r="S336" i="2"/>
  <c r="S548" i="2"/>
  <c r="S684" i="2"/>
  <c r="S616" i="2"/>
  <c r="S546" i="2"/>
  <c r="S682" i="2"/>
  <c r="S614" i="2"/>
  <c r="S338" i="2"/>
  <c r="S600" i="2"/>
  <c r="S668" i="2"/>
  <c r="S532" i="2"/>
  <c r="S313" i="2"/>
  <c r="S613" i="2"/>
  <c r="S681" i="2"/>
  <c r="S545" i="2"/>
  <c r="S654" i="2"/>
  <c r="S586" i="2"/>
  <c r="S518" i="2"/>
  <c r="S661" i="2"/>
  <c r="S593" i="2"/>
  <c r="S525" i="2"/>
  <c r="S667" i="2"/>
  <c r="S531" i="2"/>
  <c r="S599" i="2"/>
  <c r="S621" i="2"/>
  <c r="S553" i="2"/>
  <c r="S689" i="2"/>
  <c r="S619" i="2"/>
  <c r="S551" i="2"/>
  <c r="S687" i="2"/>
  <c r="S333" i="2"/>
  <c r="S527" i="2"/>
  <c r="S595" i="2"/>
  <c r="S663" i="2"/>
  <c r="S519" i="2"/>
  <c r="S655" i="2"/>
  <c r="S587" i="2"/>
  <c r="S618" i="2"/>
  <c r="S550" i="2"/>
  <c r="S686" i="2"/>
  <c r="S669" i="2"/>
  <c r="S533" i="2"/>
  <c r="S601" i="2"/>
  <c r="S666" i="2"/>
  <c r="S598" i="2"/>
  <c r="S530" i="2"/>
  <c r="S662" i="2"/>
  <c r="S594" i="2"/>
  <c r="S526" i="2"/>
  <c r="S341" i="2"/>
  <c r="S331" i="2"/>
  <c r="S482" i="2" l="1"/>
  <c r="S408" i="2" s="1"/>
  <c r="S43" i="2" s="1"/>
  <c r="S251" i="2" s="1"/>
  <c r="S458" i="2"/>
  <c r="S384" i="2" s="1"/>
  <c r="S19" i="2" s="1"/>
  <c r="S227" i="2" s="1"/>
  <c r="S485" i="2"/>
  <c r="S411" i="2" s="1"/>
  <c r="S46" i="2" s="1"/>
  <c r="S254" i="2" s="1"/>
  <c r="S450" i="2"/>
  <c r="S376" i="2" s="1"/>
  <c r="S11" i="2" s="1"/>
  <c r="S219" i="2" s="1"/>
  <c r="S464" i="2"/>
  <c r="S390" i="2" s="1"/>
  <c r="S25" i="2" s="1"/>
  <c r="S233" i="2" s="1"/>
  <c r="S470" i="2"/>
  <c r="S396" i="2" s="1"/>
  <c r="S31" i="2" s="1"/>
  <c r="S239" i="2" s="1"/>
  <c r="S448" i="2"/>
  <c r="S374" i="2" s="1"/>
  <c r="S9" i="2" s="1"/>
  <c r="S217" i="2" s="1"/>
  <c r="S452" i="2"/>
  <c r="S378" i="2" s="1"/>
  <c r="S13" i="2" s="1"/>
  <c r="S221" i="2" s="1"/>
  <c r="S460" i="2"/>
  <c r="S386" i="2" s="1"/>
  <c r="S21" i="2" s="1"/>
  <c r="S229" i="2" s="1"/>
  <c r="S444" i="2"/>
  <c r="S370" i="2" s="1"/>
  <c r="S5" i="2" s="1"/>
  <c r="S213" i="2" s="1"/>
  <c r="S511" i="2"/>
  <c r="S579" i="2"/>
  <c r="S647" i="2"/>
  <c r="T300" i="2"/>
  <c r="S620" i="2"/>
  <c r="S552" i="2"/>
  <c r="S688" i="2"/>
  <c r="S462" i="2"/>
  <c r="S388" i="2" s="1"/>
  <c r="S23" i="2" s="1"/>
  <c r="S231" i="2" s="1"/>
  <c r="S465" i="2"/>
  <c r="S391" i="2" s="1"/>
  <c r="S26" i="2" s="1"/>
  <c r="S234" i="2" s="1"/>
  <c r="S459" i="2"/>
  <c r="S385" i="2" s="1"/>
  <c r="S20" i="2" s="1"/>
  <c r="S228" i="2" s="1"/>
  <c r="S612" i="2"/>
  <c r="S680" i="2"/>
  <c r="S544" i="2"/>
  <c r="S483" i="2"/>
  <c r="S409" i="2" s="1"/>
  <c r="S44" i="2" s="1"/>
  <c r="S252" i="2" s="1"/>
  <c r="S463" i="2"/>
  <c r="S389" i="2" s="1"/>
  <c r="S24" i="2" s="1"/>
  <c r="S232" i="2" s="1"/>
  <c r="S457" i="2"/>
  <c r="S383" i="2" s="1"/>
  <c r="S18" i="2" s="1"/>
  <c r="S226" i="2" s="1"/>
  <c r="S477" i="2"/>
  <c r="S403" i="2" s="1"/>
  <c r="S38" i="2" s="1"/>
  <c r="S246" i="2" s="1"/>
  <c r="S660" i="2"/>
  <c r="S592" i="2"/>
  <c r="S524" i="2"/>
  <c r="S478" i="2"/>
  <c r="S404" i="2" s="1"/>
  <c r="S39" i="2" s="1"/>
  <c r="S247" i="2" s="1"/>
  <c r="S547" i="2"/>
  <c r="S615" i="2"/>
  <c r="S683" i="2"/>
  <c r="S455" i="2"/>
  <c r="S381" i="2" s="1"/>
  <c r="S16" i="2" s="1"/>
  <c r="S224" i="2" s="1"/>
  <c r="S472" i="2"/>
  <c r="S398" i="2" s="1"/>
  <c r="S33" i="2" s="1"/>
  <c r="S241" i="2" s="1"/>
  <c r="S449" i="2"/>
  <c r="S375" i="2" s="1"/>
  <c r="S10" i="2" s="1"/>
  <c r="S218" i="2" s="1"/>
  <c r="S473" i="2"/>
  <c r="S399" i="2" s="1"/>
  <c r="S34" i="2" s="1"/>
  <c r="S242" i="2" s="1"/>
  <c r="S453" i="2"/>
  <c r="S379" i="2" s="1"/>
  <c r="S14" i="2" s="1"/>
  <c r="S222" i="2" s="1"/>
  <c r="S446" i="2"/>
  <c r="S454" i="2"/>
  <c r="S380" i="2" s="1"/>
  <c r="S15" i="2" s="1"/>
  <c r="S223" i="2" s="1"/>
  <c r="S468" i="2"/>
  <c r="S394" i="2" s="1"/>
  <c r="S29" i="2" s="1"/>
  <c r="S237" i="2" s="1"/>
  <c r="S542" i="2"/>
  <c r="S678" i="2"/>
  <c r="S610" i="2"/>
  <c r="S451" i="2"/>
  <c r="S377" i="2" s="1"/>
  <c r="S12" i="2" s="1"/>
  <c r="S220" i="2" s="1"/>
  <c r="S685" i="2"/>
  <c r="S549" i="2"/>
  <c r="S617" i="2"/>
  <c r="S480" i="2"/>
  <c r="S406" i="2" s="1"/>
  <c r="S41" i="2" s="1"/>
  <c r="S249" i="2" s="1"/>
  <c r="S605" i="2"/>
  <c r="S537" i="2"/>
  <c r="S673" i="2"/>
  <c r="S597" i="2"/>
  <c r="S529" i="2"/>
  <c r="S665" i="2"/>
  <c r="S466" i="2"/>
  <c r="S392" i="2" s="1"/>
  <c r="S27" i="2" s="1"/>
  <c r="S235" i="2" s="1"/>
  <c r="S475" i="2"/>
  <c r="S401" i="2" s="1"/>
  <c r="S36" i="2" s="1"/>
  <c r="S244" i="2" s="1"/>
  <c r="S447" i="2"/>
  <c r="S373" i="2" s="1"/>
  <c r="S8" i="2" s="1"/>
  <c r="S216" i="2" s="1"/>
  <c r="S467" i="2"/>
  <c r="S393" i="2" s="1"/>
  <c r="S28" i="2" s="1"/>
  <c r="S236" i="2" s="1"/>
  <c r="S471" i="2"/>
  <c r="S397" i="2" s="1"/>
  <c r="S32" i="2" s="1"/>
  <c r="S240" i="2" s="1"/>
  <c r="S346" i="2"/>
  <c r="T346" i="2"/>
  <c r="S469" i="2" l="1"/>
  <c r="S395" i="2" s="1"/>
  <c r="S30" i="2" s="1"/>
  <c r="S238" i="2" s="1"/>
  <c r="S481" i="2"/>
  <c r="S407" i="2" s="1"/>
  <c r="S42" i="2" s="1"/>
  <c r="S250" i="2" s="1"/>
  <c r="S510" i="2"/>
  <c r="S456" i="2"/>
  <c r="S382" i="2" s="1"/>
  <c r="S17" i="2" s="1"/>
  <c r="S225" i="2" s="1"/>
  <c r="S443" i="2"/>
  <c r="S369" i="2" s="1"/>
  <c r="S4" i="2" s="1"/>
  <c r="S212" i="2" s="1"/>
  <c r="T693" i="2"/>
  <c r="T625" i="2"/>
  <c r="S484" i="2"/>
  <c r="S410" i="2" s="1"/>
  <c r="S45" i="2" s="1"/>
  <c r="S253" i="2" s="1"/>
  <c r="S625" i="2"/>
  <c r="S693" i="2"/>
  <c r="S461" i="2"/>
  <c r="S387" i="2" s="1"/>
  <c r="S22" i="2" s="1"/>
  <c r="S230" i="2" s="1"/>
  <c r="S474" i="2"/>
  <c r="S400" i="2" s="1"/>
  <c r="S35" i="2" s="1"/>
  <c r="S243" i="2" s="1"/>
  <c r="S372" i="2"/>
  <c r="S7" i="2" s="1"/>
  <c r="S479" i="2"/>
  <c r="S405" i="2" s="1"/>
  <c r="S40" i="2" s="1"/>
  <c r="S248" i="2" s="1"/>
  <c r="S476" i="2"/>
  <c r="S402" i="2" s="1"/>
  <c r="S37" i="2" s="1"/>
  <c r="S245" i="2" s="1"/>
  <c r="T647" i="2"/>
  <c r="T511" i="2"/>
  <c r="T579" i="2"/>
  <c r="S489" i="2" l="1"/>
  <c r="S415" i="2" s="1"/>
  <c r="S50" i="2" s="1"/>
  <c r="S258" i="2" s="1"/>
  <c r="T489" i="2"/>
  <c r="T415" i="2" s="1"/>
  <c r="T50" i="2" s="1"/>
  <c r="T258" i="2" s="1"/>
  <c r="T443" i="2"/>
  <c r="S215" i="2"/>
  <c r="T301" i="2" l="1"/>
  <c r="T369" i="2"/>
  <c r="T4" i="2" s="1"/>
  <c r="T212" i="2" l="1"/>
  <c r="T580" i="2"/>
  <c r="T648" i="2"/>
  <c r="T341" i="2" l="1"/>
  <c r="T331" i="2"/>
  <c r="T306" i="2"/>
  <c r="T316" i="2"/>
  <c r="T328" i="2"/>
  <c r="T308" i="2"/>
  <c r="T310" i="2"/>
  <c r="T320" i="2"/>
  <c r="T319" i="2"/>
  <c r="T309" i="2"/>
  <c r="T330" i="2"/>
  <c r="T340" i="2"/>
  <c r="T342" i="2"/>
  <c r="T332" i="2"/>
  <c r="T317" i="2"/>
  <c r="T307" i="2"/>
  <c r="T334" i="2"/>
  <c r="T324" i="2"/>
  <c r="T444" i="2"/>
  <c r="T336" i="2"/>
  <c r="T326" i="2"/>
  <c r="T321" i="2"/>
  <c r="T311" i="2"/>
  <c r="T323" i="2"/>
  <c r="T303" i="2"/>
  <c r="T315" i="2"/>
  <c r="T305" i="2"/>
  <c r="T304" i="2"/>
  <c r="T314" i="2"/>
  <c r="T335" i="2"/>
  <c r="T325" i="2"/>
  <c r="T327" i="2"/>
  <c r="T337" i="2"/>
  <c r="T312" i="2"/>
  <c r="T322" i="2"/>
  <c r="T329" i="2"/>
  <c r="T339" i="2"/>
  <c r="T676" i="2" l="1"/>
  <c r="T540" i="2"/>
  <c r="T608" i="2"/>
  <c r="T523" i="2"/>
  <c r="T659" i="2"/>
  <c r="T591" i="2"/>
  <c r="T538" i="2"/>
  <c r="T606" i="2"/>
  <c r="T674" i="2"/>
  <c r="T546" i="2"/>
  <c r="T614" i="2"/>
  <c r="T682" i="2"/>
  <c r="T651" i="2"/>
  <c r="T515" i="2"/>
  <c r="T583" i="2"/>
  <c r="T662" i="2"/>
  <c r="T526" i="2"/>
  <c r="T594" i="2"/>
  <c r="T313" i="2"/>
  <c r="T333" i="2"/>
  <c r="T670" i="2"/>
  <c r="T602" i="2"/>
  <c r="T534" i="2"/>
  <c r="T532" i="2"/>
  <c r="T600" i="2"/>
  <c r="T668" i="2"/>
  <c r="T683" i="2"/>
  <c r="T547" i="2"/>
  <c r="T615" i="2"/>
  <c r="T370" i="2"/>
  <c r="T5" i="2" s="1"/>
  <c r="T545" i="2"/>
  <c r="T681" i="2"/>
  <c r="T613" i="2"/>
  <c r="T528" i="2"/>
  <c r="T596" i="2"/>
  <c r="T664" i="2"/>
  <c r="T621" i="2"/>
  <c r="T689" i="2"/>
  <c r="T553" i="2"/>
  <c r="T677" i="2"/>
  <c r="T609" i="2"/>
  <c r="T541" i="2"/>
  <c r="T598" i="2"/>
  <c r="T530" i="2"/>
  <c r="T666" i="2"/>
  <c r="T589" i="2"/>
  <c r="T521" i="2"/>
  <c r="T657" i="2"/>
  <c r="T318" i="2"/>
  <c r="T338" i="2"/>
  <c r="T585" i="2"/>
  <c r="T517" i="2"/>
  <c r="T653" i="2"/>
  <c r="T552" i="2"/>
  <c r="T620" i="2"/>
  <c r="T688" i="2"/>
  <c r="T550" i="2"/>
  <c r="T618" i="2"/>
  <c r="T686" i="2"/>
  <c r="T601" i="2"/>
  <c r="T533" i="2"/>
  <c r="T669" i="2"/>
  <c r="T616" i="2"/>
  <c r="T548" i="2"/>
  <c r="T684" i="2"/>
  <c r="T604" i="2"/>
  <c r="T672" i="2"/>
  <c r="T536" i="2"/>
  <c r="T593" i="2"/>
  <c r="T525" i="2"/>
  <c r="T661" i="2"/>
  <c r="T516" i="2"/>
  <c r="T584" i="2"/>
  <c r="T652" i="2"/>
  <c r="T514" i="2"/>
  <c r="T582" i="2"/>
  <c r="T650" i="2"/>
  <c r="T658" i="2"/>
  <c r="T522" i="2"/>
  <c r="T590" i="2"/>
  <c r="T605" i="2"/>
  <c r="T673" i="2"/>
  <c r="T537" i="2"/>
  <c r="T535" i="2"/>
  <c r="T671" i="2"/>
  <c r="T603" i="2"/>
  <c r="T518" i="2"/>
  <c r="T586" i="2"/>
  <c r="T654" i="2"/>
  <c r="T543" i="2"/>
  <c r="T611" i="2"/>
  <c r="T679" i="2"/>
  <c r="T619" i="2"/>
  <c r="T551" i="2"/>
  <c r="T687" i="2"/>
  <c r="T520" i="2"/>
  <c r="T588" i="2"/>
  <c r="T656" i="2"/>
  <c r="T531" i="2"/>
  <c r="T667" i="2"/>
  <c r="T599" i="2"/>
  <c r="T519" i="2"/>
  <c r="T655" i="2"/>
  <c r="T587" i="2"/>
  <c r="T539" i="2"/>
  <c r="T675" i="2"/>
  <c r="T607" i="2"/>
  <c r="T527" i="2"/>
  <c r="T663" i="2"/>
  <c r="T595" i="2"/>
  <c r="T542" i="2"/>
  <c r="T678" i="2"/>
  <c r="T610" i="2"/>
  <c r="T465" i="2" l="1"/>
  <c r="T391" i="2" s="1"/>
  <c r="T26" i="2" s="1"/>
  <c r="T234" i="2" s="1"/>
  <c r="T462" i="2"/>
  <c r="T388" i="2" s="1"/>
  <c r="T23" i="2" s="1"/>
  <c r="T231" i="2" s="1"/>
  <c r="T473" i="2"/>
  <c r="T399" i="2" s="1"/>
  <c r="T34" i="2" s="1"/>
  <c r="T242" i="2" s="1"/>
  <c r="T469" i="2"/>
  <c r="T395" i="2" s="1"/>
  <c r="T30" i="2" s="1"/>
  <c r="T238" i="2" s="1"/>
  <c r="T454" i="2"/>
  <c r="T380" i="2" s="1"/>
  <c r="T15" i="2" s="1"/>
  <c r="T223" i="2" s="1"/>
  <c r="T447" i="2"/>
  <c r="T373" i="2" s="1"/>
  <c r="T8" i="2" s="1"/>
  <c r="T216" i="2" s="1"/>
  <c r="T472" i="2"/>
  <c r="T398" i="2" s="1"/>
  <c r="T33" i="2" s="1"/>
  <c r="T241" i="2" s="1"/>
  <c r="T474" i="2"/>
  <c r="T400" i="2" s="1"/>
  <c r="T35" i="2" s="1"/>
  <c r="T243" i="2" s="1"/>
  <c r="T451" i="2"/>
  <c r="T377" i="2" s="1"/>
  <c r="T12" i="2" s="1"/>
  <c r="T220" i="2" s="1"/>
  <c r="T452" i="2"/>
  <c r="T378" i="2" s="1"/>
  <c r="T13" i="2" s="1"/>
  <c r="T221" i="2" s="1"/>
  <c r="T483" i="2"/>
  <c r="T409" i="2" s="1"/>
  <c r="T44" i="2" s="1"/>
  <c r="T252" i="2" s="1"/>
  <c r="T475" i="2"/>
  <c r="T401" i="2" s="1"/>
  <c r="T36" i="2" s="1"/>
  <c r="T244" i="2" s="1"/>
  <c r="T467" i="2"/>
  <c r="T393" i="2" s="1"/>
  <c r="T28" i="2" s="1"/>
  <c r="T236" i="2" s="1"/>
  <c r="T448" i="2"/>
  <c r="T374" i="2" s="1"/>
  <c r="T9" i="2" s="1"/>
  <c r="T217" i="2" s="1"/>
  <c r="T457" i="2"/>
  <c r="T383" i="2" s="1"/>
  <c r="T18" i="2" s="1"/>
  <c r="T226" i="2" s="1"/>
  <c r="T468" i="2"/>
  <c r="T394" i="2" s="1"/>
  <c r="T29" i="2" s="1"/>
  <c r="T237" i="2" s="1"/>
  <c r="T480" i="2"/>
  <c r="T406" i="2" s="1"/>
  <c r="T41" i="2" s="1"/>
  <c r="T249" i="2" s="1"/>
  <c r="T484" i="2"/>
  <c r="T410" i="2" s="1"/>
  <c r="T45" i="2" s="1"/>
  <c r="T253" i="2" s="1"/>
  <c r="T449" i="2"/>
  <c r="T375" i="2" s="1"/>
  <c r="T10" i="2" s="1"/>
  <c r="T218" i="2" s="1"/>
  <c r="T549" i="2"/>
  <c r="T685" i="2"/>
  <c r="T617" i="2"/>
  <c r="T529" i="2"/>
  <c r="T665" i="2"/>
  <c r="T597" i="2"/>
  <c r="T453" i="2"/>
  <c r="T379" i="2" s="1"/>
  <c r="T14" i="2" s="1"/>
  <c r="T222" i="2" s="1"/>
  <c r="T485" i="2"/>
  <c r="T411" i="2" s="1"/>
  <c r="T46" i="2" s="1"/>
  <c r="T254" i="2" s="1"/>
  <c r="T477" i="2"/>
  <c r="T403" i="2" s="1"/>
  <c r="T38" i="2" s="1"/>
  <c r="T246" i="2" s="1"/>
  <c r="T213" i="2"/>
  <c r="T479" i="2"/>
  <c r="T405" i="2" s="1"/>
  <c r="T40" i="2" s="1"/>
  <c r="T248" i="2" s="1"/>
  <c r="T464" i="2"/>
  <c r="T390" i="2" s="1"/>
  <c r="T25" i="2" s="1"/>
  <c r="T233" i="2" s="1"/>
  <c r="T466" i="2"/>
  <c r="T392" i="2" s="1"/>
  <c r="T27" i="2" s="1"/>
  <c r="T235" i="2" s="1"/>
  <c r="T612" i="2"/>
  <c r="T544" i="2"/>
  <c r="T680" i="2"/>
  <c r="T458" i="2"/>
  <c r="T384" i="2" s="1"/>
  <c r="T19" i="2" s="1"/>
  <c r="T227" i="2" s="1"/>
  <c r="T470" i="2"/>
  <c r="T396" i="2" s="1"/>
  <c r="T31" i="2" s="1"/>
  <c r="T239" i="2" s="1"/>
  <c r="T459" i="2"/>
  <c r="T385" i="2" s="1"/>
  <c r="T20" i="2" s="1"/>
  <c r="T228" i="2" s="1"/>
  <c r="T471" i="2"/>
  <c r="T397" i="2" s="1"/>
  <c r="T32" i="2" s="1"/>
  <c r="T240" i="2" s="1"/>
  <c r="T463" i="2"/>
  <c r="T389" i="2" s="1"/>
  <c r="T24" i="2" s="1"/>
  <c r="T232" i="2" s="1"/>
  <c r="T450" i="2"/>
  <c r="T376" i="2" s="1"/>
  <c r="T11" i="2" s="1"/>
  <c r="T219" i="2" s="1"/>
  <c r="T446" i="2"/>
  <c r="T482" i="2"/>
  <c r="T408" i="2" s="1"/>
  <c r="T43" i="2" s="1"/>
  <c r="T251" i="2" s="1"/>
  <c r="T460" i="2"/>
  <c r="T386" i="2" s="1"/>
  <c r="T21" i="2" s="1"/>
  <c r="T229" i="2" s="1"/>
  <c r="T524" i="2"/>
  <c r="T660" i="2"/>
  <c r="T592" i="2"/>
  <c r="T478" i="2"/>
  <c r="T404" i="2" s="1"/>
  <c r="T39" i="2" s="1"/>
  <c r="T247" i="2" s="1"/>
  <c r="T455" i="2"/>
  <c r="T381" i="2" s="1"/>
  <c r="T16" i="2" s="1"/>
  <c r="T224" i="2" s="1"/>
  <c r="T456" i="2" l="1"/>
  <c r="T382" i="2" s="1"/>
  <c r="T17" i="2" s="1"/>
  <c r="T225" i="2" s="1"/>
  <c r="T372" i="2"/>
  <c r="T7" i="2" s="1"/>
  <c r="T481" i="2"/>
  <c r="T407" i="2" s="1"/>
  <c r="T42" i="2" s="1"/>
  <c r="T250" i="2" s="1"/>
  <c r="T510" i="2"/>
  <c r="T476" i="2"/>
  <c r="T402" i="2" s="1"/>
  <c r="T37" i="2" s="1"/>
  <c r="T245" i="2" s="1"/>
  <c r="T461" i="2"/>
  <c r="T387" i="2" s="1"/>
  <c r="T22" i="2" s="1"/>
  <c r="T230" i="2" s="1"/>
  <c r="T215" i="2" l="1"/>
  <c r="T344" i="2" l="1"/>
  <c r="T691" i="2" l="1"/>
  <c r="T623" i="2"/>
  <c r="T487" i="2" l="1"/>
  <c r="T413" i="2" s="1"/>
  <c r="T48" i="2" s="1"/>
  <c r="T256" i="2" s="1"/>
  <c r="U46" i="7" l="1"/>
  <c r="U13" i="8" s="1"/>
  <c r="U36" i="8" s="1"/>
  <c r="U53" i="8" s="1"/>
  <c r="U68" i="8" s="1"/>
  <c r="U41" i="7" l="1"/>
  <c r="U8" i="8" s="1"/>
  <c r="U31" i="8" s="1"/>
  <c r="U48" i="8" s="1"/>
  <c r="U63" i="8" s="1"/>
  <c r="U40" i="7"/>
  <c r="U7" i="8" s="1"/>
  <c r="U30" i="8" s="1"/>
  <c r="U47" i="8" s="1"/>
  <c r="U62" i="8" s="1"/>
  <c r="U47" i="7"/>
  <c r="U14" i="8" s="1"/>
  <c r="U37" i="8" s="1"/>
  <c r="U54" i="8" s="1"/>
  <c r="U69" i="8" s="1"/>
  <c r="U49" i="7"/>
  <c r="U16" i="8" s="1"/>
  <c r="U39" i="8" s="1"/>
  <c r="U56" i="8" s="1"/>
  <c r="U71" i="8" s="1"/>
  <c r="U43" i="7"/>
  <c r="U10" i="8" s="1"/>
  <c r="U33" i="8" s="1"/>
  <c r="U50" i="8" s="1"/>
  <c r="U65" i="8" s="1"/>
  <c r="U6" i="8"/>
  <c r="U42" i="7"/>
  <c r="U9" i="8" s="1"/>
  <c r="U32" i="8" s="1"/>
  <c r="U49" i="8" s="1"/>
  <c r="U64" i="8" s="1"/>
  <c r="U44" i="7"/>
  <c r="U11" i="8" s="1"/>
  <c r="U34" i="8" s="1"/>
  <c r="U51" i="8" s="1"/>
  <c r="U66" i="8" s="1"/>
  <c r="U29" i="8" l="1"/>
  <c r="U46" i="8" s="1"/>
  <c r="U48" i="7" l="1"/>
  <c r="U15" i="8" l="1"/>
  <c r="U50" i="7"/>
  <c r="U61" i="8"/>
  <c r="U38" i="8" l="1"/>
  <c r="U17" i="8"/>
  <c r="U55" i="8" l="1"/>
  <c r="U40" i="8"/>
  <c r="U57" i="8" l="1"/>
  <c r="U70" i="8"/>
  <c r="U80" i="8" l="1"/>
  <c r="S16" i="9" s="1"/>
  <c r="U96" i="8"/>
  <c r="S54" i="9" s="1"/>
  <c r="T46" i="7" l="1"/>
  <c r="T13" i="8" s="1"/>
  <c r="T36" i="8" s="1"/>
  <c r="T53" i="8" s="1"/>
  <c r="T68" i="8" s="1"/>
  <c r="T40" i="7" l="1"/>
  <c r="T7" i="8" s="1"/>
  <c r="T30" i="8" s="1"/>
  <c r="T47" i="8" s="1"/>
  <c r="T62" i="8" s="1"/>
  <c r="T6" i="8"/>
  <c r="T41" i="7"/>
  <c r="T8" i="8" s="1"/>
  <c r="T31" i="8" s="1"/>
  <c r="T48" i="8" s="1"/>
  <c r="T63" i="8" s="1"/>
  <c r="T43" i="7"/>
  <c r="T10" i="8" s="1"/>
  <c r="T33" i="8" s="1"/>
  <c r="T50" i="8" s="1"/>
  <c r="T65" i="8" s="1"/>
  <c r="T47" i="7"/>
  <c r="T14" i="8" s="1"/>
  <c r="T37" i="8" s="1"/>
  <c r="T54" i="8" s="1"/>
  <c r="T69" i="8" s="1"/>
  <c r="T49" i="7"/>
  <c r="T16" i="8" s="1"/>
  <c r="T39" i="8" s="1"/>
  <c r="T56" i="8" s="1"/>
  <c r="T71" i="8" s="1"/>
  <c r="T44" i="7"/>
  <c r="T11" i="8" s="1"/>
  <c r="T34" i="8" s="1"/>
  <c r="T51" i="8" s="1"/>
  <c r="T66" i="8" s="1"/>
  <c r="T42" i="7"/>
  <c r="T9" i="8" s="1"/>
  <c r="T32" i="8" s="1"/>
  <c r="T49" i="8" s="1"/>
  <c r="T64" i="8" s="1"/>
  <c r="T48" i="7" l="1"/>
  <c r="T15" i="8" s="1"/>
  <c r="T17" i="8" s="1"/>
  <c r="T29" i="8"/>
  <c r="T50" i="7" l="1"/>
  <c r="T46" i="8"/>
  <c r="T38" i="8"/>
  <c r="T55" i="8" s="1"/>
  <c r="T70" i="8" s="1"/>
  <c r="T40" i="8" l="1"/>
  <c r="T57" i="8"/>
  <c r="T97" i="8"/>
  <c r="R58" i="9" s="1"/>
  <c r="U92" i="8"/>
  <c r="T76" i="8"/>
  <c r="U81" i="8"/>
  <c r="S20" i="9" s="1"/>
  <c r="T61" i="8"/>
  <c r="U76" i="8" s="1"/>
  <c r="R6" i="9" l="1"/>
  <c r="T80" i="8"/>
  <c r="R16" i="9" s="1"/>
  <c r="T92" i="8"/>
  <c r="T81" i="8"/>
  <c r="R20" i="9" s="1"/>
  <c r="U77" i="8"/>
  <c r="S10" i="9" s="1"/>
  <c r="U97" i="8"/>
  <c r="S58" i="9" s="1"/>
  <c r="T96" i="8"/>
  <c r="R54" i="9" s="1"/>
  <c r="S44" i="9"/>
  <c r="U93" i="8"/>
  <c r="S48" i="9" s="1"/>
  <c r="U100" i="8" l="1"/>
  <c r="U104" i="8" s="1"/>
  <c r="AE15" i="14" s="1"/>
  <c r="T100" i="8"/>
  <c r="T104" i="8" s="1"/>
  <c r="R44" i="9"/>
  <c r="S6" i="9"/>
  <c r="U84" i="8"/>
  <c r="U88" i="8" s="1"/>
  <c r="AE9" i="14" s="1"/>
  <c r="T84" i="8"/>
  <c r="T88" i="8" s="1"/>
  <c r="AD9" i="14" l="1"/>
  <c r="U89" i="8"/>
  <c r="AD15" i="14"/>
  <c r="U105" i="8"/>
  <c r="O9" i="14" l="1"/>
  <c r="O23" i="14" s="1"/>
  <c r="O15" i="14"/>
  <c r="O29" i="14" s="1"/>
  <c r="S344" i="2" l="1"/>
  <c r="S623" i="2" l="1"/>
  <c r="S691" i="2"/>
  <c r="S487" i="2" l="1"/>
  <c r="S413" i="2" s="1"/>
  <c r="S48" i="2" s="1"/>
  <c r="S256" i="2" s="1"/>
  <c r="S363" i="2" l="1"/>
  <c r="S642" i="2" l="1"/>
  <c r="S710" i="2"/>
  <c r="S506" i="2" l="1"/>
  <c r="S432" i="2" s="1"/>
  <c r="S67" i="2" s="1"/>
  <c r="S275" i="2" s="1"/>
  <c r="T363" i="2"/>
  <c r="T710" i="2" l="1"/>
  <c r="T642" i="2"/>
  <c r="T506" i="2" l="1"/>
  <c r="T432" i="2" s="1"/>
  <c r="T67" i="2" s="1"/>
  <c r="T275" i="2" s="1"/>
  <c r="S350" i="2" l="1"/>
  <c r="S697" i="2" l="1"/>
  <c r="S629" i="2"/>
  <c r="S493" i="2" l="1"/>
  <c r="S419" i="2" s="1"/>
  <c r="S54" i="2" s="1"/>
  <c r="S262" i="2" s="1"/>
  <c r="S362" i="2"/>
  <c r="S641" i="2" l="1"/>
  <c r="S709" i="2"/>
  <c r="S505" i="2" l="1"/>
  <c r="S431" i="2" s="1"/>
  <c r="S66" i="2" s="1"/>
  <c r="S274" i="2" s="1"/>
  <c r="S360" i="2"/>
  <c r="S639" i="2" l="1"/>
  <c r="S707" i="2"/>
  <c r="S503" i="2" l="1"/>
  <c r="S429" i="2" s="1"/>
  <c r="S64" i="2" s="1"/>
  <c r="S272" i="2" s="1"/>
  <c r="T362" i="2"/>
  <c r="T350" i="2"/>
  <c r="T697" i="2" l="1"/>
  <c r="T629" i="2"/>
  <c r="T641" i="2"/>
  <c r="T709" i="2"/>
  <c r="T493" i="2" l="1"/>
  <c r="T419" i="2" s="1"/>
  <c r="T54" i="2" s="1"/>
  <c r="T262" i="2" s="1"/>
  <c r="T505" i="2"/>
  <c r="T431" i="2" s="1"/>
  <c r="T66" i="2" s="1"/>
  <c r="T274" i="2" s="1"/>
  <c r="T360" i="2" l="1"/>
  <c r="S355" i="2" l="1"/>
  <c r="S352" i="2"/>
  <c r="S354" i="2"/>
  <c r="S357" i="2"/>
  <c r="S353" i="2"/>
  <c r="S356" i="2"/>
  <c r="S359" i="2"/>
  <c r="T639" i="2"/>
  <c r="T707" i="2"/>
  <c r="S351" i="2" l="1"/>
  <c r="S698" i="2" s="1"/>
  <c r="S358" i="2"/>
  <c r="S705" i="2" s="1"/>
  <c r="T503" i="2"/>
  <c r="T429" i="2" s="1"/>
  <c r="T64" i="2" s="1"/>
  <c r="T272" i="2" s="1"/>
  <c r="S706" i="2"/>
  <c r="S638" i="2"/>
  <c r="S703" i="2"/>
  <c r="S635" i="2"/>
  <c r="S704" i="2"/>
  <c r="S636" i="2"/>
  <c r="S699" i="2"/>
  <c r="S631" i="2"/>
  <c r="S700" i="2"/>
  <c r="S632" i="2"/>
  <c r="S633" i="2"/>
  <c r="S701" i="2"/>
  <c r="S634" i="2"/>
  <c r="S702" i="2"/>
  <c r="S630" i="2" l="1"/>
  <c r="S494" i="2" s="1"/>
  <c r="S420" i="2" s="1"/>
  <c r="S55" i="2" s="1"/>
  <c r="S263" i="2" s="1"/>
  <c r="S495" i="2"/>
  <c r="S421" i="2" s="1"/>
  <c r="S56" i="2" s="1"/>
  <c r="S264" i="2" s="1"/>
  <c r="S500" i="2"/>
  <c r="S426" i="2" s="1"/>
  <c r="S61" i="2" s="1"/>
  <c r="S269" i="2" s="1"/>
  <c r="S499" i="2"/>
  <c r="S425" i="2" s="1"/>
  <c r="S60" i="2" s="1"/>
  <c r="S268" i="2" s="1"/>
  <c r="S502" i="2"/>
  <c r="S428" i="2" s="1"/>
  <c r="S63" i="2" s="1"/>
  <c r="S271" i="2" s="1"/>
  <c r="S637" i="2"/>
  <c r="S498" i="2"/>
  <c r="S424" i="2" s="1"/>
  <c r="S59" i="2" s="1"/>
  <c r="S267" i="2" s="1"/>
  <c r="S497" i="2"/>
  <c r="S423" i="2" s="1"/>
  <c r="S58" i="2" s="1"/>
  <c r="S266" i="2" s="1"/>
  <c r="S501" i="2"/>
  <c r="S427" i="2" s="1"/>
  <c r="S62" i="2" s="1"/>
  <c r="S270" i="2" s="1"/>
  <c r="S496" i="2"/>
  <c r="S422" i="2" s="1"/>
  <c r="S57" i="2" s="1"/>
  <c r="S265" i="2" s="1"/>
  <c r="T352" i="2" l="1"/>
  <c r="T354" i="2"/>
  <c r="T356" i="2"/>
  <c r="T353" i="2"/>
  <c r="T359" i="2"/>
  <c r="T357" i="2"/>
  <c r="T355" i="2"/>
  <c r="T351" i="2" l="1"/>
  <c r="T698" i="2" s="1"/>
  <c r="T634" i="2"/>
  <c r="T702" i="2"/>
  <c r="T704" i="2"/>
  <c r="T636" i="2"/>
  <c r="T632" i="2"/>
  <c r="T700" i="2"/>
  <c r="T701" i="2"/>
  <c r="T633" i="2"/>
  <c r="T706" i="2"/>
  <c r="T638" i="2"/>
  <c r="T703" i="2"/>
  <c r="T635" i="2"/>
  <c r="T631" i="2"/>
  <c r="T699" i="2"/>
  <c r="T630" i="2" l="1"/>
  <c r="T494" i="2" s="1"/>
  <c r="T420" i="2" s="1"/>
  <c r="T55" i="2" s="1"/>
  <c r="T263" i="2" s="1"/>
  <c r="T496" i="2"/>
  <c r="T422" i="2" s="1"/>
  <c r="T57" i="2" s="1"/>
  <c r="T265" i="2" s="1"/>
  <c r="T498" i="2"/>
  <c r="T424" i="2" s="1"/>
  <c r="T59" i="2" s="1"/>
  <c r="T267" i="2" s="1"/>
  <c r="T495" i="2"/>
  <c r="T421" i="2" s="1"/>
  <c r="T56" i="2" s="1"/>
  <c r="T264" i="2" s="1"/>
  <c r="T499" i="2"/>
  <c r="T425" i="2" s="1"/>
  <c r="T60" i="2" s="1"/>
  <c r="T268" i="2" s="1"/>
  <c r="T502" i="2"/>
  <c r="T428" i="2" s="1"/>
  <c r="T63" i="2" s="1"/>
  <c r="T271" i="2" s="1"/>
  <c r="T497" i="2"/>
  <c r="T423" i="2" s="1"/>
  <c r="T58" i="2" s="1"/>
  <c r="T266" i="2" s="1"/>
  <c r="T500" i="2"/>
  <c r="T426" i="2" s="1"/>
  <c r="T61" i="2" s="1"/>
  <c r="T269" i="2" s="1"/>
  <c r="S364" i="2" l="1"/>
  <c r="T364" i="2" l="1"/>
  <c r="S349" i="2" l="1"/>
  <c r="S628" i="2" l="1"/>
  <c r="S696" i="2"/>
  <c r="S492" i="2" l="1"/>
  <c r="S418" i="2" s="1"/>
  <c r="S53" i="2" s="1"/>
  <c r="S261" i="2" s="1"/>
  <c r="S345" i="2"/>
  <c r="S624" i="2" l="1"/>
  <c r="S692" i="2"/>
  <c r="S347" i="2"/>
  <c r="S488" i="2" l="1"/>
  <c r="S414" i="2" s="1"/>
  <c r="S49" i="2" s="1"/>
  <c r="S626" i="2"/>
  <c r="S694" i="2"/>
  <c r="S343" i="2"/>
  <c r="S622" i="2" l="1"/>
  <c r="S690" i="2"/>
  <c r="S490" i="2"/>
  <c r="S416" i="2" s="1"/>
  <c r="S51" i="2" s="1"/>
  <c r="S259" i="2" s="1"/>
  <c r="S486" i="2" l="1"/>
  <c r="S412" i="2" s="1"/>
  <c r="S47" i="2" s="1"/>
  <c r="S255" i="2" l="1"/>
  <c r="S348" i="2" l="1"/>
  <c r="S627" i="2" l="1"/>
  <c r="S695" i="2"/>
  <c r="T348" i="2"/>
  <c r="S491" i="2" l="1"/>
  <c r="S417" i="2" s="1"/>
  <c r="S52" i="2" s="1"/>
  <c r="S260" i="2" s="1"/>
  <c r="T627" i="2"/>
  <c r="T695" i="2"/>
  <c r="T491" i="2" l="1"/>
  <c r="T417" i="2" s="1"/>
  <c r="T52" i="2" s="1"/>
  <c r="T260" i="2" s="1"/>
  <c r="S361" i="2" l="1"/>
  <c r="AI89" i="1"/>
  <c r="S640" i="2" l="1"/>
  <c r="S643" i="2" s="1"/>
  <c r="S708" i="2"/>
  <c r="S711" i="2" l="1"/>
  <c r="S646" i="2" s="1"/>
  <c r="S504" i="2"/>
  <c r="S578" i="2"/>
  <c r="S507" i="2" l="1"/>
  <c r="S433" i="2" s="1"/>
  <c r="S68" i="2" s="1"/>
  <c r="S276" i="2" s="1"/>
  <c r="S430" i="2"/>
  <c r="S65" i="2" s="1"/>
  <c r="S442" i="2"/>
  <c r="S273" i="2" l="1"/>
  <c r="S70" i="2"/>
  <c r="T18" i="7" l="1"/>
  <c r="U45" i="5" l="1"/>
  <c r="U44" i="5" l="1"/>
  <c r="U53" i="5" s="1"/>
  <c r="U46" i="5"/>
  <c r="U54" i="5"/>
  <c r="S6" i="32" s="1"/>
  <c r="S25" i="32" s="1"/>
  <c r="S5" i="32"/>
  <c r="U52" i="5" l="1"/>
  <c r="S7" i="32"/>
  <c r="S24" i="32"/>
  <c r="T30" i="32" s="1"/>
  <c r="S36" i="32" l="1"/>
  <c r="S61" i="32"/>
  <c r="R53" i="9" s="1"/>
  <c r="T55" i="32"/>
  <c r="S47" i="9" s="1"/>
  <c r="S5" i="9"/>
  <c r="S37" i="32"/>
  <c r="R19" i="9" s="1"/>
  <c r="S54" i="32"/>
  <c r="T31" i="32"/>
  <c r="S9" i="9" s="1"/>
  <c r="T62" i="32"/>
  <c r="S57" i="9" s="1"/>
  <c r="R43" i="9" l="1"/>
  <c r="S68" i="32"/>
  <c r="S72" i="32" s="1"/>
  <c r="AD14" i="14" s="1"/>
  <c r="R15" i="9"/>
  <c r="S43" i="32"/>
  <c r="S47" i="32" s="1"/>
  <c r="AD8" i="14" s="1"/>
  <c r="T358" i="2" l="1"/>
  <c r="T705" i="2" l="1"/>
  <c r="T637" i="2"/>
  <c r="T501" i="2" l="1"/>
  <c r="T427" i="2" s="1"/>
  <c r="T62" i="2" s="1"/>
  <c r="T270" i="2" s="1"/>
  <c r="T361" i="2"/>
  <c r="T708" i="2" l="1"/>
  <c r="T640" i="2"/>
  <c r="T504" i="2" l="1"/>
  <c r="T430" i="2" s="1"/>
  <c r="T65" i="2" s="1"/>
  <c r="T273" i="2" s="1"/>
  <c r="T349" i="2" l="1"/>
  <c r="T628" i="2" l="1"/>
  <c r="T696" i="2"/>
  <c r="T345" i="2"/>
  <c r="T492" i="2" l="1"/>
  <c r="T418" i="2" s="1"/>
  <c r="T53" i="2" s="1"/>
  <c r="T261" i="2" s="1"/>
  <c r="T624" i="2"/>
  <c r="T692" i="2"/>
  <c r="T488" i="2" l="1"/>
  <c r="T414" i="2" s="1"/>
  <c r="T49" i="2" s="1"/>
  <c r="T347" i="2"/>
  <c r="T626" i="2" l="1"/>
  <c r="T694" i="2"/>
  <c r="AK89" i="1"/>
  <c r="T343" i="2"/>
  <c r="T490" i="2" l="1"/>
  <c r="T416" i="2" s="1"/>
  <c r="T51" i="2" s="1"/>
  <c r="T259" i="2" s="1"/>
  <c r="T622" i="2"/>
  <c r="T643" i="2" s="1"/>
  <c r="T690" i="2"/>
  <c r="T711" i="2" l="1"/>
  <c r="T646" i="2" s="1"/>
  <c r="T486" i="2"/>
  <c r="T412" i="2" s="1"/>
  <c r="T47" i="2" s="1"/>
  <c r="T578" i="2"/>
  <c r="T507" i="2" l="1"/>
  <c r="T433" i="2" s="1"/>
  <c r="T68" i="2" s="1"/>
  <c r="T276" i="2" s="1"/>
  <c r="T255" i="2"/>
  <c r="T442" i="2" l="1"/>
  <c r="T70" i="2"/>
  <c r="S119" i="2" l="1"/>
  <c r="S190" i="2" s="1"/>
  <c r="T119" i="2"/>
  <c r="T190" i="2" s="1"/>
  <c r="T257" i="2" s="1"/>
  <c r="S281" i="2" l="1"/>
  <c r="S257" i="2"/>
  <c r="T285" i="2"/>
  <c r="T286" i="2"/>
  <c r="S285" i="2" l="1"/>
  <c r="T281" i="2"/>
  <c r="S286" i="2"/>
  <c r="T282" i="2"/>
  <c r="T289" i="2" l="1"/>
  <c r="S289" i="2"/>
  <c r="S292" i="2" l="1"/>
  <c r="R33" i="9"/>
  <c r="S33" i="9"/>
  <c r="AE5" i="14" s="1"/>
  <c r="T292" i="2"/>
  <c r="AD5" i="14" l="1"/>
  <c r="O5" i="14" l="1"/>
  <c r="O19" i="14" s="1"/>
  <c r="U18" i="7" l="1"/>
  <c r="T11" i="31" l="1"/>
  <c r="T19" i="31" l="1"/>
  <c r="T20" i="31" l="1"/>
  <c r="T18" i="31" s="1"/>
  <c r="T28" i="31" s="1"/>
  <c r="T29" i="36" s="1"/>
  <c r="AR47" i="36" l="1"/>
  <c r="AR49" i="36"/>
  <c r="AR50" i="36"/>
  <c r="AR46" i="36"/>
  <c r="AR51" i="36"/>
  <c r="AR45" i="36"/>
  <c r="AR52" i="36"/>
  <c r="AR48" i="36"/>
  <c r="AR59" i="36" l="1"/>
  <c r="AR57" i="36"/>
  <c r="AR63" i="36"/>
  <c r="AR61" i="36"/>
  <c r="AR56" i="36"/>
  <c r="AR60" i="36"/>
  <c r="AR62" i="36"/>
  <c r="AR58" i="36"/>
  <c r="AR64" i="36" l="1"/>
  <c r="AR66" i="36" s="1"/>
  <c r="AR67" i="36" s="1"/>
  <c r="AR79" i="36" s="1"/>
  <c r="T49" i="36" l="1"/>
  <c r="T60" i="36" s="1"/>
  <c r="T83" i="36" s="1"/>
  <c r="T47" i="36"/>
  <c r="T58" i="36" s="1"/>
  <c r="T81" i="36" s="1"/>
  <c r="T48" i="36"/>
  <c r="T59" i="36" s="1"/>
  <c r="T82" i="36" s="1"/>
  <c r="T52" i="36"/>
  <c r="T63" i="36" s="1"/>
  <c r="T86" i="36" s="1"/>
  <c r="T45" i="36"/>
  <c r="T56" i="36" s="1"/>
  <c r="T51" i="36"/>
  <c r="T62" i="36" s="1"/>
  <c r="T85" i="36" s="1"/>
  <c r="T46" i="36"/>
  <c r="T57" i="36" s="1"/>
  <c r="T80" i="36" s="1"/>
  <c r="T50" i="36"/>
  <c r="T61" i="36" s="1"/>
  <c r="T84" i="36" s="1"/>
  <c r="T79" i="36" l="1"/>
  <c r="T64" i="36"/>
  <c r="T108" i="36" l="1"/>
  <c r="T112" i="36"/>
  <c r="Q52" i="9" s="1"/>
  <c r="Q51" i="9" s="1"/>
  <c r="Q59" i="9" s="1"/>
  <c r="Q64" i="9" s="1"/>
  <c r="U91" i="36"/>
  <c r="T96" i="36"/>
  <c r="Q18" i="9" s="1"/>
  <c r="Q17" i="9" s="1"/>
  <c r="U109" i="36"/>
  <c r="R46" i="9" s="1"/>
  <c r="R45" i="9" s="1"/>
  <c r="T95" i="36"/>
  <c r="U92" i="36"/>
  <c r="R8" i="9" s="1"/>
  <c r="R7" i="9" s="1"/>
  <c r="U113" i="36"/>
  <c r="R56" i="9" s="1"/>
  <c r="R55" i="9" s="1"/>
  <c r="R4" i="9" l="1"/>
  <c r="R3" i="9" s="1"/>
  <c r="R11" i="9" s="1"/>
  <c r="R26" i="9" s="1"/>
  <c r="Q14" i="9"/>
  <c r="Q13" i="9" s="1"/>
  <c r="Q21" i="9" s="1"/>
  <c r="Q27" i="9" s="1"/>
  <c r="T99" i="36"/>
  <c r="T103" i="36" s="1"/>
  <c r="AC7" i="14" s="1"/>
  <c r="Q42" i="9"/>
  <c r="Q41" i="9" s="1"/>
  <c r="Q49" i="9" s="1"/>
  <c r="Q63" i="9" s="1"/>
  <c r="Q65" i="9" s="1"/>
  <c r="Q66" i="9" s="1"/>
  <c r="AC12" i="14" s="1"/>
  <c r="T116" i="36"/>
  <c r="T120" i="36" s="1"/>
  <c r="AC13" i="14" s="1"/>
  <c r="Q34" i="9" l="1"/>
  <c r="Q35" i="9" s="1"/>
  <c r="Q36" i="9" s="1"/>
  <c r="Q28" i="9"/>
  <c r="Q29" i="9" s="1"/>
  <c r="AC6" i="14" s="1"/>
  <c r="AC4" i="14" l="1"/>
  <c r="T6" i="7"/>
  <c r="T4" i="7" s="1"/>
  <c r="U20" i="31" l="1"/>
  <c r="U11" i="31"/>
  <c r="U19" i="31" l="1"/>
  <c r="U18" i="31" s="1"/>
  <c r="U28" i="31" s="1"/>
  <c r="U29" i="36" s="1"/>
  <c r="AS51" i="36" s="1"/>
  <c r="AS46" i="36" l="1"/>
  <c r="AS57" i="36" s="1"/>
  <c r="AS50" i="36"/>
  <c r="AS61" i="36" s="1"/>
  <c r="AS52" i="36"/>
  <c r="AS63" i="36" s="1"/>
  <c r="AS49" i="36"/>
  <c r="AS60" i="36" s="1"/>
  <c r="AS47" i="36"/>
  <c r="AS58" i="36" s="1"/>
  <c r="AS45" i="36"/>
  <c r="AS48" i="36"/>
  <c r="AS59" i="36" s="1"/>
  <c r="AS62" i="36"/>
  <c r="AS56" i="36" l="1"/>
  <c r="AS64" i="36" s="1"/>
  <c r="AS66" i="36" s="1"/>
  <c r="AS67" i="36" s="1"/>
  <c r="AS79" i="36" s="1"/>
  <c r="U45" i="36" l="1"/>
  <c r="U56" i="36" s="1"/>
  <c r="U46" i="36"/>
  <c r="U57" i="36" s="1"/>
  <c r="U80" i="36" s="1"/>
  <c r="U49" i="36"/>
  <c r="U60" i="36" s="1"/>
  <c r="U83" i="36" s="1"/>
  <c r="U48" i="36"/>
  <c r="U59" i="36" s="1"/>
  <c r="U82" i="36" s="1"/>
  <c r="U52" i="36"/>
  <c r="U63" i="36" s="1"/>
  <c r="U86" i="36" s="1"/>
  <c r="U50" i="36"/>
  <c r="U61" i="36" s="1"/>
  <c r="U84" i="36" s="1"/>
  <c r="U47" i="36"/>
  <c r="U58" i="36" s="1"/>
  <c r="U81" i="36" s="1"/>
  <c r="U51" i="36"/>
  <c r="U62" i="36" s="1"/>
  <c r="U85" i="36" s="1"/>
  <c r="U79" i="36" l="1"/>
  <c r="U64" i="36"/>
  <c r="U96" i="36" l="1"/>
  <c r="R18" i="9" s="1"/>
  <c r="R17" i="9" s="1"/>
  <c r="U108" i="36"/>
  <c r="V109" i="36"/>
  <c r="S46" i="9" s="1"/>
  <c r="S45" i="9" s="1"/>
  <c r="V92" i="36"/>
  <c r="S8" i="9" s="1"/>
  <c r="S7" i="9" s="1"/>
  <c r="U95" i="36"/>
  <c r="U112" i="36"/>
  <c r="R52" i="9" s="1"/>
  <c r="R51" i="9" s="1"/>
  <c r="R59" i="9" s="1"/>
  <c r="R64" i="9" s="1"/>
  <c r="U116" i="36" l="1"/>
  <c r="U120" i="36" s="1"/>
  <c r="AD13" i="14" s="1"/>
  <c r="R42" i="9"/>
  <c r="R41" i="9" s="1"/>
  <c r="R49" i="9" s="1"/>
  <c r="R63" i="9" s="1"/>
  <c r="R65" i="9" s="1"/>
  <c r="R66" i="9" s="1"/>
  <c r="AD12" i="14" s="1"/>
  <c r="R14" i="9"/>
  <c r="R13" i="9" s="1"/>
  <c r="R21" i="9" s="1"/>
  <c r="R27" i="9" s="1"/>
  <c r="U99" i="36"/>
  <c r="U103" i="36" s="1"/>
  <c r="AD7" i="14" s="1"/>
  <c r="R34" i="9" l="1"/>
  <c r="R35" i="9" s="1"/>
  <c r="R36" i="9" s="1"/>
  <c r="R28" i="9"/>
  <c r="R29" i="9" s="1"/>
  <c r="AD6" i="14" s="1"/>
  <c r="AD4" i="14" l="1"/>
  <c r="V11" i="31" l="1"/>
  <c r="V19" i="31" s="1"/>
  <c r="V20" i="31"/>
  <c r="V18" i="31" l="1"/>
  <c r="V28" i="31" s="1"/>
  <c r="V29" i="36" s="1"/>
  <c r="AT50" i="36" s="1"/>
  <c r="AT61" i="36" s="1"/>
  <c r="AT48" i="36" l="1"/>
  <c r="AT59" i="36" s="1"/>
  <c r="AT51" i="36"/>
  <c r="AT62" i="36" s="1"/>
  <c r="AT52" i="36"/>
  <c r="AT63" i="36" s="1"/>
  <c r="AT45" i="36"/>
  <c r="AT49" i="36"/>
  <c r="AT60" i="36" s="1"/>
  <c r="AT46" i="36"/>
  <c r="AT57" i="36" s="1"/>
  <c r="AT47" i="36"/>
  <c r="AT58" i="36" s="1"/>
  <c r="AL11" i="34" l="1"/>
  <c r="AJ8" i="35"/>
  <c r="AJ9" i="35" s="1"/>
  <c r="AK8" i="35" l="1"/>
  <c r="AM11" i="34" l="1"/>
  <c r="AK5" i="35"/>
  <c r="AK47" i="35" l="1"/>
  <c r="AM16" i="34" s="1"/>
  <c r="S37" i="34" s="1"/>
  <c r="AK9" i="35"/>
  <c r="AM20" i="34" l="1"/>
  <c r="AT70" i="36" l="1"/>
  <c r="AT72" i="36" s="1"/>
  <c r="AT65" i="36" s="1"/>
  <c r="U6" i="7"/>
  <c r="U4" i="7" s="1"/>
  <c r="V45" i="5"/>
  <c r="V44" i="5"/>
  <c r="V53" i="5" s="1"/>
  <c r="S45" i="34"/>
  <c r="S50" i="34"/>
  <c r="T5" i="32" l="1"/>
  <c r="V46" i="5"/>
  <c r="V54" i="5"/>
  <c r="T6" i="32" s="1"/>
  <c r="T25" i="32" s="1"/>
  <c r="S58" i="34"/>
  <c r="V5" i="36"/>
  <c r="V32" i="36" s="1"/>
  <c r="V68" i="36" s="1"/>
  <c r="V91" i="36" s="1"/>
  <c r="V13" i="36" l="1"/>
  <c r="V52" i="5"/>
  <c r="T24" i="32"/>
  <c r="T7" i="32"/>
  <c r="T37" i="32" l="1"/>
  <c r="S19" i="9" s="1"/>
  <c r="T61" i="32"/>
  <c r="S53" i="9" s="1"/>
  <c r="T36" i="32"/>
  <c r="T54" i="32"/>
  <c r="V40" i="36"/>
  <c r="AT56" i="36"/>
  <c r="AT64" i="36" s="1"/>
  <c r="AT66" i="36" s="1"/>
  <c r="AT67" i="36" s="1"/>
  <c r="AT79" i="36" s="1"/>
  <c r="S43" i="9" l="1"/>
  <c r="T68" i="32"/>
  <c r="T72" i="32" s="1"/>
  <c r="V49" i="36"/>
  <c r="V60" i="36" s="1"/>
  <c r="V83" i="36" s="1"/>
  <c r="V46" i="36"/>
  <c r="V57" i="36" s="1"/>
  <c r="V80" i="36" s="1"/>
  <c r="V50" i="36"/>
  <c r="V61" i="36" s="1"/>
  <c r="V84" i="36" s="1"/>
  <c r="V45" i="36"/>
  <c r="V56" i="36" s="1"/>
  <c r="V48" i="36"/>
  <c r="V59" i="36" s="1"/>
  <c r="V82" i="36" s="1"/>
  <c r="V51" i="36"/>
  <c r="V62" i="36" s="1"/>
  <c r="V85" i="36" s="1"/>
  <c r="V52" i="36"/>
  <c r="V63" i="36" s="1"/>
  <c r="V86" i="36" s="1"/>
  <c r="V47" i="36"/>
  <c r="V58" i="36" s="1"/>
  <c r="V81" i="36" s="1"/>
  <c r="V113" i="36"/>
  <c r="S56" i="9" s="1"/>
  <c r="S55" i="9" s="1"/>
  <c r="S15" i="9"/>
  <c r="T43" i="32"/>
  <c r="T47" i="32" s="1"/>
  <c r="V79" i="36" l="1"/>
  <c r="AE8" i="14"/>
  <c r="T48" i="32"/>
  <c r="S4" i="9"/>
  <c r="S3" i="9" s="1"/>
  <c r="S11" i="9" s="1"/>
  <c r="S26" i="9" s="1"/>
  <c r="V64" i="36"/>
  <c r="AE14" i="14"/>
  <c r="T73" i="32"/>
  <c r="O14" i="14" l="1"/>
  <c r="O28" i="14" s="1"/>
  <c r="O8" i="14"/>
  <c r="O22" i="14" s="1"/>
  <c r="V96" i="36"/>
  <c r="S18" i="9" s="1"/>
  <c r="S17" i="9" s="1"/>
  <c r="V95" i="36"/>
  <c r="V108" i="36"/>
  <c r="V112" i="36"/>
  <c r="S52" i="9" s="1"/>
  <c r="S51" i="9" s="1"/>
  <c r="S59" i="9" s="1"/>
  <c r="S64" i="9" s="1"/>
  <c r="S42" i="9" l="1"/>
  <c r="S41" i="9" s="1"/>
  <c r="S49" i="9" s="1"/>
  <c r="V116" i="36"/>
  <c r="V120" i="36" s="1"/>
  <c r="S14" i="9"/>
  <c r="S13" i="9" s="1"/>
  <c r="S21" i="9" s="1"/>
  <c r="S27" i="9" s="1"/>
  <c r="V99" i="36"/>
  <c r="V103" i="36" s="1"/>
  <c r="S63" i="9" l="1"/>
  <c r="S65" i="9" s="1"/>
  <c r="S66" i="9" s="1"/>
  <c r="AE7" i="14"/>
  <c r="V104" i="36"/>
  <c r="S34" i="9"/>
  <c r="S35" i="9" s="1"/>
  <c r="S36" i="9" s="1"/>
  <c r="S28" i="9"/>
  <c r="S29" i="9" s="1"/>
  <c r="AE13" i="14"/>
  <c r="V121" i="36"/>
  <c r="O13" i="14" l="1"/>
  <c r="O27" i="14" s="1"/>
  <c r="O7" i="14"/>
  <c r="O21" i="14" s="1"/>
  <c r="AE12" i="14"/>
  <c r="S67" i="9"/>
  <c r="D6" i="14" s="1"/>
  <c r="AE6" i="14"/>
  <c r="S30" i="9"/>
  <c r="S37" i="9"/>
  <c r="D5" i="14" s="1"/>
  <c r="F5" i="14" l="1"/>
  <c r="F6" i="14"/>
  <c r="O12" i="14"/>
  <c r="O6" i="14"/>
  <c r="O20" i="14" s="1"/>
  <c r="AE4" i="14"/>
  <c r="O26" i="14" l="1"/>
  <c r="E22" i="14" s="1"/>
  <c r="E23" i="14" s="1"/>
  <c r="F7" i="14"/>
  <c r="O4" i="14"/>
  <c r="O18" i="14" l="1"/>
  <c r="E18" i="14" s="1"/>
  <c r="E20" i="14" s="1"/>
  <c r="E24" i="14" s="1"/>
  <c r="AU79" i="36" l="1"/>
  <c r="AV79" i="36" l="1"/>
  <c r="AW79" i="36" l="1"/>
  <c r="AX79" i="36" l="1"/>
  <c r="AY79" i="36" l="1"/>
  <c r="AZ79" i="36" l="1"/>
  <c r="BA79" i="36"/>
  <c r="BB79" i="36" l="1"/>
  <c r="BC79" i="36" l="1"/>
  <c r="BD79" i="36" l="1"/>
  <c r="BE79" i="36" l="1"/>
  <c r="BF79" i="36" l="1"/>
  <c r="BG79" i="36" l="1"/>
  <c r="BH79" i="36" l="1"/>
  <c r="BI79" i="36" l="1"/>
  <c r="BJ79" i="36" l="1"/>
  <c r="BK79" i="36" l="1"/>
  <c r="BL79" i="36" l="1"/>
  <c r="BM79" i="36" l="1"/>
  <c r="BN79" i="36" l="1"/>
  <c r="BO79" i="36" l="1"/>
  <c r="BP79" i="36" l="1"/>
  <c r="BQ79" i="36" l="1"/>
  <c r="BR79" i="36" l="1"/>
</calcChain>
</file>

<file path=xl/sharedStrings.xml><?xml version="1.0" encoding="utf-8"?>
<sst xmlns="http://schemas.openxmlformats.org/spreadsheetml/2006/main" count="2050" uniqueCount="592">
  <si>
    <t>ESTADO</t>
  </si>
  <si>
    <t>INGRESOS BRUTOS</t>
  </si>
  <si>
    <t>Retribucion Corpac</t>
  </si>
  <si>
    <t>Retribucion Estado</t>
  </si>
  <si>
    <t>A/D</t>
  </si>
  <si>
    <t>TUUA Intl</t>
  </si>
  <si>
    <t>Item</t>
  </si>
  <si>
    <t>Unidad</t>
  </si>
  <si>
    <t>TOTAL</t>
  </si>
  <si>
    <t>Adiciones</t>
  </si>
  <si>
    <t>%</t>
  </si>
  <si>
    <t>Edificios y otras construcciones</t>
  </si>
  <si>
    <t>Total</t>
  </si>
  <si>
    <t>DATOS</t>
  </si>
  <si>
    <t>Precio Implícito</t>
  </si>
  <si>
    <t>Valor Nominal Implícito</t>
  </si>
  <si>
    <t>Empleados</t>
  </si>
  <si>
    <t>Gastos (US$)</t>
  </si>
  <si>
    <t>Capital</t>
  </si>
  <si>
    <t>Horas -Hombre</t>
  </si>
  <si>
    <t>Retorno del patrimonio</t>
  </si>
  <si>
    <t>Costo deuda promedio ponderado</t>
  </si>
  <si>
    <t>Deuda/total activos</t>
  </si>
  <si>
    <t>Patrimonio/total activos</t>
  </si>
  <si>
    <t>CCPP</t>
  </si>
  <si>
    <t>Capital ( US$)</t>
  </si>
  <si>
    <t>Cuenta</t>
  </si>
  <si>
    <t>Terrenos</t>
  </si>
  <si>
    <t>Unid transp</t>
  </si>
  <si>
    <t xml:space="preserve">Total </t>
  </si>
  <si>
    <t>Muebles y enseres</t>
  </si>
  <si>
    <t>Unidades de reemplazo</t>
  </si>
  <si>
    <t>Unidades por recibir</t>
  </si>
  <si>
    <t>Trabajos en curso</t>
  </si>
  <si>
    <t>Elaboración propia</t>
  </si>
  <si>
    <t>WACC-US$ (%)</t>
  </si>
  <si>
    <t>Costo de capital propio</t>
  </si>
  <si>
    <t>Costo de la deuda</t>
  </si>
  <si>
    <t>Maq y equipo y otras unidades de explotación</t>
  </si>
  <si>
    <t>Equipos diversos de servicio</t>
  </si>
  <si>
    <t>Saldos iniciales</t>
  </si>
  <si>
    <t>adiciones al costo</t>
  </si>
  <si>
    <t>retiros o ventas</t>
  </si>
  <si>
    <t>Ajustes y transferencias</t>
  </si>
  <si>
    <t>Saldos finales</t>
  </si>
  <si>
    <t>Inmuebles, Maquinaria y Equipos. Al 31 de Diciembre de 2001</t>
  </si>
  <si>
    <t>CORPAC</t>
  </si>
  <si>
    <t>Depreciación acumulda de Inmuebles, Maquinaria y Equipos. Al 31 de Diciembre de 2001</t>
  </si>
  <si>
    <t>Valor Neto de los Inmuebles, Maquinaria y Equipos tranferidos al MTC. Al 31 de Diciembre de 2001</t>
  </si>
  <si>
    <t>Mangas</t>
  </si>
  <si>
    <t>Riesgo Regulatorio</t>
  </si>
  <si>
    <t>Prima por Líquidez de la acción</t>
  </si>
  <si>
    <t>Catering</t>
  </si>
  <si>
    <t>Parking Lot</t>
  </si>
  <si>
    <t>International</t>
  </si>
  <si>
    <t>National</t>
  </si>
  <si>
    <t>Ground Handling</t>
  </si>
  <si>
    <t>Fuel</t>
  </si>
  <si>
    <t>Cargo</t>
  </si>
  <si>
    <t>Terminal (TUUA)</t>
  </si>
  <si>
    <t>Boarding Bridges (PLB)</t>
  </si>
  <si>
    <t>Terminal - International (TUUA)</t>
  </si>
  <si>
    <t>Terminal - National (TUUA)</t>
  </si>
  <si>
    <t>Cattering</t>
  </si>
  <si>
    <t>Factor X</t>
  </si>
  <si>
    <t>Beta promedio</t>
  </si>
  <si>
    <t>Índice de Cantidades Laspeyres</t>
  </si>
  <si>
    <t>Índice de Cantidades Paasche</t>
  </si>
  <si>
    <t>Índice de Cantidades Fisher</t>
  </si>
  <si>
    <t>Cantidades Laspeyres</t>
  </si>
  <si>
    <t>Cantidades Paasche</t>
  </si>
  <si>
    <t>Índice de Fisher</t>
  </si>
  <si>
    <t>Índice de Fisher Servicios</t>
  </si>
  <si>
    <t>Índice de Fisher Insumos</t>
  </si>
  <si>
    <t>Numerador</t>
  </si>
  <si>
    <t>Denominador</t>
  </si>
  <si>
    <t>Ingresos de los Servicios considerando precios 2001
(Precio Implícito para el Periodo base)</t>
  </si>
  <si>
    <t>Precios Relativos de los Servicios respecto a 2001</t>
  </si>
  <si>
    <t>Precio relativo a 2001</t>
  </si>
  <si>
    <t>Salarios (US$)</t>
  </si>
  <si>
    <t>Precios Laspeyres</t>
  </si>
  <si>
    <t>Precios Paasche</t>
  </si>
  <si>
    <t>Índice de Precios Fisher</t>
  </si>
  <si>
    <t>Índice de Precios Laspeyres</t>
  </si>
  <si>
    <t>Índice de Precios Paasche</t>
  </si>
  <si>
    <t>INDICE CANTIDADES</t>
  </si>
  <si>
    <t>Numerados</t>
  </si>
  <si>
    <t>Calculo de Indice de Mano de Obra</t>
  </si>
  <si>
    <t>M2</t>
  </si>
  <si>
    <t>% Incl terreno</t>
  </si>
  <si>
    <t>% excl terreno</t>
  </si>
  <si>
    <t> Enero</t>
  </si>
  <si>
    <t> Febrero</t>
  </si>
  <si>
    <t> Marzo</t>
  </si>
  <si>
    <t> Abril</t>
  </si>
  <si>
    <t> Mayo</t>
  </si>
  <si>
    <t> Junio</t>
  </si>
  <si>
    <t> Julio</t>
  </si>
  <si>
    <t> Agosto</t>
  </si>
  <si>
    <t> Setiembre</t>
  </si>
  <si>
    <t> Octubre</t>
  </si>
  <si>
    <t> Noviembre</t>
  </si>
  <si>
    <t> Diciembre</t>
  </si>
  <si>
    <t>Promedio</t>
  </si>
  <si>
    <t>TIPO CAMBIO</t>
  </si>
  <si>
    <t>Ene00  </t>
  </si>
  <si>
    <t>Feb00  </t>
  </si>
  <si>
    <t>Mar00  </t>
  </si>
  <si>
    <t>Abr00  </t>
  </si>
  <si>
    <t>May00  </t>
  </si>
  <si>
    <t>Jun00  </t>
  </si>
  <si>
    <t>Jul00  </t>
  </si>
  <si>
    <t>Ago00  </t>
  </si>
  <si>
    <t>Sep00  </t>
  </si>
  <si>
    <t>Oct00  </t>
  </si>
  <si>
    <t>Nov00  </t>
  </si>
  <si>
    <t>Dic00  </t>
  </si>
  <si>
    <t>Ene01  </t>
  </si>
  <si>
    <t>Feb01  </t>
  </si>
  <si>
    <t>Mar01  </t>
  </si>
  <si>
    <t>Abr01  </t>
  </si>
  <si>
    <t>May01  </t>
  </si>
  <si>
    <t>Jun01  </t>
  </si>
  <si>
    <t>Jul01  </t>
  </si>
  <si>
    <t>Ago01  </t>
  </si>
  <si>
    <t>Sep01  </t>
  </si>
  <si>
    <t>Oct01  </t>
  </si>
  <si>
    <t>Nov01  </t>
  </si>
  <si>
    <t>Dic01  </t>
  </si>
  <si>
    <t>Ene02  </t>
  </si>
  <si>
    <t>Feb02  </t>
  </si>
  <si>
    <t>Mar02  </t>
  </si>
  <si>
    <t>Abr02  </t>
  </si>
  <si>
    <t>May02  </t>
  </si>
  <si>
    <t>Jun02  </t>
  </si>
  <si>
    <t>Jul02  </t>
  </si>
  <si>
    <t>Ago02  </t>
  </si>
  <si>
    <t>Sep02  </t>
  </si>
  <si>
    <t>Oct02  </t>
  </si>
  <si>
    <t>Nov02  </t>
  </si>
  <si>
    <t>Dic02  </t>
  </si>
  <si>
    <t>Ene03  </t>
  </si>
  <si>
    <t>Feb03  </t>
  </si>
  <si>
    <t>Mar03  </t>
  </si>
  <si>
    <t>Abr03  </t>
  </si>
  <si>
    <t>May03  </t>
  </si>
  <si>
    <t>Jun03  </t>
  </si>
  <si>
    <t>Jul03  </t>
  </si>
  <si>
    <t>Ago03  </t>
  </si>
  <si>
    <t>Sep03  </t>
  </si>
  <si>
    <t>Oct03  </t>
  </si>
  <si>
    <t>Nov03  </t>
  </si>
  <si>
    <t>Dic03  </t>
  </si>
  <si>
    <t>Ene04  </t>
  </si>
  <si>
    <t>Feb04  </t>
  </si>
  <si>
    <t>Mar04  </t>
  </si>
  <si>
    <t>Abr04  </t>
  </si>
  <si>
    <t>May04  </t>
  </si>
  <si>
    <t>Jun04  </t>
  </si>
  <si>
    <t>Jul04  </t>
  </si>
  <si>
    <t>Ago04  </t>
  </si>
  <si>
    <t>Sep04  </t>
  </si>
  <si>
    <t>Oct04  </t>
  </si>
  <si>
    <t>Nov04  </t>
  </si>
  <si>
    <t>Dic04  </t>
  </si>
  <si>
    <t>Ene05  </t>
  </si>
  <si>
    <t>Feb05  </t>
  </si>
  <si>
    <t>Mar05  </t>
  </si>
  <si>
    <t>Abr05  </t>
  </si>
  <si>
    <t>May05  </t>
  </si>
  <si>
    <t>Jun05  </t>
  </si>
  <si>
    <t>Jul05  </t>
  </si>
  <si>
    <t>Ago05  </t>
  </si>
  <si>
    <t>Sep05  </t>
  </si>
  <si>
    <t>Oct05  </t>
  </si>
  <si>
    <t>Nov05  </t>
  </si>
  <si>
    <t>Dic05  </t>
  </si>
  <si>
    <t>Ene06  </t>
  </si>
  <si>
    <t>Feb06  </t>
  </si>
  <si>
    <t>Mar06  </t>
  </si>
  <si>
    <t>Abr06  </t>
  </si>
  <si>
    <t>May06  </t>
  </si>
  <si>
    <t>Jun06  </t>
  </si>
  <si>
    <t>Jul06  </t>
  </si>
  <si>
    <t>Ago06  </t>
  </si>
  <si>
    <t>Sep06  </t>
  </si>
  <si>
    <t>Oct06  </t>
  </si>
  <si>
    <t>Nov06  </t>
  </si>
  <si>
    <t>Dic06  </t>
  </si>
  <si>
    <t>Ene07  </t>
  </si>
  <si>
    <t>Feb07  </t>
  </si>
  <si>
    <t>Mar07  </t>
  </si>
  <si>
    <t>Abr07  </t>
  </si>
  <si>
    <t>May07  </t>
  </si>
  <si>
    <t>Jun07  </t>
  </si>
  <si>
    <t>Jul07  </t>
  </si>
  <si>
    <t>Ago07  </t>
  </si>
  <si>
    <t>Sep07  </t>
  </si>
  <si>
    <t>Oct07  </t>
  </si>
  <si>
    <t>Nov07  </t>
  </si>
  <si>
    <t>Dic07  </t>
  </si>
  <si>
    <t>Gerente</t>
  </si>
  <si>
    <t>Operaciones</t>
  </si>
  <si>
    <t>Movimientos</t>
  </si>
  <si>
    <t>Horas</t>
  </si>
  <si>
    <t>Pasajeros Salida</t>
  </si>
  <si>
    <t>Horas (miles)</t>
  </si>
  <si>
    <t>Devaluacion</t>
  </si>
  <si>
    <t>Inflacion (Var IPM)</t>
  </si>
  <si>
    <t>Total Gastos (US$)</t>
  </si>
  <si>
    <t>Cantidad</t>
  </si>
  <si>
    <t>Internacional</t>
  </si>
  <si>
    <t>Nacional</t>
  </si>
  <si>
    <t>Retribución al Estado</t>
  </si>
  <si>
    <t xml:space="preserve">  </t>
  </si>
  <si>
    <t>Equipos Diversos</t>
  </si>
  <si>
    <t>Equipos de Seguridad y Rescate</t>
  </si>
  <si>
    <t>Unidades de Transporte</t>
  </si>
  <si>
    <t>Variación Indice de Capital</t>
  </si>
  <si>
    <t>Variación OUTPUT</t>
  </si>
  <si>
    <t>Variación Indice Output</t>
  </si>
  <si>
    <t>Variación Indice de Mano Obra</t>
  </si>
  <si>
    <t xml:space="preserve">DESAPORTACION CORPAC </t>
  </si>
  <si>
    <t>Setiembre</t>
  </si>
  <si>
    <t>Octubre</t>
  </si>
  <si>
    <t>PTF Eco</t>
  </si>
  <si>
    <t>Primal</t>
  </si>
  <si>
    <t>Impuesto a la Renta</t>
  </si>
  <si>
    <t>Costo Economico</t>
  </si>
  <si>
    <t>Tasa Impuesto Renta</t>
  </si>
  <si>
    <t>Empresa</t>
  </si>
  <si>
    <t>Economía</t>
  </si>
  <si>
    <t>Diferencia</t>
  </si>
  <si>
    <t>Concepto</t>
  </si>
  <si>
    <t>Tasa Regulatoria</t>
  </si>
  <si>
    <t>Noviembre</t>
  </si>
  <si>
    <t>Diciembre</t>
  </si>
  <si>
    <t>Indice de Precios</t>
  </si>
  <si>
    <t>CUK s. IR</t>
  </si>
  <si>
    <t>Tasa Depreciación Activo Base</t>
  </si>
  <si>
    <t>Counter - Terminal</t>
  </si>
  <si>
    <t>Oficinas - Terminal</t>
  </si>
  <si>
    <t>Oficinas - Fuera Terminal</t>
  </si>
  <si>
    <t xml:space="preserve">Almacen </t>
  </si>
  <si>
    <t>Talleres</t>
  </si>
  <si>
    <t>Bancos</t>
  </si>
  <si>
    <t>Tiendas Comerciales</t>
  </si>
  <si>
    <t xml:space="preserve">Arrendamiento de locales </t>
  </si>
  <si>
    <t>Materiales</t>
  </si>
  <si>
    <t>Pago Efectivo Impuesto a la Renta</t>
  </si>
  <si>
    <t xml:space="preserve">Tasa de impuesto efectiva </t>
  </si>
  <si>
    <t>OSITRAN</t>
  </si>
  <si>
    <t xml:space="preserve">Premio por riesgo </t>
  </si>
  <si>
    <t xml:space="preserve">Riesgo país </t>
  </si>
  <si>
    <t>Tasa libre de riesgo</t>
  </si>
  <si>
    <t>Operator Fee</t>
  </si>
  <si>
    <t>Costo Gerencia</t>
  </si>
  <si>
    <t>Outsourcing</t>
  </si>
  <si>
    <t>Servicios Tecnicos</t>
  </si>
  <si>
    <t>Servicios Básicos</t>
  </si>
  <si>
    <t>Mantenimiento</t>
  </si>
  <si>
    <t>Impuestos</t>
  </si>
  <si>
    <t>Seguros</t>
  </si>
  <si>
    <t>Consultorias</t>
  </si>
  <si>
    <t>Servicios de Terceros</t>
  </si>
  <si>
    <t>Otros Gastos</t>
  </si>
  <si>
    <t xml:space="preserve">Cálculo de Indice de Materiales </t>
  </si>
  <si>
    <t>Eq Seguridad y Rescate</t>
  </si>
  <si>
    <t>Eq Cmputo</t>
  </si>
  <si>
    <t>Mejoras Aeropuerto</t>
  </si>
  <si>
    <t>Eq Diversos</t>
  </si>
  <si>
    <t>Costos Concesion</t>
  </si>
  <si>
    <t>Unidades Transporte</t>
  </si>
  <si>
    <t>Otros</t>
  </si>
  <si>
    <t>Muebles y Enseres</t>
  </si>
  <si>
    <t>PERIODO</t>
  </si>
  <si>
    <t>TASAS DEPREC MED</t>
  </si>
  <si>
    <t>CAPITAL</t>
  </si>
  <si>
    <t>Publicidad</t>
  </si>
  <si>
    <t>CANTIDAD</t>
  </si>
  <si>
    <t>Inversión Anual</t>
  </si>
  <si>
    <t>Depreciación Anual</t>
  </si>
  <si>
    <t>Valor Contable Neto</t>
  </si>
  <si>
    <t>INTANGIBLES - US$ Miles</t>
  </si>
  <si>
    <t>ACTIVO FIJO - US$ Miles</t>
  </si>
  <si>
    <t>ESTADOS FINANCIEROS AUDITADOS LAP S.A.</t>
  </si>
  <si>
    <t>Equipos de Computo</t>
  </si>
  <si>
    <t>Cantidades del Capital</t>
  </si>
  <si>
    <t>Tasa Depreciación</t>
  </si>
  <si>
    <t>Costo del Capital
a precios  del año 2001</t>
  </si>
  <si>
    <t>Precio Unitario delCapital
normalizado al año 2001</t>
  </si>
  <si>
    <t>Gastos M.O. a precios 2001</t>
  </si>
  <si>
    <t>Gastos Materiales a precios 2001</t>
  </si>
  <si>
    <t>Indice Fisher de Insumos</t>
  </si>
  <si>
    <t>Variacion Indice Insumos</t>
  </si>
  <si>
    <t>Variacion Indice Fisher</t>
  </si>
  <si>
    <t>Diurno</t>
  </si>
  <si>
    <t>Hasta 10 TM</t>
  </si>
  <si>
    <t>Más de 10 TM hasta 35 TM</t>
  </si>
  <si>
    <t>Más de 35 TM hasta 70 TM</t>
  </si>
  <si>
    <t>Más de 70 TM hasta 100 TM</t>
  </si>
  <si>
    <t>Más de 100 TM</t>
  </si>
  <si>
    <t xml:space="preserve">Nocturno </t>
  </si>
  <si>
    <t>Aterrizaje</t>
  </si>
  <si>
    <t>Despegue</t>
  </si>
  <si>
    <t>Parking Internacional</t>
  </si>
  <si>
    <t>Parking Nacional</t>
  </si>
  <si>
    <t xml:space="preserve">Duty Free </t>
  </si>
  <si>
    <t>Transporte terrestre de pasajeros</t>
  </si>
  <si>
    <t>Comidas y bebidas</t>
  </si>
  <si>
    <t>AID-Hasta 10 TM</t>
  </si>
  <si>
    <t>AID-Más de 10 TM hasta 35 TM</t>
  </si>
  <si>
    <t>AID-Más de 35 TM hasta 70 TM</t>
  </si>
  <si>
    <t>AID-Más de 70 TM hasta 100 TM</t>
  </si>
  <si>
    <t>AID-Más de 100 TM</t>
  </si>
  <si>
    <t>AIN-Hasta 10 TM</t>
  </si>
  <si>
    <t>AIN-Más de 10 TM hasta 35 TM</t>
  </si>
  <si>
    <t>AIN-Más de 35 TM hasta 70 TM</t>
  </si>
  <si>
    <t>AIN-Más de 70 TM hasta 100 TM</t>
  </si>
  <si>
    <t>AIN-Más de 100 TM</t>
  </si>
  <si>
    <t>DID-Hasta 10 TM</t>
  </si>
  <si>
    <t>DID-Más de 10 TM hasta 35 TM</t>
  </si>
  <si>
    <t>DID-Más de 35 TM hasta 70 TM</t>
  </si>
  <si>
    <t>DID-Más de 70 TM hasta 100 TM</t>
  </si>
  <si>
    <t>DID-Más de 100 TM</t>
  </si>
  <si>
    <t>DIN-Hasta 10 TM</t>
  </si>
  <si>
    <t>DIN-Más de 10 TM hasta 35 TM</t>
  </si>
  <si>
    <t>DIN-Más de 35 TM hasta 70 TM</t>
  </si>
  <si>
    <t>DIN-Más de 70 TM hasta 100 TM</t>
  </si>
  <si>
    <t>DIN-Más de 100 TM</t>
  </si>
  <si>
    <t>AND-Hasta 10 TM</t>
  </si>
  <si>
    <t>AND-Más de 10 TM hasta 35 TM</t>
  </si>
  <si>
    <t>AND-Más de 35 TM hasta 70 TM</t>
  </si>
  <si>
    <t>AND-Más de 70 TM hasta 100 TM</t>
  </si>
  <si>
    <t>AND-Más de 100 TM</t>
  </si>
  <si>
    <t>ANN-Hasta 10 TM</t>
  </si>
  <si>
    <t>ANN-Más de 10 TM hasta 35 TM</t>
  </si>
  <si>
    <t>ANN-Más de 35 TM hasta 70 TM</t>
  </si>
  <si>
    <t>ANN-Más de 70 TM hasta 100 TM</t>
  </si>
  <si>
    <t>ANN-Más de 100 TM</t>
  </si>
  <si>
    <t>DND-Hasta 10 TM</t>
  </si>
  <si>
    <t>DND-Más de 10 TM hasta 35 TM</t>
  </si>
  <si>
    <t>DND-Más de 35 TM hasta 70 TM</t>
  </si>
  <si>
    <t>DND-Más de 70 TM hasta 100 TM</t>
  </si>
  <si>
    <t>DND-Más de 100 TM</t>
  </si>
  <si>
    <t>DNN-Hasta 10 TM</t>
  </si>
  <si>
    <t>DNN-Más de 10 TM hasta 35 TM</t>
  </si>
  <si>
    <t>DNN-Más de 35 TM hasta 70 TM</t>
  </si>
  <si>
    <t>DNN-Más de 70 TM hasta 100 TM</t>
  </si>
  <si>
    <t>DNN-Más de 100 TM</t>
  </si>
  <si>
    <t>Duty Free</t>
  </si>
  <si>
    <t>Maq, Equipo y Unids de explotación</t>
  </si>
  <si>
    <t>Valor (S/.)</t>
  </si>
  <si>
    <t>Valor (US$)</t>
  </si>
  <si>
    <t>Tasa Depreciación CAPEX</t>
  </si>
  <si>
    <t>Retribución a Corpac</t>
  </si>
  <si>
    <t>Servicios Basicos</t>
  </si>
  <si>
    <t xml:space="preserve">Pasajeros </t>
  </si>
  <si>
    <t>Servicio</t>
  </si>
  <si>
    <t>Servicios AIJCh</t>
  </si>
  <si>
    <t>US$ M</t>
  </si>
  <si>
    <t>Otros Comerciales</t>
  </si>
  <si>
    <t>INGRESOS NETOS (SIN RETRIBUCION)</t>
  </si>
  <si>
    <t>Rubro</t>
  </si>
  <si>
    <t>Personal</t>
  </si>
  <si>
    <t>Personal Estable (planilla)</t>
  </si>
  <si>
    <t>Funcionarios (Gerentes)</t>
  </si>
  <si>
    <t>Total de Gasto en Personal</t>
  </si>
  <si>
    <t>Otros Gastos de Personal</t>
  </si>
  <si>
    <t>Participación de trabajadores</t>
  </si>
  <si>
    <t>2001*</t>
  </si>
  <si>
    <t>HORAS - HOMBRE</t>
  </si>
  <si>
    <t>US$ MILES</t>
  </si>
  <si>
    <t>T.Cambio Ene 01</t>
  </si>
  <si>
    <t>TOTAL GENERAL DE GASTOS</t>
  </si>
  <si>
    <t>Gastos Operativos Totales</t>
  </si>
  <si>
    <t xml:space="preserve">   Gastos de Personal</t>
  </si>
  <si>
    <t xml:space="preserve">   Servicios de Gerencia del Operador</t>
  </si>
  <si>
    <t xml:space="preserve">   Depreciación</t>
  </si>
  <si>
    <t xml:space="preserve">   Amortización</t>
  </si>
  <si>
    <t>Servicios de Limpieza</t>
  </si>
  <si>
    <t>Servicios de Vigilancia</t>
  </si>
  <si>
    <t>Servicios Técnicos</t>
  </si>
  <si>
    <t>Gastos Generales</t>
  </si>
  <si>
    <t xml:space="preserve">   Impuestos</t>
  </si>
  <si>
    <t xml:space="preserve">   Seguros</t>
  </si>
  <si>
    <t xml:space="preserve">   Consultorías</t>
  </si>
  <si>
    <t xml:space="preserve">   Servicio de Terceros </t>
  </si>
  <si>
    <t xml:space="preserve">   Tasa Regulatoria</t>
  </si>
  <si>
    <t xml:space="preserve">   Transporte de Buses en Plataforma</t>
  </si>
  <si>
    <t xml:space="preserve">   Gastos de Viaje y Representación</t>
  </si>
  <si>
    <t xml:space="preserve">   Provisión por dudoso cobro</t>
  </si>
  <si>
    <t>INVERSION Y DEPRECIACION EN PLB</t>
  </si>
  <si>
    <t>Aterrizaje y Despegue</t>
  </si>
  <si>
    <t>Índice de Cantidad Insumos</t>
  </si>
  <si>
    <t>Índice de Precios Insumos</t>
  </si>
  <si>
    <t>Variación Indice de Materiales</t>
  </si>
  <si>
    <t>INGRESOS NETOS (US$)</t>
  </si>
  <si>
    <t>INGRESOS BRUTOS (US$)</t>
  </si>
  <si>
    <r>
      <t xml:space="preserve">Boarding Bridges (PLB)  </t>
    </r>
    <r>
      <rPr>
        <b/>
        <sz val="10"/>
        <color indexed="10"/>
        <rFont val="Trebuchet MS"/>
        <family val="2"/>
      </rPr>
      <t>precios al 2005</t>
    </r>
  </si>
  <si>
    <t>PTF</t>
  </si>
  <si>
    <t>Ponderación Horas Hombre</t>
  </si>
  <si>
    <t>Ponderación Gasto Planilla</t>
  </si>
  <si>
    <t>Distribución de Participación de Trabajadores</t>
  </si>
  <si>
    <t>IPM Ajustado</t>
  </si>
  <si>
    <t>IPC Ajustado</t>
  </si>
  <si>
    <t>Inflacion (Var IPC Ajustado)</t>
  </si>
  <si>
    <t xml:space="preserve">Tipo de Cambio Promedio </t>
  </si>
  <si>
    <t>Total sin Obras en Curso ni DPI</t>
  </si>
  <si>
    <t>Obras en Curso y DPI</t>
  </si>
  <si>
    <t>indice de capital</t>
  </si>
  <si>
    <t>indice mano de Obra</t>
  </si>
  <si>
    <t>indice de materiales</t>
  </si>
  <si>
    <t>Numerador Ind Cant Laspeyres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</si>
  <si>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</si>
  <si>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</si>
  <si>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</si>
  <si>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</si>
  <si>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</si>
  <si>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 xml:space="preserve">Propuesta </t>
  </si>
  <si>
    <t>Terminal</t>
  </si>
  <si>
    <t>Pista</t>
  </si>
  <si>
    <t>Mejoras</t>
  </si>
  <si>
    <t>Depreciación</t>
  </si>
  <si>
    <t>ESR2001</t>
  </si>
  <si>
    <t>M2001</t>
  </si>
  <si>
    <t>ESR2002</t>
  </si>
  <si>
    <t>M2002</t>
  </si>
  <si>
    <t>ESR2003</t>
  </si>
  <si>
    <t>M2003</t>
  </si>
  <si>
    <t>ESR2004</t>
  </si>
  <si>
    <t>M2004</t>
  </si>
  <si>
    <t>ESR2005</t>
  </si>
  <si>
    <t>M2005</t>
  </si>
  <si>
    <t>ESR2006</t>
  </si>
  <si>
    <t>M2006</t>
  </si>
  <si>
    <t>ESR2007</t>
  </si>
  <si>
    <t>M2007</t>
  </si>
  <si>
    <t>ESR2008</t>
  </si>
  <si>
    <t>M2008</t>
  </si>
  <si>
    <t>ESR2009</t>
  </si>
  <si>
    <t>M2009</t>
  </si>
  <si>
    <t>ESR2010</t>
  </si>
  <si>
    <t>M2010</t>
  </si>
  <si>
    <t>ESR2011</t>
  </si>
  <si>
    <t>M2011</t>
  </si>
  <si>
    <t>Inversión remanente</t>
  </si>
  <si>
    <t>Stock de capital ESR</t>
  </si>
  <si>
    <t>Stock de capital M</t>
  </si>
  <si>
    <t>EC2001</t>
  </si>
  <si>
    <t>EC2002</t>
  </si>
  <si>
    <t>CC2001</t>
  </si>
  <si>
    <t>EC2003</t>
  </si>
  <si>
    <t>CC2002</t>
  </si>
  <si>
    <t>EC2004</t>
  </si>
  <si>
    <t>C2003</t>
  </si>
  <si>
    <t>EC2005</t>
  </si>
  <si>
    <t>CC2004</t>
  </si>
  <si>
    <t>EC2006</t>
  </si>
  <si>
    <t>CC2005</t>
  </si>
  <si>
    <t>EC2007</t>
  </si>
  <si>
    <t>CC2006</t>
  </si>
  <si>
    <t>EC2008</t>
  </si>
  <si>
    <t>CC2007</t>
  </si>
  <si>
    <t>EC2009</t>
  </si>
  <si>
    <t>CC2008</t>
  </si>
  <si>
    <t>EC2010</t>
  </si>
  <si>
    <t>CC2009</t>
  </si>
  <si>
    <t>EC2011</t>
  </si>
  <si>
    <t>CC2010</t>
  </si>
  <si>
    <t>CC2011</t>
  </si>
  <si>
    <t>Stock de capital EC</t>
  </si>
  <si>
    <t>Stock de capital CC</t>
  </si>
  <si>
    <t>ED2001</t>
  </si>
  <si>
    <t>ED2002</t>
  </si>
  <si>
    <t>O2001</t>
  </si>
  <si>
    <t>ED2003</t>
  </si>
  <si>
    <t>O2002</t>
  </si>
  <si>
    <t>ED2004</t>
  </si>
  <si>
    <t>O2003</t>
  </si>
  <si>
    <t>ED2005</t>
  </si>
  <si>
    <t>O2004</t>
  </si>
  <si>
    <t>ED2006</t>
  </si>
  <si>
    <t>O2005</t>
  </si>
  <si>
    <t>ED2007</t>
  </si>
  <si>
    <t>O2006</t>
  </si>
  <si>
    <t>ED2008</t>
  </si>
  <si>
    <t>O2007</t>
  </si>
  <si>
    <t>ED2009</t>
  </si>
  <si>
    <t>O2008</t>
  </si>
  <si>
    <t>ED2010</t>
  </si>
  <si>
    <t>O2009</t>
  </si>
  <si>
    <t>ED2011</t>
  </si>
  <si>
    <t>O2010</t>
  </si>
  <si>
    <t>O2011</t>
  </si>
  <si>
    <t>Stock de capital ED</t>
  </si>
  <si>
    <t>Stock de capital O</t>
  </si>
  <si>
    <t>UT2001</t>
  </si>
  <si>
    <t>UT2002</t>
  </si>
  <si>
    <t>UT2003</t>
  </si>
  <si>
    <t>UT2004</t>
  </si>
  <si>
    <t>UT2005</t>
  </si>
  <si>
    <t>UT2006</t>
  </si>
  <si>
    <t>UT2007</t>
  </si>
  <si>
    <t>UT2008</t>
  </si>
  <si>
    <t>UT2009</t>
  </si>
  <si>
    <t>UT2010</t>
  </si>
  <si>
    <t>UT2011</t>
  </si>
  <si>
    <t>Stock de capital UT</t>
  </si>
  <si>
    <t>ME2001</t>
  </si>
  <si>
    <t>ME2002</t>
  </si>
  <si>
    <t>ME2003</t>
  </si>
  <si>
    <t>ME2004</t>
  </si>
  <si>
    <t>ME2005</t>
  </si>
  <si>
    <t>ME2006</t>
  </si>
  <si>
    <t>ME2007</t>
  </si>
  <si>
    <t>ME2008</t>
  </si>
  <si>
    <t>ME2009</t>
  </si>
  <si>
    <t>ME2010</t>
  </si>
  <si>
    <t>ME2011</t>
  </si>
  <si>
    <t>Stock de capital ME</t>
  </si>
  <si>
    <t>indice de Precios Mejoras Aeropuerto</t>
  </si>
  <si>
    <t>Indice de Precios resto</t>
  </si>
  <si>
    <t>tasa elegida</t>
  </si>
  <si>
    <t>WACC</t>
  </si>
  <si>
    <t>Indice de Precios US$</t>
  </si>
  <si>
    <t>Galones</t>
  </si>
  <si>
    <t>Kilogramos</t>
  </si>
  <si>
    <t>Average</t>
  </si>
  <si>
    <t>Labor</t>
  </si>
  <si>
    <t>X factor</t>
  </si>
  <si>
    <t>Index</t>
  </si>
  <si>
    <t>Output</t>
  </si>
  <si>
    <t>Input</t>
  </si>
  <si>
    <t>Impuesto a la Renta mas participacion trabajadores</t>
  </si>
  <si>
    <t>Participacion a los trabajadores</t>
  </si>
  <si>
    <t>Participación de Trabajadores</t>
  </si>
  <si>
    <t>ESR2012</t>
  </si>
  <si>
    <t>ESR2013</t>
  </si>
  <si>
    <t>ESR2014</t>
  </si>
  <si>
    <t>ESR2015</t>
  </si>
  <si>
    <t>ESR2016</t>
  </si>
  <si>
    <t>M2012</t>
  </si>
  <si>
    <t>M2013</t>
  </si>
  <si>
    <t>M2014</t>
  </si>
  <si>
    <t>M2015</t>
  </si>
  <si>
    <t>M2016</t>
  </si>
  <si>
    <t>EC2012</t>
  </si>
  <si>
    <t>EC2013</t>
  </si>
  <si>
    <t>EC2014</t>
  </si>
  <si>
    <t>EC2015</t>
  </si>
  <si>
    <t>EC2016</t>
  </si>
  <si>
    <t>CC2012</t>
  </si>
  <si>
    <t>CC2013</t>
  </si>
  <si>
    <t>CC2014</t>
  </si>
  <si>
    <t>CC2015</t>
  </si>
  <si>
    <t>CC2016</t>
  </si>
  <si>
    <t>ED2012</t>
  </si>
  <si>
    <t>ED2013</t>
  </si>
  <si>
    <t>ED2014</t>
  </si>
  <si>
    <t>ED2015</t>
  </si>
  <si>
    <t>ED2016</t>
  </si>
  <si>
    <t>O2012</t>
  </si>
  <si>
    <t>O2013</t>
  </si>
  <si>
    <t>O2014</t>
  </si>
  <si>
    <t>O2015</t>
  </si>
  <si>
    <t>O2016</t>
  </si>
  <si>
    <t>UT2012</t>
  </si>
  <si>
    <t>UT2013</t>
  </si>
  <si>
    <t>UT2014</t>
  </si>
  <si>
    <t>UT2015</t>
  </si>
  <si>
    <t>UT2016</t>
  </si>
  <si>
    <t>ME2012</t>
  </si>
  <si>
    <t>ME2013</t>
  </si>
  <si>
    <t>ME2014</t>
  </si>
  <si>
    <t>ME2015</t>
  </si>
  <si>
    <t>ME2016</t>
  </si>
  <si>
    <t xml:space="preserve">                           </t>
  </si>
  <si>
    <t>Output Index</t>
  </si>
  <si>
    <t>Input Index</t>
  </si>
  <si>
    <t>Materials</t>
  </si>
  <si>
    <t>Precios</t>
  </si>
  <si>
    <t>PTF e</t>
  </si>
  <si>
    <t>PTF - PTF e</t>
  </si>
  <si>
    <t>Prices e</t>
  </si>
  <si>
    <t>Prices</t>
  </si>
  <si>
    <t>Prices e - Prices</t>
  </si>
  <si>
    <t>Transferencia</t>
  </si>
  <si>
    <t>Terminal - Transferencia (TUUA)</t>
  </si>
  <si>
    <t>IPM Soles</t>
  </si>
  <si>
    <t>PROMEDIO PERIODO 2001 - 2017</t>
  </si>
  <si>
    <t>Precios de la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</si>
</sst>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 * #,##0.00_ ;_ * \-#,##0.00_ ;_ * &quot;-&quot;??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-* #,##0\ _€_-;\-* #,##0\ _€_-;_-* &quot;-&quot;??\ _€_-;_-@_-"/>
    <numFmt numFmtId="170" formatCode="0.000"/>
    <numFmt numFmtId="171" formatCode="0.0%"/>
    <numFmt numFmtId="172" formatCode="_ * #,##0_ ;_ * \-#,##0_ ;_ * &quot;-&quot;??_ ;_ @_ "/>
    <numFmt numFmtId="173" formatCode="0.0000"/>
    <numFmt numFmtId="174" formatCode="#,##0.0"/>
    <numFmt numFmtId="175" formatCode="#,##0.000"/>
    <numFmt numFmtId="176" formatCode="_(* #,##0_);_(* \(#,##0\);_(* &quot;-&quot;??_);_(@_)"/>
    <numFmt numFmtId="177" formatCode="hh:mm\ \a\.m\./\p\.m\._)"/>
    <numFmt numFmtId="178" formatCode="_([$€-2]\ * #,##0.00_);_([$€-2]\ * \(#,##0.00\);_([$€-2]\ * &quot;-&quot;??_)"/>
    <numFmt numFmtId="179" formatCode="m/d"/>
    <numFmt numFmtId="180" formatCode="#,##0.0;[Red]\(#,##0.0\)"/>
    <numFmt numFmtId="181" formatCode="#,##0_%_);\(#,##0\)_%;#,##0_%_);@_%_)"/>
    <numFmt numFmtId="182" formatCode="#,##0.00_%_);\(#,##0.00\)_%;#,##0.00_%_);@_%_)"/>
    <numFmt numFmtId="183" formatCode="&quot;$&quot;#,##0.00_%_);\(&quot;$&quot;#,##0.00\)_%;&quot;$&quot;#,##0.00_%_);@_%_)"/>
    <numFmt numFmtId="184" formatCode="0_%_);\(0\)_%;0_%_);@_%_)"/>
    <numFmt numFmtId="185" formatCode="0.0\x_)_);&quot;NM&quot;_x_)_);0.0\x_)_);@_%_)"/>
    <numFmt numFmtId="186" formatCode="m/d/yy_%_)"/>
    <numFmt numFmtId="187" formatCode="0.0\%_);\(0.0\%\);0.0\%_);@_%_)"/>
    <numFmt numFmtId="188" formatCode="&quot;$&quot;#,##0_%_);\(&quot;$&quot;#,##0\)_%;&quot;$&quot;#,##0_%_);@_%_)"/>
    <numFmt numFmtId="189" formatCode="_-* #,##0\ _m_k_-;\-* #,##0\ _m_k_-;_-* &quot;-&quot;\ _m_k_-;_-@_-"/>
    <numFmt numFmtId="190" formatCode="_-* #,##0.00\ _m_k_-;\-* #,##0.00\ _m_k_-;_-* &quot;-&quot;??\ _m_k_-;_-@_-"/>
    <numFmt numFmtId="191" formatCode="_-* #,##0\ &quot;mk&quot;_-;\-* #,##0\ &quot;mk&quot;_-;_-* &quot;-&quot;\ &quot;mk&quot;_-;_-@_-"/>
    <numFmt numFmtId="192" formatCode="_-* #,##0.00\ &quot;mk&quot;_-;\-* #,##0.00\ &quot;mk&quot;_-;_-* &quot;-&quot;??\ &quot;mk&quot;_-;_-@_-"/>
    <numFmt numFmtId="193" formatCode="0.0%;\(0.0%\)"/>
    <numFmt numFmtId="194" formatCode="0.00%;\(0.00%\)"/>
    <numFmt numFmtId="195" formatCode="_(* #,##0_);_(* \(#,##0\);_(* &quot;-&quot;?_);_(@_)"/>
    <numFmt numFmtId="196" formatCode="mmm\ yyyy"/>
    <numFmt numFmtId="197" formatCode="#,##0.0;\(#,##0.0\)"/>
    <numFmt numFmtId="198" formatCode="0.0000\x"/>
    <numFmt numFmtId="199" formatCode="0.00000000000000000000"/>
    <numFmt numFmtId="200" formatCode="#,##0.0000_);\(#,##0.0000\);&quot;-  &quot;;&quot;  &quot;@"/>
    <numFmt numFmtId="201" formatCode="mmm\ yyyy_);&quot;Error &lt;0  &quot;;dd\ mmm\ yyyy_);&quot;  &quot;@"/>
    <numFmt numFmtId="202" formatCode="dd\ mmm\ yyyy_);&quot;Error &lt;0  &quot;;dd\ mmm\ yyyy_);&quot;  &quot;@"/>
    <numFmt numFmtId="203" formatCode="0.000%"/>
    <numFmt numFmtId="204" formatCode="#,##0.0000;[Red]\-#,##0.0000"/>
    <numFmt numFmtId="205" formatCode="#,##0.00000;[Red]\-#,##0.00000"/>
    <numFmt numFmtId="206" formatCode="_-* #,##0.000\ _€_-;\-* #,##0.000\ _€_-;_-* &quot;-&quot;??\ _€_-;_-@_-"/>
    <numFmt numFmtId="207" formatCode="0.00000%"/>
    <numFmt numFmtId="208" formatCode="#,##0.0000000000_);[Red]\(#,##0.0000000000\)"/>
    <numFmt numFmtId="209" formatCode="#,##0.0000_);[Red]\(#,##0.0000\)"/>
    <numFmt numFmtId="210" formatCode="0.0000%"/>
    <numFmt numFmtId="211" formatCode="0.00000"/>
    <numFmt numFmtId="212" formatCode="_-* #,##0.000000\ _€_-;\-* #,##0.000000\ _€_-;_-* &quot;-&quot;??\ _€_-;_-@_-"/>
    <numFmt numFmtId="213" formatCode="#,##0.00000"/>
    <numFmt numFmtId="214" formatCode="#,##0.000000"/>
    <numFmt numFmtId="215" formatCode="#,##0.00000000"/>
    <numFmt numFmtId="216" formatCode="0.0"/>
    <numFmt numFmtId="217" formatCode="0.00000000"/>
    <numFmt numFmtId="218" formatCode="#,##0_ ;\-#,##0\ "/>
    <numFmt numFmtId="219" formatCode="_-* #,##0.0000\ _€_-;\-* #,##0.0000\ _€_-;_-* &quot;-&quot;??\ _€_-;_-@_-"/>
    <numFmt numFmtId="220" formatCode="0.000000000"/>
    <numFmt numFmtId="221" formatCode="_-* #,##0.0000000\ _€_-;\-* #,##0.0000000\ _€_-;_-* &quot;-&quot;??\ _€_-;_-@_-"/>
    <numFmt numFmtId="222" formatCode="0.0000000"/>
    <numFmt numFmtId="223" formatCode="0.000000%"/>
    <numFmt numFmtId="224" formatCode="#,##0.0000000"/>
    <numFmt numFmtId="225" formatCode="#,##0.000;[Red]\-#,##0.000"/>
    <numFmt numFmtId="226" formatCode="_(* #,##0.0000_);_(* \(#,##0.0000\);_(* &quot;-&quot;??_);_(@_)"/>
    <numFmt numFmtId="227" formatCode="0.0000000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</font>
    <font>
      <b/>
      <sz val="10"/>
      <name val="Palatino"/>
    </font>
    <font>
      <b/>
      <u/>
      <sz val="10"/>
      <name val="Palatino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8"/>
      <name val="Arial"/>
      <family val="2"/>
    </font>
    <font>
      <b/>
      <sz val="12"/>
      <name val="Arial"/>
      <family val="2"/>
    </font>
    <font>
      <i/>
      <sz val="14"/>
      <name val="Palatino"/>
      <family val="1"/>
    </font>
    <font>
      <b/>
      <sz val="10"/>
      <name val="Helv"/>
    </font>
    <font>
      <sz val="10"/>
      <name val="Arial"/>
      <family val="2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1"/>
      <name val="Arial"/>
      <family val="2"/>
    </font>
    <font>
      <sz val="10"/>
      <name val="Trebuchet MS"/>
      <family val="2"/>
    </font>
    <font>
      <b/>
      <sz val="11"/>
      <color indexed="9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i/>
      <sz val="10"/>
      <color indexed="10"/>
      <name val="Trebuchet MS"/>
      <family val="2"/>
    </font>
    <font>
      <i/>
      <sz val="10"/>
      <name val="Trebuchet MS"/>
      <family val="2"/>
    </font>
    <font>
      <b/>
      <sz val="10"/>
      <color indexed="10"/>
      <name val="Trebuchet MS"/>
      <family val="2"/>
    </font>
    <font>
      <sz val="10"/>
      <color indexed="10"/>
      <name val="Trebuchet MS"/>
      <family val="2"/>
    </font>
    <font>
      <sz val="10"/>
      <color indexed="9"/>
      <name val="Trebuchet MS"/>
      <family val="2"/>
    </font>
    <font>
      <sz val="10"/>
      <color indexed="8"/>
      <name val="Trebuchet MS"/>
      <family val="2"/>
    </font>
    <font>
      <b/>
      <i/>
      <sz val="10"/>
      <name val="Trebuchet MS"/>
      <family val="2"/>
    </font>
    <font>
      <sz val="10"/>
      <color indexed="12"/>
      <name val="Trebuchet MS"/>
      <family val="2"/>
    </font>
    <font>
      <sz val="10"/>
      <color indexed="22"/>
      <name val="Trebuchet MS"/>
      <family val="2"/>
    </font>
    <font>
      <b/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9"/>
      <name val="Trebuchet MS"/>
      <family val="2"/>
    </font>
    <font>
      <sz val="11"/>
      <color indexed="10"/>
      <name val="Trebuchet MS"/>
      <family val="2"/>
    </font>
    <font>
      <sz val="11"/>
      <name val="Arial"/>
      <family val="2"/>
    </font>
    <font>
      <b/>
      <sz val="11"/>
      <color indexed="10"/>
      <name val="Trebuchet MS"/>
      <family val="2"/>
    </font>
    <font>
      <b/>
      <sz val="12"/>
      <color indexed="9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22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4">
    <xf numFmtId="0" fontId="0" fillId="0" borderId="0"/>
    <xf numFmtId="177" fontId="2" fillId="0" borderId="0" applyFont="0" applyFill="0" applyBorder="0" applyAlignment="0" applyProtection="0">
      <alignment horizontal="right"/>
    </xf>
    <xf numFmtId="37" fontId="4" fillId="0" borderId="0"/>
    <xf numFmtId="37" fontId="5" fillId="0" borderId="0"/>
    <xf numFmtId="37" fontId="6" fillId="0" borderId="0"/>
    <xf numFmtId="0" fontId="7" fillId="0" borderId="0" applyNumberFormat="0"/>
    <xf numFmtId="0" fontId="8" fillId="0" borderId="1"/>
    <xf numFmtId="0" fontId="9" fillId="0" borderId="0" applyNumberFormat="0"/>
    <xf numFmtId="37" fontId="10" fillId="0" borderId="2" applyNumberFormat="0" applyFont="0" applyFill="0" applyAlignment="0" applyProtection="0"/>
    <xf numFmtId="37" fontId="10" fillId="0" borderId="3" applyNumberFormat="0" applyFont="0" applyFill="0" applyAlignment="0" applyProtection="0"/>
    <xf numFmtId="168" fontId="2" fillId="0" borderId="0" applyFont="0" applyFill="0" applyBorder="0" applyAlignment="0" applyProtection="0"/>
    <xf numFmtId="197" fontId="11" fillId="0" borderId="0" applyFont="0" applyFill="0" applyBorder="0" applyAlignment="0" applyProtection="0">
      <protection locked="0"/>
    </xf>
    <xf numFmtId="181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182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168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/>
    <xf numFmtId="188" fontId="12" fillId="0" borderId="0" applyFont="0" applyFill="0" applyBorder="0" applyAlignment="0" applyProtection="0">
      <alignment horizontal="right"/>
    </xf>
    <xf numFmtId="183" fontId="12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top"/>
    </xf>
    <xf numFmtId="201" fontId="16" fillId="0" borderId="0" applyFont="0" applyFill="0" applyBorder="0" applyAlignment="0" applyProtection="0"/>
    <xf numFmtId="197" fontId="11" fillId="0" borderId="0">
      <protection locked="0"/>
    </xf>
    <xf numFmtId="0" fontId="2" fillId="0" borderId="0"/>
    <xf numFmtId="184" fontId="12" fillId="0" borderId="4" applyNumberFormat="0" applyFont="0" applyFill="0" applyAlignment="0" applyProtection="0"/>
    <xf numFmtId="178" fontId="2" fillId="0" borderId="0" applyFont="0" applyFill="0" applyBorder="0" applyAlignment="0" applyProtection="0"/>
    <xf numFmtId="200" fontId="17" fillId="0" borderId="0" applyFont="0" applyFill="0" applyBorder="0" applyAlignment="0" applyProtection="0">
      <alignment horizontal="right"/>
    </xf>
    <xf numFmtId="2" fontId="2" fillId="0" borderId="0" applyFont="0" applyFill="0" applyBorder="0" applyAlignment="0" applyProtection="0"/>
    <xf numFmtId="0" fontId="18" fillId="0" borderId="0" applyFill="0" applyBorder="0" applyProtection="0">
      <alignment horizontal="left"/>
    </xf>
    <xf numFmtId="194" fontId="19" fillId="0" borderId="0" applyFill="0" applyBorder="0" applyAlignment="0" applyProtection="0"/>
    <xf numFmtId="187" fontId="12" fillId="0" borderId="0" applyFont="0" applyFill="0" applyBorder="0" applyAlignment="0" applyProtection="0">
      <alignment horizontal="right"/>
    </xf>
    <xf numFmtId="0" fontId="20" fillId="0" borderId="0" applyProtection="0">
      <alignment horizontal="right"/>
    </xf>
    <xf numFmtId="0" fontId="21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23" fillId="0" borderId="0" applyProtection="0">
      <alignment horizontal="left"/>
    </xf>
    <xf numFmtId="37" fontId="24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6" fontId="25" fillId="0" borderId="0">
      <alignment horizontal="right"/>
    </xf>
    <xf numFmtId="185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>
      <alignment horizontal="right"/>
    </xf>
    <xf numFmtId="180" fontId="26" fillId="0" borderId="5" applyBorder="0" applyAlignment="0" applyProtection="0">
      <alignment horizontal="center"/>
    </xf>
    <xf numFmtId="0" fontId="27" fillId="0" borderId="0"/>
    <xf numFmtId="199" fontId="2" fillId="0" borderId="0" applyNumberFormat="0" applyFill="0" applyBorder="0" applyAlignment="0"/>
    <xf numFmtId="0" fontId="2" fillId="0" borderId="0"/>
    <xf numFmtId="0" fontId="13" fillId="0" borderId="0"/>
    <xf numFmtId="0" fontId="25" fillId="0" borderId="0"/>
    <xf numFmtId="0" fontId="3" fillId="0" borderId="0"/>
    <xf numFmtId="198" fontId="2" fillId="0" borderId="0" applyNumberFormat="0" applyFill="0" applyBorder="0" applyAlignment="0" applyProtection="0"/>
    <xf numFmtId="1" fontId="28" fillId="0" borderId="0" applyProtection="0">
      <alignment horizontal="right" vertical="center"/>
    </xf>
    <xf numFmtId="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1" fontId="29" fillId="0" borderId="0"/>
    <xf numFmtId="171" fontId="29" fillId="0" borderId="0"/>
    <xf numFmtId="9" fontId="25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37" fontId="32" fillId="0" borderId="0" applyNumberFormat="0" applyFill="0" applyBorder="0" applyAlignment="0" applyProtection="0"/>
    <xf numFmtId="193" fontId="33" fillId="0" borderId="0" applyFill="0" applyBorder="0" applyAlignment="0" applyProtection="0"/>
    <xf numFmtId="0" fontId="34" fillId="0" borderId="0"/>
    <xf numFmtId="0" fontId="35" fillId="0" borderId="0" applyBorder="0" applyProtection="0">
      <alignment vertical="center"/>
    </xf>
    <xf numFmtId="184" fontId="35" fillId="0" borderId="1" applyBorder="0" applyProtection="0">
      <alignment horizontal="right" vertical="center"/>
    </xf>
    <xf numFmtId="0" fontId="36" fillId="2" borderId="0" applyBorder="0" applyProtection="0">
      <alignment horizontal="centerContinuous" vertical="center"/>
    </xf>
    <xf numFmtId="0" fontId="36" fillId="3" borderId="1" applyBorder="0" applyProtection="0">
      <alignment horizontal="centerContinuous" vertical="center"/>
    </xf>
    <xf numFmtId="0" fontId="37" fillId="0" borderId="0" applyFill="0" applyBorder="0" applyProtection="0">
      <alignment horizontal="left"/>
    </xf>
    <xf numFmtId="0" fontId="18" fillId="0" borderId="6" applyFill="0" applyBorder="0" applyProtection="0">
      <alignment horizontal="left" vertical="top"/>
    </xf>
    <xf numFmtId="0" fontId="38" fillId="0" borderId="3" applyNumberFormat="0" applyFill="0" applyBorder="0" applyAlignment="0" applyProtection="0"/>
    <xf numFmtId="0" fontId="2" fillId="0" borderId="7" applyNumberFormat="0" applyFont="0" applyBorder="0" applyAlignment="0" applyProtection="0"/>
    <xf numFmtId="192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8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/>
    </xf>
    <xf numFmtId="38" fontId="39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4" borderId="8" xfId="0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39" fillId="0" borderId="10" xfId="0" applyFont="1" applyFill="1" applyBorder="1" applyAlignment="1">
      <alignment vertical="center"/>
    </xf>
    <xf numFmtId="38" fontId="39" fillId="6" borderId="11" xfId="0" applyNumberFormat="1" applyFont="1" applyFill="1" applyBorder="1" applyAlignment="1">
      <alignment horizontal="right" vertical="center"/>
    </xf>
    <xf numFmtId="0" fontId="39" fillId="0" borderId="12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38" fontId="39" fillId="6" borderId="14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9" fillId="0" borderId="2" xfId="0" applyFont="1" applyFill="1" applyBorder="1" applyAlignment="1">
      <alignment horizontal="left" vertical="center"/>
    </xf>
    <xf numFmtId="38" fontId="39" fillId="6" borderId="2" xfId="0" applyNumberFormat="1" applyFont="1" applyFill="1" applyBorder="1" applyAlignment="1">
      <alignment vertical="center"/>
    </xf>
    <xf numFmtId="0" fontId="44" fillId="4" borderId="15" xfId="0" applyFont="1" applyFill="1" applyBorder="1" applyAlignment="1">
      <alignment horizontal="center" vertical="center" wrapText="1"/>
    </xf>
    <xf numFmtId="3" fontId="44" fillId="4" borderId="16" xfId="0" applyNumberFormat="1" applyFont="1" applyFill="1" applyBorder="1" applyAlignment="1">
      <alignment horizontal="center" vertical="center"/>
    </xf>
    <xf numFmtId="3" fontId="44" fillId="4" borderId="9" xfId="0" applyNumberFormat="1" applyFont="1" applyFill="1" applyBorder="1" applyAlignment="1">
      <alignment horizontal="center" vertical="center"/>
    </xf>
    <xf numFmtId="3" fontId="43" fillId="5" borderId="9" xfId="0" applyNumberFormat="1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38" fontId="39" fillId="6" borderId="9" xfId="0" applyNumberFormat="1" applyFont="1" applyFill="1" applyBorder="1" applyAlignment="1">
      <alignment horizontal="right" vertical="center"/>
    </xf>
    <xf numFmtId="38" fontId="39" fillId="6" borderId="17" xfId="0" applyNumberFormat="1" applyFont="1" applyFill="1" applyBorder="1" applyAlignment="1">
      <alignment horizontal="right" vertical="center"/>
    </xf>
    <xf numFmtId="38" fontId="39" fillId="0" borderId="14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38" fontId="39" fillId="0" borderId="0" xfId="0" applyNumberFormat="1" applyFont="1" applyFill="1" applyBorder="1" applyAlignment="1">
      <alignment horizontal="right" vertical="center"/>
    </xf>
    <xf numFmtId="10" fontId="39" fillId="0" borderId="0" xfId="65" applyNumberFormat="1" applyFont="1" applyAlignment="1">
      <alignment horizontal="center" vertical="center"/>
    </xf>
    <xf numFmtId="171" fontId="39" fillId="0" borderId="0" xfId="65" applyNumberFormat="1" applyFont="1" applyAlignment="1">
      <alignment vertical="center"/>
    </xf>
    <xf numFmtId="203" fontId="39" fillId="0" borderId="0" xfId="0" applyNumberFormat="1" applyFont="1" applyAlignment="1">
      <alignment vertical="center"/>
    </xf>
    <xf numFmtId="40" fontId="39" fillId="6" borderId="11" xfId="0" applyNumberFormat="1" applyFont="1" applyFill="1" applyBorder="1" applyAlignment="1">
      <alignment horizontal="center" vertical="center"/>
    </xf>
    <xf numFmtId="40" fontId="39" fillId="6" borderId="17" xfId="0" applyNumberFormat="1" applyFont="1" applyFill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38" fontId="39" fillId="6" borderId="17" xfId="0" applyNumberFormat="1" applyFont="1" applyFill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0" fontId="44" fillId="4" borderId="18" xfId="0" applyFont="1" applyFill="1" applyBorder="1" applyAlignment="1">
      <alignment horizontal="center" vertical="center"/>
    </xf>
    <xf numFmtId="0" fontId="43" fillId="5" borderId="18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39" fillId="0" borderId="14" xfId="0" applyFont="1" applyBorder="1" applyAlignment="1">
      <alignment vertical="center"/>
    </xf>
    <xf numFmtId="40" fontId="39" fillId="6" borderId="18" xfId="0" applyNumberFormat="1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left" vertical="center" wrapText="1"/>
    </xf>
    <xf numFmtId="0" fontId="42" fillId="0" borderId="22" xfId="0" applyFont="1" applyBorder="1" applyAlignment="1">
      <alignment vertical="center"/>
    </xf>
    <xf numFmtId="10" fontId="42" fillId="6" borderId="2" xfId="65" applyNumberFormat="1" applyFont="1" applyFill="1" applyBorder="1" applyAlignment="1">
      <alignment horizontal="center" vertical="center"/>
    </xf>
    <xf numFmtId="207" fontId="39" fillId="0" borderId="0" xfId="0" applyNumberFormat="1" applyFont="1" applyAlignment="1">
      <alignment vertical="center"/>
    </xf>
    <xf numFmtId="0" fontId="43" fillId="7" borderId="0" xfId="0" applyFont="1" applyFill="1" applyAlignment="1">
      <alignment vertical="center"/>
    </xf>
    <xf numFmtId="10" fontId="39" fillId="0" borderId="0" xfId="0" applyNumberFormat="1" applyFont="1" applyAlignment="1">
      <alignment vertical="center"/>
    </xf>
    <xf numFmtId="0" fontId="48" fillId="8" borderId="17" xfId="0" applyFont="1" applyFill="1" applyBorder="1" applyAlignment="1">
      <alignment horizontal="center" vertical="center"/>
    </xf>
    <xf numFmtId="9" fontId="48" fillId="8" borderId="17" xfId="0" applyNumberFormat="1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vertical="center"/>
    </xf>
    <xf numFmtId="38" fontId="39" fillId="7" borderId="17" xfId="0" applyNumberFormat="1" applyFont="1" applyFill="1" applyBorder="1" applyAlignment="1">
      <alignment vertical="center"/>
    </xf>
    <xf numFmtId="38" fontId="39" fillId="0" borderId="11" xfId="0" applyNumberFormat="1" applyFont="1" applyFill="1" applyBorder="1" applyAlignment="1">
      <alignment horizontal="right" vertical="center"/>
    </xf>
    <xf numFmtId="208" fontId="39" fillId="0" borderId="0" xfId="0" applyNumberFormat="1" applyFont="1" applyAlignment="1">
      <alignment vertical="center"/>
    </xf>
    <xf numFmtId="0" fontId="39" fillId="0" borderId="23" xfId="0" applyFont="1" applyFill="1" applyBorder="1" applyAlignment="1">
      <alignment vertical="center"/>
    </xf>
    <xf numFmtId="38" fontId="39" fillId="6" borderId="24" xfId="0" applyNumberFormat="1" applyFont="1" applyFill="1" applyBorder="1" applyAlignment="1">
      <alignment horizontal="right" vertical="center"/>
    </xf>
    <xf numFmtId="0" fontId="39" fillId="0" borderId="0" xfId="0" applyFont="1" applyBorder="1"/>
    <xf numFmtId="0" fontId="39" fillId="0" borderId="17" xfId="0" applyFont="1" applyFill="1" applyBorder="1"/>
    <xf numFmtId="0" fontId="39" fillId="0" borderId="0" xfId="0" applyFont="1" applyAlignment="1">
      <alignment horizontal="center"/>
    </xf>
    <xf numFmtId="0" fontId="39" fillId="0" borderId="0" xfId="0" applyFont="1" applyFill="1" applyBorder="1"/>
    <xf numFmtId="9" fontId="39" fillId="0" borderId="0" xfId="65" applyFont="1"/>
    <xf numFmtId="0" fontId="39" fillId="0" borderId="0" xfId="0" applyFont="1" applyFill="1"/>
    <xf numFmtId="0" fontId="43" fillId="0" borderId="0" xfId="0" applyFont="1" applyAlignment="1">
      <alignment horizontal="center"/>
    </xf>
    <xf numFmtId="0" fontId="39" fillId="0" borderId="0" xfId="0" applyFont="1" applyAlignment="1"/>
    <xf numFmtId="0" fontId="43" fillId="0" borderId="0" xfId="0" applyFont="1" applyAlignment="1">
      <alignment horizontal="left"/>
    </xf>
    <xf numFmtId="169" fontId="43" fillId="0" borderId="0" xfId="0" applyNumberFormat="1" applyFont="1" applyAlignment="1">
      <alignment horizontal="left"/>
    </xf>
    <xf numFmtId="0" fontId="43" fillId="0" borderId="0" xfId="0" applyFont="1" applyAlignment="1">
      <alignment vertical="center"/>
    </xf>
    <xf numFmtId="0" fontId="43" fillId="0" borderId="0" xfId="0" applyFont="1" applyAlignment="1"/>
    <xf numFmtId="0" fontId="39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43" fillId="9" borderId="31" xfId="0" applyFont="1" applyFill="1" applyBorder="1" applyAlignment="1">
      <alignment horizontal="center" vertical="center" wrapText="1"/>
    </xf>
    <xf numFmtId="0" fontId="43" fillId="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6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/>
    </xf>
    <xf numFmtId="169" fontId="39" fillId="5" borderId="24" xfId="10" applyNumberFormat="1" applyFont="1" applyFill="1" applyBorder="1" applyAlignment="1">
      <alignment horizontal="right"/>
    </xf>
    <xf numFmtId="169" fontId="39" fillId="0" borderId="24" xfId="10" applyNumberFormat="1" applyFont="1" applyFill="1" applyBorder="1" applyAlignment="1">
      <alignment horizontal="right"/>
    </xf>
    <xf numFmtId="0" fontId="39" fillId="0" borderId="6" xfId="0" applyFont="1" applyFill="1" applyBorder="1" applyAlignment="1">
      <alignment horizontal="left" vertical="center" indent="1"/>
    </xf>
    <xf numFmtId="0" fontId="39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169" fontId="39" fillId="5" borderId="24" xfId="10" applyNumberFormat="1" applyFont="1" applyFill="1" applyBorder="1" applyAlignment="1">
      <alignment horizontal="right" vertical="center"/>
    </xf>
    <xf numFmtId="0" fontId="39" fillId="0" borderId="33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center"/>
    </xf>
    <xf numFmtId="169" fontId="39" fillId="5" borderId="34" xfId="10" applyNumberFormat="1" applyFont="1" applyFill="1" applyBorder="1" applyAlignment="1">
      <alignment horizontal="right" vertical="center"/>
    </xf>
    <xf numFmtId="169" fontId="39" fillId="0" borderId="34" xfId="1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vertical="center"/>
    </xf>
    <xf numFmtId="0" fontId="39" fillId="0" borderId="35" xfId="0" applyFont="1" applyBorder="1"/>
    <xf numFmtId="169" fontId="39" fillId="0" borderId="32" xfId="10" applyNumberFormat="1" applyFont="1" applyBorder="1" applyAlignment="1">
      <alignment horizontal="right"/>
    </xf>
    <xf numFmtId="0" fontId="39" fillId="0" borderId="0" xfId="0" applyFont="1" applyAlignment="1">
      <alignment horizontal="left"/>
    </xf>
    <xf numFmtId="169" fontId="39" fillId="0" borderId="0" xfId="0" applyNumberFormat="1" applyFont="1" applyAlignment="1">
      <alignment horizontal="right"/>
    </xf>
    <xf numFmtId="204" fontId="39" fillId="0" borderId="0" xfId="0" applyNumberFormat="1" applyFont="1" applyAlignment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204" fontId="39" fillId="0" borderId="0" xfId="0" applyNumberFormat="1" applyFont="1" applyFill="1" applyBorder="1" applyAlignment="1">
      <alignment horizontal="center" vertical="center"/>
    </xf>
    <xf numFmtId="0" fontId="44" fillId="4" borderId="36" xfId="0" applyFont="1" applyFill="1" applyBorder="1" applyAlignment="1">
      <alignment horizontal="center" vertical="center" wrapText="1"/>
    </xf>
    <xf numFmtId="0" fontId="44" fillId="4" borderId="37" xfId="0" applyFont="1" applyFill="1" applyBorder="1" applyAlignment="1">
      <alignment horizontal="center" vertical="center"/>
    </xf>
    <xf numFmtId="0" fontId="43" fillId="5" borderId="37" xfId="0" applyFont="1" applyFill="1" applyBorder="1" applyAlignment="1">
      <alignment horizontal="center" vertical="center"/>
    </xf>
    <xf numFmtId="0" fontId="44" fillId="4" borderId="38" xfId="0" applyFont="1" applyFill="1" applyBorder="1" applyAlignment="1">
      <alignment horizontal="center" vertical="center"/>
    </xf>
    <xf numFmtId="0" fontId="43" fillId="6" borderId="12" xfId="0" applyFont="1" applyFill="1" applyBorder="1" applyAlignment="1">
      <alignment horizontal="center" vertical="center" wrapText="1"/>
    </xf>
    <xf numFmtId="0" fontId="43" fillId="6" borderId="13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 wrapText="1"/>
    </xf>
    <xf numFmtId="171" fontId="39" fillId="0" borderId="0" xfId="65" applyNumberFormat="1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 wrapText="1"/>
    </xf>
    <xf numFmtId="203" fontId="39" fillId="0" borderId="10" xfId="65" applyNumberFormat="1" applyFont="1" applyFill="1" applyBorder="1" applyAlignment="1">
      <alignment horizontal="left" vertical="center" wrapText="1"/>
    </xf>
    <xf numFmtId="10" fontId="43" fillId="0" borderId="11" xfId="65" applyNumberFormat="1" applyFont="1" applyFill="1" applyBorder="1" applyAlignment="1">
      <alignment horizontal="center" vertical="center"/>
    </xf>
    <xf numFmtId="10" fontId="43" fillId="0" borderId="39" xfId="65" applyNumberFormat="1" applyFont="1" applyFill="1" applyBorder="1" applyAlignment="1">
      <alignment horizontal="center" vertical="center"/>
    </xf>
    <xf numFmtId="10" fontId="44" fillId="4" borderId="40" xfId="65" applyNumberFormat="1" applyFont="1" applyFill="1" applyBorder="1" applyAlignment="1">
      <alignment horizontal="center" vertical="center"/>
    </xf>
    <xf numFmtId="169" fontId="39" fillId="5" borderId="17" xfId="1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left" vertical="center"/>
    </xf>
    <xf numFmtId="3" fontId="39" fillId="0" borderId="0" xfId="10" applyNumberFormat="1" applyFont="1" applyBorder="1" applyAlignment="1">
      <alignment vertical="center"/>
    </xf>
    <xf numFmtId="3" fontId="50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39" fillId="0" borderId="0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3" fontId="39" fillId="0" borderId="0" xfId="0" applyNumberFormat="1" applyFont="1" applyAlignment="1">
      <alignment vertical="center"/>
    </xf>
    <xf numFmtId="0" fontId="43" fillId="9" borderId="8" xfId="0" applyFont="1" applyFill="1" applyBorder="1" applyAlignment="1">
      <alignment horizontal="center"/>
    </xf>
    <xf numFmtId="0" fontId="43" fillId="9" borderId="18" xfId="0" applyFont="1" applyFill="1" applyBorder="1" applyAlignment="1">
      <alignment horizontal="center"/>
    </xf>
    <xf numFmtId="0" fontId="43" fillId="5" borderId="18" xfId="0" applyFont="1" applyFill="1" applyBorder="1" applyAlignment="1">
      <alignment horizontal="center"/>
    </xf>
    <xf numFmtId="0" fontId="43" fillId="9" borderId="41" xfId="0" applyFont="1" applyFill="1" applyBorder="1" applyAlignment="1">
      <alignment horizontal="center"/>
    </xf>
    <xf numFmtId="0" fontId="39" fillId="0" borderId="42" xfId="0" applyFont="1" applyFill="1" applyBorder="1"/>
    <xf numFmtId="3" fontId="39" fillId="0" borderId="24" xfId="0" applyNumberFormat="1" applyFont="1" applyFill="1" applyBorder="1"/>
    <xf numFmtId="3" fontId="39" fillId="0" borderId="43" xfId="0" applyNumberFormat="1" applyFont="1" applyFill="1" applyBorder="1"/>
    <xf numFmtId="0" fontId="43" fillId="0" borderId="42" xfId="0" quotePrefix="1" applyFont="1" applyFill="1" applyBorder="1" applyAlignment="1"/>
    <xf numFmtId="3" fontId="43" fillId="0" borderId="24" xfId="0" applyNumberFormat="1" applyFont="1" applyFill="1" applyBorder="1" applyAlignment="1"/>
    <xf numFmtId="3" fontId="43" fillId="0" borderId="43" xfId="0" applyNumberFormat="1" applyFont="1" applyFill="1" applyBorder="1" applyAlignment="1"/>
    <xf numFmtId="0" fontId="39" fillId="0" borderId="42" xfId="0" applyFont="1" applyFill="1" applyBorder="1" applyAlignment="1">
      <alignment horizontal="left" indent="3"/>
    </xf>
    <xf numFmtId="0" fontId="39" fillId="0" borderId="44" xfId="0" applyFont="1" applyFill="1" applyBorder="1" applyAlignment="1">
      <alignment horizontal="left" indent="3"/>
    </xf>
    <xf numFmtId="3" fontId="39" fillId="0" borderId="45" xfId="0" applyNumberFormat="1" applyFont="1" applyFill="1" applyBorder="1"/>
    <xf numFmtId="3" fontId="39" fillId="0" borderId="46" xfId="0" applyNumberFormat="1" applyFont="1" applyFill="1" applyBorder="1"/>
    <xf numFmtId="0" fontId="39" fillId="0" borderId="44" xfId="0" applyFont="1" applyFill="1" applyBorder="1"/>
    <xf numFmtId="0" fontId="39" fillId="0" borderId="45" xfId="0" applyFont="1" applyFill="1" applyBorder="1"/>
    <xf numFmtId="0" fontId="39" fillId="0" borderId="46" xfId="0" applyFont="1" applyFill="1" applyBorder="1"/>
    <xf numFmtId="0" fontId="43" fillId="0" borderId="19" xfId="0" quotePrefix="1" applyFont="1" applyFill="1" applyBorder="1" applyAlignment="1">
      <alignment horizontal="left" indent="3"/>
    </xf>
    <xf numFmtId="3" fontId="43" fillId="0" borderId="20" xfId="0" applyNumberFormat="1" applyFont="1" applyFill="1" applyBorder="1" applyAlignment="1">
      <alignment horizontal="center"/>
    </xf>
    <xf numFmtId="3" fontId="43" fillId="0" borderId="21" xfId="0" applyNumberFormat="1" applyFont="1" applyFill="1" applyBorder="1" applyAlignment="1">
      <alignment horizontal="center"/>
    </xf>
    <xf numFmtId="0" fontId="39" fillId="0" borderId="12" xfId="0" applyFont="1" applyFill="1" applyBorder="1" applyAlignment="1">
      <alignment horizontal="left" indent="3"/>
    </xf>
    <xf numFmtId="3" fontId="39" fillId="0" borderId="17" xfId="0" applyNumberFormat="1" applyFont="1" applyFill="1" applyBorder="1" applyAlignment="1">
      <alignment horizontal="center"/>
    </xf>
    <xf numFmtId="3" fontId="39" fillId="0" borderId="47" xfId="0" applyNumberFormat="1" applyFont="1" applyFill="1" applyBorder="1" applyAlignment="1">
      <alignment horizontal="center"/>
    </xf>
    <xf numFmtId="0" fontId="39" fillId="0" borderId="12" xfId="0" applyFont="1" applyFill="1" applyBorder="1" applyAlignment="1">
      <alignment horizontal="left" indent="4"/>
    </xf>
    <xf numFmtId="0" fontId="43" fillId="0" borderId="12" xfId="0" applyFont="1" applyFill="1" applyBorder="1" applyAlignment="1">
      <alignment horizontal="left" indent="3"/>
    </xf>
    <xf numFmtId="3" fontId="43" fillId="0" borderId="17" xfId="0" applyNumberFormat="1" applyFont="1" applyFill="1" applyBorder="1" applyAlignment="1">
      <alignment horizontal="center"/>
    </xf>
    <xf numFmtId="3" fontId="43" fillId="0" borderId="47" xfId="0" applyNumberFormat="1" applyFont="1" applyFill="1" applyBorder="1" applyAlignment="1">
      <alignment horizontal="center"/>
    </xf>
    <xf numFmtId="0" fontId="39" fillId="0" borderId="48" xfId="0" applyFont="1" applyFill="1" applyBorder="1" applyAlignment="1">
      <alignment horizontal="left" indent="2"/>
    </xf>
    <xf numFmtId="3" fontId="39" fillId="0" borderId="35" xfId="0" applyNumberFormat="1" applyFont="1" applyFill="1" applyBorder="1" applyAlignment="1">
      <alignment horizontal="center"/>
    </xf>
    <xf numFmtId="3" fontId="39" fillId="0" borderId="49" xfId="0" applyNumberFormat="1" applyFont="1" applyFill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4" fillId="4" borderId="41" xfId="0" applyFont="1" applyFill="1" applyBorder="1" applyAlignment="1">
      <alignment horizontal="center" vertical="center"/>
    </xf>
    <xf numFmtId="3" fontId="39" fillId="0" borderId="34" xfId="0" applyNumberFormat="1" applyFont="1" applyFill="1" applyBorder="1" applyAlignment="1">
      <alignment vertical="center"/>
    </xf>
    <xf numFmtId="3" fontId="44" fillId="4" borderId="18" xfId="0" applyNumberFormat="1" applyFont="1" applyFill="1" applyBorder="1" applyAlignment="1">
      <alignment horizontal="center" vertical="center"/>
    </xf>
    <xf numFmtId="3" fontId="43" fillId="5" borderId="18" xfId="0" applyNumberFormat="1" applyFont="1" applyFill="1" applyBorder="1" applyAlignment="1">
      <alignment horizontal="center" vertical="center"/>
    </xf>
    <xf numFmtId="168" fontId="39" fillId="0" borderId="0" xfId="10" applyFont="1" applyAlignment="1">
      <alignment vertical="center"/>
    </xf>
    <xf numFmtId="168" fontId="43" fillId="0" borderId="0" xfId="10" applyFont="1" applyFill="1" applyBorder="1" applyAlignment="1">
      <alignment vertical="center"/>
    </xf>
    <xf numFmtId="171" fontId="39" fillId="0" borderId="0" xfId="65" applyNumberFormat="1" applyFont="1" applyFill="1" applyBorder="1" applyAlignment="1">
      <alignment vertical="center"/>
    </xf>
    <xf numFmtId="0" fontId="39" fillId="0" borderId="36" xfId="0" applyFont="1" applyFill="1" applyBorder="1" applyAlignment="1">
      <alignment vertical="center"/>
    </xf>
    <xf numFmtId="3" fontId="39" fillId="0" borderId="37" xfId="0" applyNumberFormat="1" applyFont="1" applyFill="1" applyBorder="1" applyAlignment="1">
      <alignment vertical="center"/>
    </xf>
    <xf numFmtId="0" fontId="39" fillId="0" borderId="44" xfId="0" applyFont="1" applyFill="1" applyBorder="1" applyAlignment="1">
      <alignment vertical="center"/>
    </xf>
    <xf numFmtId="3" fontId="39" fillId="0" borderId="45" xfId="0" applyNumberFormat="1" applyFont="1" applyFill="1" applyBorder="1" applyAlignment="1">
      <alignment vertical="center"/>
    </xf>
    <xf numFmtId="4" fontId="39" fillId="0" borderId="34" xfId="0" applyNumberFormat="1" applyFont="1" applyFill="1" applyBorder="1" applyAlignment="1">
      <alignment horizontal="center" vertical="center"/>
    </xf>
    <xf numFmtId="4" fontId="39" fillId="0" borderId="45" xfId="0" applyNumberFormat="1" applyFont="1" applyFill="1" applyBorder="1" applyAlignment="1">
      <alignment horizontal="center" vertical="center"/>
    </xf>
    <xf numFmtId="0" fontId="44" fillId="4" borderId="16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left" vertical="center"/>
    </xf>
    <xf numFmtId="0" fontId="39" fillId="6" borderId="17" xfId="0" applyFont="1" applyFill="1" applyBorder="1" applyAlignment="1">
      <alignment horizontal="left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vertical="center"/>
    </xf>
    <xf numFmtId="0" fontId="44" fillId="4" borderId="50" xfId="0" applyFont="1" applyFill="1" applyBorder="1" applyAlignment="1">
      <alignment horizontal="left" vertical="center" wrapText="1"/>
    </xf>
    <xf numFmtId="0" fontId="44" fillId="4" borderId="51" xfId="0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/>
    </xf>
    <xf numFmtId="0" fontId="44" fillId="4" borderId="40" xfId="0" applyFont="1" applyFill="1" applyBorder="1" applyAlignment="1">
      <alignment horizontal="center" vertical="center"/>
    </xf>
    <xf numFmtId="10" fontId="39" fillId="0" borderId="22" xfId="0" applyNumberFormat="1" applyFont="1" applyBorder="1" applyAlignment="1">
      <alignment vertical="center"/>
    </xf>
    <xf numFmtId="10" fontId="39" fillId="0" borderId="22" xfId="0" applyNumberFormat="1" applyFont="1" applyBorder="1" applyAlignment="1">
      <alignment horizontal="center" vertical="center"/>
    </xf>
    <xf numFmtId="10" fontId="39" fillId="0" borderId="2" xfId="65" applyNumberFormat="1" applyFont="1" applyBorder="1" applyAlignment="1">
      <alignment horizontal="center" vertical="center"/>
    </xf>
    <xf numFmtId="10" fontId="48" fillId="0" borderId="0" xfId="0" applyNumberFormat="1" applyFont="1" applyAlignment="1">
      <alignment horizontal="right"/>
    </xf>
    <xf numFmtId="0" fontId="43" fillId="0" borderId="0" xfId="0" applyFont="1"/>
    <xf numFmtId="0" fontId="44" fillId="4" borderId="37" xfId="0" applyFont="1" applyFill="1" applyBorder="1" applyAlignment="1">
      <alignment horizontal="center"/>
    </xf>
    <xf numFmtId="0" fontId="44" fillId="4" borderId="38" xfId="0" applyFont="1" applyFill="1" applyBorder="1" applyAlignment="1">
      <alignment horizontal="center"/>
    </xf>
    <xf numFmtId="3" fontId="39" fillId="0" borderId="0" xfId="0" applyNumberFormat="1" applyFont="1"/>
    <xf numFmtId="0" fontId="39" fillId="0" borderId="17" xfId="0" applyFont="1" applyBorder="1"/>
    <xf numFmtId="171" fontId="39" fillId="0" borderId="0" xfId="0" applyNumberFormat="1" applyFont="1"/>
    <xf numFmtId="203" fontId="39" fillId="0" borderId="0" xfId="65" applyNumberFormat="1" applyFont="1" applyAlignment="1">
      <alignment horizontal="center"/>
    </xf>
    <xf numFmtId="0" fontId="44" fillId="4" borderId="41" xfId="0" applyFont="1" applyFill="1" applyBorder="1" applyAlignment="1">
      <alignment horizontal="center"/>
    </xf>
    <xf numFmtId="0" fontId="44" fillId="4" borderId="18" xfId="0" applyFont="1" applyFill="1" applyBorder="1" applyAlignment="1">
      <alignment horizontal="center"/>
    </xf>
    <xf numFmtId="0" fontId="39" fillId="9" borderId="17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left"/>
    </xf>
    <xf numFmtId="175" fontId="39" fillId="0" borderId="32" xfId="62" applyNumberFormat="1" applyFont="1" applyFill="1" applyBorder="1" applyAlignment="1" applyProtection="1">
      <alignment horizontal="right"/>
      <protection locked="0"/>
    </xf>
    <xf numFmtId="171" fontId="39" fillId="0" borderId="17" xfId="65" applyNumberFormat="1" applyFont="1" applyFill="1" applyBorder="1" applyAlignment="1" applyProtection="1">
      <alignment horizontal="right"/>
      <protection locked="0"/>
    </xf>
    <xf numFmtId="175" fontId="39" fillId="0" borderId="14" xfId="62" applyNumberFormat="1" applyFont="1" applyFill="1" applyBorder="1" applyAlignment="1" applyProtection="1">
      <alignment horizontal="right"/>
      <protection locked="0"/>
    </xf>
    <xf numFmtId="0" fontId="43" fillId="9" borderId="31" xfId="0" applyFont="1" applyFill="1" applyBorder="1"/>
    <xf numFmtId="167" fontId="39" fillId="0" borderId="0" xfId="0" applyNumberFormat="1" applyFont="1"/>
    <xf numFmtId="0" fontId="39" fillId="9" borderId="31" xfId="0" applyFont="1" applyFill="1" applyBorder="1"/>
    <xf numFmtId="0" fontId="44" fillId="4" borderId="52" xfId="0" applyFont="1" applyFill="1" applyBorder="1" applyAlignment="1">
      <alignment horizontal="center" vertical="center"/>
    </xf>
    <xf numFmtId="0" fontId="39" fillId="0" borderId="6" xfId="0" applyFont="1" applyBorder="1"/>
    <xf numFmtId="169" fontId="39" fillId="0" borderId="0" xfId="0" applyNumberFormat="1" applyFont="1"/>
    <xf numFmtId="0" fontId="49" fillId="4" borderId="50" xfId="0" applyFont="1" applyFill="1" applyBorder="1"/>
    <xf numFmtId="0" fontId="44" fillId="4" borderId="53" xfId="0" applyFont="1" applyFill="1" applyBorder="1" applyAlignment="1">
      <alignment horizontal="center"/>
    </xf>
    <xf numFmtId="0" fontId="54" fillId="5" borderId="53" xfId="0" applyFont="1" applyFill="1" applyBorder="1" applyAlignment="1">
      <alignment horizontal="center"/>
    </xf>
    <xf numFmtId="0" fontId="43" fillId="5" borderId="53" xfId="0" applyFont="1" applyFill="1" applyBorder="1" applyAlignment="1">
      <alignment horizontal="center"/>
    </xf>
    <xf numFmtId="169" fontId="43" fillId="5" borderId="40" xfId="0" applyNumberFormat="1" applyFont="1" applyFill="1" applyBorder="1" applyAlignment="1">
      <alignment horizontal="center"/>
    </xf>
    <xf numFmtId="3" fontId="39" fillId="0" borderId="54" xfId="62" applyNumberFormat="1" applyFont="1" applyBorder="1" applyProtection="1">
      <protection locked="0"/>
    </xf>
    <xf numFmtId="169" fontId="39" fillId="0" borderId="54" xfId="10" applyNumberFormat="1" applyFont="1" applyBorder="1"/>
    <xf numFmtId="169" fontId="39" fillId="0" borderId="0" xfId="10" applyNumberFormat="1" applyFont="1" applyBorder="1"/>
    <xf numFmtId="3" fontId="39" fillId="0" borderId="0" xfId="62" applyNumberFormat="1" applyFont="1" applyFill="1" applyBorder="1" applyProtection="1">
      <protection locked="0"/>
    </xf>
    <xf numFmtId="174" fontId="39" fillId="0" borderId="0" xfId="62" applyNumberFormat="1" applyFont="1" applyBorder="1" applyProtection="1">
      <protection locked="0"/>
    </xf>
    <xf numFmtId="0" fontId="39" fillId="0" borderId="17" xfId="0" applyFont="1" applyFill="1" applyBorder="1" applyAlignment="1">
      <alignment horizontal="left" vertical="center" wrapText="1"/>
    </xf>
    <xf numFmtId="3" fontId="39" fillId="0" borderId="17" xfId="0" applyNumberFormat="1" applyFont="1" applyFill="1" applyBorder="1" applyAlignment="1">
      <alignment horizontal="right" vertical="center" wrapText="1"/>
    </xf>
    <xf numFmtId="169" fontId="39" fillId="0" borderId="0" xfId="10" applyNumberFormat="1" applyFont="1" applyFill="1" applyBorder="1"/>
    <xf numFmtId="174" fontId="39" fillId="0" borderId="2" xfId="62" applyNumberFormat="1" applyFont="1" applyBorder="1" applyProtection="1">
      <protection locked="0"/>
    </xf>
    <xf numFmtId="169" fontId="39" fillId="0" borderId="2" xfId="10" applyNumberFormat="1" applyFont="1" applyBorder="1"/>
    <xf numFmtId="3" fontId="49" fillId="4" borderId="50" xfId="0" applyNumberFormat="1" applyFont="1" applyFill="1" applyBorder="1"/>
    <xf numFmtId="3" fontId="44" fillId="4" borderId="18" xfId="0" applyNumberFormat="1" applyFont="1" applyFill="1" applyBorder="1" applyAlignment="1">
      <alignment horizontal="center"/>
    </xf>
    <xf numFmtId="3" fontId="44" fillId="4" borderId="53" xfId="0" applyNumberFormat="1" applyFont="1" applyFill="1" applyBorder="1" applyAlignment="1">
      <alignment horizontal="center"/>
    </xf>
    <xf numFmtId="0" fontId="43" fillId="0" borderId="23" xfId="0" applyFont="1" applyBorder="1"/>
    <xf numFmtId="176" fontId="43" fillId="0" borderId="34" xfId="0" applyNumberFormat="1" applyFont="1" applyBorder="1"/>
    <xf numFmtId="176" fontId="43" fillId="0" borderId="33" xfId="0" applyNumberFormat="1" applyFont="1" applyBorder="1"/>
    <xf numFmtId="176" fontId="43" fillId="0" borderId="55" xfId="0" applyNumberFormat="1" applyFont="1" applyBorder="1"/>
    <xf numFmtId="0" fontId="39" fillId="0" borderId="42" xfId="0" applyFont="1" applyBorder="1"/>
    <xf numFmtId="176" fontId="39" fillId="0" borderId="24" xfId="0" applyNumberFormat="1" applyFont="1" applyBorder="1"/>
    <xf numFmtId="176" fontId="39" fillId="0" borderId="6" xfId="0" applyNumberFormat="1" applyFont="1" applyBorder="1"/>
    <xf numFmtId="176" fontId="39" fillId="0" borderId="43" xfId="0" applyNumberFormat="1" applyFont="1" applyBorder="1"/>
    <xf numFmtId="0" fontId="43" fillId="0" borderId="12" xfId="0" applyFont="1" applyBorder="1"/>
    <xf numFmtId="176" fontId="43" fillId="0" borderId="17" xfId="0" applyNumberFormat="1" applyFont="1" applyBorder="1"/>
    <xf numFmtId="176" fontId="43" fillId="0" borderId="31" xfId="0" applyNumberFormat="1" applyFont="1" applyBorder="1"/>
    <xf numFmtId="176" fontId="43" fillId="0" borderId="47" xfId="0" applyNumberFormat="1" applyFont="1" applyBorder="1"/>
    <xf numFmtId="176" fontId="39" fillId="0" borderId="24" xfId="0" applyNumberFormat="1" applyFont="1" applyFill="1" applyBorder="1"/>
    <xf numFmtId="176" fontId="39" fillId="0" borderId="6" xfId="0" applyNumberFormat="1" applyFont="1" applyFill="1" applyBorder="1"/>
    <xf numFmtId="176" fontId="39" fillId="0" borderId="43" xfId="0" applyNumberFormat="1" applyFont="1" applyFill="1" applyBorder="1"/>
    <xf numFmtId="176" fontId="43" fillId="0" borderId="17" xfId="0" applyNumberFormat="1" applyFont="1" applyFill="1" applyBorder="1"/>
    <xf numFmtId="176" fontId="43" fillId="0" borderId="31" xfId="0" applyNumberFormat="1" applyFont="1" applyFill="1" applyBorder="1"/>
    <xf numFmtId="176" fontId="43" fillId="0" borderId="47" xfId="0" applyNumberFormat="1" applyFont="1" applyFill="1" applyBorder="1"/>
    <xf numFmtId="176" fontId="43" fillId="0" borderId="45" xfId="0" applyNumberFormat="1" applyFont="1" applyFill="1" applyBorder="1"/>
    <xf numFmtId="176" fontId="43" fillId="0" borderId="56" xfId="0" applyNumberFormat="1" applyFont="1" applyBorder="1"/>
    <xf numFmtId="176" fontId="43" fillId="0" borderId="45" xfId="0" applyNumberFormat="1" applyFont="1" applyBorder="1"/>
    <xf numFmtId="176" fontId="43" fillId="0" borderId="46" xfId="0" applyNumberFormat="1" applyFont="1" applyBorder="1"/>
    <xf numFmtId="0" fontId="44" fillId="4" borderId="17" xfId="0" applyFont="1" applyFill="1" applyBorder="1" applyAlignment="1">
      <alignment horizontal="center" vertical="center" wrapText="1"/>
    </xf>
    <xf numFmtId="1" fontId="39" fillId="0" borderId="0" xfId="0" applyNumberFormat="1" applyFont="1"/>
    <xf numFmtId="10" fontId="39" fillId="0" borderId="0" xfId="65" applyNumberFormat="1" applyFont="1"/>
    <xf numFmtId="0" fontId="44" fillId="4" borderId="51" xfId="0" applyFont="1" applyFill="1" applyBorder="1" applyAlignment="1">
      <alignment horizontal="center" vertical="center" wrapText="1"/>
    </xf>
    <xf numFmtId="1" fontId="44" fillId="4" borderId="51" xfId="62" applyNumberFormat="1" applyFont="1" applyFill="1" applyBorder="1" applyAlignment="1">
      <alignment horizontal="center" vertical="center" wrapText="1"/>
    </xf>
    <xf numFmtId="1" fontId="43" fillId="5" borderId="51" xfId="62" applyNumberFormat="1" applyFont="1" applyFill="1" applyBorder="1" applyAlignment="1">
      <alignment horizontal="center" vertical="center" wrapText="1"/>
    </xf>
    <xf numFmtId="1" fontId="44" fillId="4" borderId="40" xfId="62" applyNumberFormat="1" applyFont="1" applyFill="1" applyBorder="1" applyAlignment="1">
      <alignment horizontal="center" vertical="center" wrapText="1"/>
    </xf>
    <xf numFmtId="3" fontId="39" fillId="0" borderId="12" xfId="62" applyNumberFormat="1" applyFont="1" applyBorder="1" applyProtection="1">
      <protection locked="0"/>
    </xf>
    <xf numFmtId="3" fontId="39" fillId="0" borderId="17" xfId="62" applyNumberFormat="1" applyFont="1" applyBorder="1" applyProtection="1">
      <protection locked="0"/>
    </xf>
    <xf numFmtId="3" fontId="44" fillId="4" borderId="13" xfId="62" applyNumberFormat="1" applyFont="1" applyFill="1" applyBorder="1" applyAlignment="1" applyProtection="1">
      <alignment horizontal="center" wrapText="1"/>
      <protection locked="0"/>
    </xf>
    <xf numFmtId="3" fontId="44" fillId="4" borderId="14" xfId="62" applyNumberFormat="1" applyFont="1" applyFill="1" applyBorder="1" applyAlignment="1" applyProtection="1">
      <alignment horizontal="center" wrapText="1"/>
      <protection locked="0"/>
    </xf>
    <xf numFmtId="3" fontId="44" fillId="4" borderId="14" xfId="62" applyNumberFormat="1" applyFont="1" applyFill="1" applyBorder="1" applyAlignment="1" applyProtection="1">
      <alignment vertical="center"/>
      <protection locked="0"/>
    </xf>
    <xf numFmtId="3" fontId="43" fillId="0" borderId="54" xfId="62" applyNumberFormat="1" applyFont="1" applyFill="1" applyBorder="1" applyAlignment="1" applyProtection="1">
      <alignment horizontal="center"/>
      <protection locked="0"/>
    </xf>
    <xf numFmtId="3" fontId="43" fillId="0" borderId="54" xfId="62" applyNumberFormat="1" applyFont="1" applyFill="1" applyBorder="1" applyProtection="1">
      <protection locked="0"/>
    </xf>
    <xf numFmtId="175" fontId="43" fillId="0" borderId="54" xfId="62" applyNumberFormat="1" applyFont="1" applyFill="1" applyBorder="1" applyProtection="1">
      <protection locked="0"/>
    </xf>
    <xf numFmtId="3" fontId="43" fillId="0" borderId="0" xfId="62" applyNumberFormat="1" applyFont="1" applyFill="1" applyBorder="1" applyProtection="1">
      <protection locked="0"/>
    </xf>
    <xf numFmtId="4" fontId="39" fillId="0" borderId="37" xfId="62" applyNumberFormat="1" applyFont="1" applyFill="1" applyBorder="1" applyAlignment="1" applyProtection="1">
      <alignment horizontal="center"/>
      <protection locked="0"/>
    </xf>
    <xf numFmtId="4" fontId="39" fillId="0" borderId="17" xfId="62" applyNumberFormat="1" applyFont="1" applyFill="1" applyBorder="1" applyAlignment="1" applyProtection="1">
      <alignment horizontal="center"/>
      <protection locked="0"/>
    </xf>
    <xf numFmtId="0" fontId="39" fillId="0" borderId="48" xfId="0" applyFont="1" applyFill="1" applyBorder="1"/>
    <xf numFmtId="0" fontId="39" fillId="0" borderId="28" xfId="0" applyFont="1" applyFill="1" applyBorder="1"/>
    <xf numFmtId="175" fontId="39" fillId="0" borderId="0" xfId="0" applyNumberFormat="1" applyFont="1"/>
    <xf numFmtId="10" fontId="39" fillId="0" borderId="0" xfId="0" applyNumberFormat="1" applyFont="1"/>
    <xf numFmtId="0" fontId="44" fillId="4" borderId="37" xfId="0" applyFont="1" applyFill="1" applyBorder="1" applyAlignment="1">
      <alignment horizontal="center" vertical="center" wrapText="1"/>
    </xf>
    <xf numFmtId="1" fontId="44" fillId="4" borderId="37" xfId="62" applyNumberFormat="1" applyFont="1" applyFill="1" applyBorder="1" applyAlignment="1">
      <alignment horizontal="center" vertical="center" wrapText="1"/>
    </xf>
    <xf numFmtId="1" fontId="43" fillId="5" borderId="37" xfId="62" applyNumberFormat="1" applyFont="1" applyFill="1" applyBorder="1" applyAlignment="1">
      <alignment horizontal="center" vertical="center" wrapText="1"/>
    </xf>
    <xf numFmtId="1" fontId="44" fillId="4" borderId="38" xfId="62" applyNumberFormat="1" applyFont="1" applyFill="1" applyBorder="1" applyAlignment="1">
      <alignment horizontal="center" vertical="center" wrapText="1"/>
    </xf>
    <xf numFmtId="3" fontId="39" fillId="6" borderId="17" xfId="62" applyNumberFormat="1" applyFont="1" applyFill="1" applyBorder="1" applyAlignment="1" applyProtection="1">
      <alignment horizontal="center"/>
      <protection locked="0"/>
    </xf>
    <xf numFmtId="3" fontId="44" fillId="4" borderId="13" xfId="62" applyNumberFormat="1" applyFont="1" applyFill="1" applyBorder="1" applyAlignment="1" applyProtection="1">
      <alignment horizontal="center"/>
      <protection locked="0"/>
    </xf>
    <xf numFmtId="3" fontId="44" fillId="4" borderId="14" xfId="62" applyNumberFormat="1" applyFont="1" applyFill="1" applyBorder="1" applyAlignment="1" applyProtection="1">
      <alignment horizontal="center"/>
      <protection locked="0"/>
    </xf>
    <xf numFmtId="4" fontId="39" fillId="0" borderId="12" xfId="62" applyNumberFormat="1" applyFont="1" applyBorder="1" applyProtection="1">
      <protection locked="0"/>
    </xf>
    <xf numFmtId="4" fontId="39" fillId="0" borderId="17" xfId="62" applyNumberFormat="1" applyFont="1" applyBorder="1" applyProtection="1">
      <protection locked="0"/>
    </xf>
    <xf numFmtId="4" fontId="39" fillId="6" borderId="17" xfId="62" applyNumberFormat="1" applyFont="1" applyFill="1" applyBorder="1" applyAlignment="1" applyProtection="1">
      <alignment horizontal="center"/>
      <protection locked="0"/>
    </xf>
    <xf numFmtId="4" fontId="39" fillId="0" borderId="0" xfId="0" applyNumberFormat="1" applyFont="1"/>
    <xf numFmtId="0" fontId="39" fillId="0" borderId="8" xfId="0" applyFont="1" applyBorder="1"/>
    <xf numFmtId="203" fontId="39" fillId="0" borderId="0" xfId="65" applyNumberFormat="1" applyFont="1"/>
    <xf numFmtId="0" fontId="39" fillId="0" borderId="16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vertical="center"/>
    </xf>
    <xf numFmtId="0" fontId="39" fillId="0" borderId="24" xfId="0" applyFont="1" applyFill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39" fillId="9" borderId="17" xfId="0" applyFont="1" applyFill="1" applyBorder="1" applyAlignment="1">
      <alignment vertical="center"/>
    </xf>
    <xf numFmtId="2" fontId="39" fillId="9" borderId="17" xfId="0" applyNumberFormat="1" applyFont="1" applyFill="1" applyBorder="1" applyAlignment="1">
      <alignment vertical="center"/>
    </xf>
    <xf numFmtId="0" fontId="46" fillId="0" borderId="24" xfId="0" applyFont="1" applyBorder="1" applyAlignment="1">
      <alignment horizontal="left" vertical="center" indent="1"/>
    </xf>
    <xf numFmtId="0" fontId="46" fillId="0" borderId="24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3" fillId="9" borderId="12" xfId="0" applyFont="1" applyFill="1" applyBorder="1" applyAlignment="1">
      <alignment horizontal="center" vertical="center"/>
    </xf>
    <xf numFmtId="0" fontId="43" fillId="9" borderId="17" xfId="0" applyFont="1" applyFill="1" applyBorder="1" applyAlignment="1">
      <alignment vertical="center"/>
    </xf>
    <xf numFmtId="0" fontId="43" fillId="9" borderId="31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5" xfId="0" applyFont="1" applyBorder="1" applyAlignment="1">
      <alignment vertical="center"/>
    </xf>
    <xf numFmtId="0" fontId="43" fillId="0" borderId="45" xfId="0" applyFont="1" applyBorder="1" applyAlignment="1">
      <alignment horizontal="center" vertical="center"/>
    </xf>
    <xf numFmtId="0" fontId="39" fillId="9" borderId="17" xfId="0" applyFont="1" applyFill="1" applyBorder="1"/>
    <xf numFmtId="168" fontId="39" fillId="0" borderId="17" xfId="10" applyNumberFormat="1" applyFont="1" applyFill="1" applyBorder="1"/>
    <xf numFmtId="10" fontId="39" fillId="0" borderId="17" xfId="0" applyNumberFormat="1" applyFont="1" applyBorder="1"/>
    <xf numFmtId="16" fontId="39" fillId="0" borderId="0" xfId="0" applyNumberFormat="1" applyFont="1"/>
    <xf numFmtId="10" fontId="39" fillId="0" borderId="17" xfId="65" applyNumberFormat="1" applyFont="1" applyFill="1" applyBorder="1"/>
    <xf numFmtId="171" fontId="39" fillId="0" borderId="0" xfId="65" applyNumberFormat="1" applyFont="1" applyAlignment="1">
      <alignment horizontal="center"/>
    </xf>
    <xf numFmtId="0" fontId="43" fillId="9" borderId="35" xfId="0" applyFont="1" applyFill="1" applyBorder="1" applyAlignment="1">
      <alignment horizontal="right" vertical="center" wrapText="1"/>
    </xf>
    <xf numFmtId="0" fontId="39" fillId="9" borderId="31" xfId="0" applyFont="1" applyFill="1" applyBorder="1" applyAlignment="1">
      <alignment horizontal="right" vertical="center" wrapText="1"/>
    </xf>
    <xf numFmtId="0" fontId="39" fillId="9" borderId="35" xfId="0" applyFont="1" applyFill="1" applyBorder="1" applyAlignment="1">
      <alignment horizontal="right" vertical="center" wrapText="1"/>
    </xf>
    <xf numFmtId="0" fontId="39" fillId="9" borderId="32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9" fillId="0" borderId="57" xfId="0" applyFont="1" applyBorder="1"/>
    <xf numFmtId="176" fontId="39" fillId="0" borderId="58" xfId="0" applyNumberFormat="1" applyFont="1" applyBorder="1"/>
    <xf numFmtId="171" fontId="39" fillId="0" borderId="24" xfId="65" applyNumberFormat="1" applyFont="1" applyBorder="1"/>
    <xf numFmtId="169" fontId="39" fillId="0" borderId="6" xfId="10" applyNumberFormat="1" applyFont="1" applyBorder="1"/>
    <xf numFmtId="169" fontId="39" fillId="0" borderId="58" xfId="10" applyNumberFormat="1" applyFont="1" applyBorder="1"/>
    <xf numFmtId="1" fontId="39" fillId="0" borderId="6" xfId="0" applyNumberFormat="1" applyFont="1" applyBorder="1"/>
    <xf numFmtId="1" fontId="39" fillId="0" borderId="0" xfId="0" applyNumberFormat="1" applyFont="1" applyBorder="1"/>
    <xf numFmtId="176" fontId="39" fillId="0" borderId="59" xfId="0" applyNumberFormat="1" applyFont="1" applyBorder="1"/>
    <xf numFmtId="171" fontId="39" fillId="0" borderId="0" xfId="65" applyNumberFormat="1" applyFont="1" applyFill="1" applyBorder="1"/>
    <xf numFmtId="169" fontId="39" fillId="0" borderId="59" xfId="10" applyNumberFormat="1" applyFont="1" applyBorder="1"/>
    <xf numFmtId="0" fontId="39" fillId="0" borderId="59" xfId="0" applyFont="1" applyBorder="1"/>
    <xf numFmtId="0" fontId="39" fillId="0" borderId="6" xfId="0" applyFont="1" applyFill="1" applyBorder="1"/>
    <xf numFmtId="176" fontId="39" fillId="9" borderId="35" xfId="0" applyNumberFormat="1" applyFont="1" applyFill="1" applyBorder="1"/>
    <xf numFmtId="9" fontId="39" fillId="9" borderId="17" xfId="0" applyNumberFormat="1" applyFont="1" applyFill="1" applyBorder="1"/>
    <xf numFmtId="176" fontId="39" fillId="9" borderId="31" xfId="0" applyNumberFormat="1" applyFont="1" applyFill="1" applyBorder="1"/>
    <xf numFmtId="176" fontId="39" fillId="9" borderId="32" xfId="0" applyNumberFormat="1" applyFont="1" applyFill="1" applyBorder="1"/>
    <xf numFmtId="9" fontId="39" fillId="0" borderId="0" xfId="0" applyNumberFormat="1" applyFont="1" applyFill="1" applyBorder="1"/>
    <xf numFmtId="169" fontId="43" fillId="0" borderId="0" xfId="10" applyNumberFormat="1" applyFont="1" applyAlignment="1">
      <alignment horizontal="right"/>
    </xf>
    <xf numFmtId="169" fontId="43" fillId="0" borderId="0" xfId="10" applyNumberFormat="1" applyFont="1"/>
    <xf numFmtId="3" fontId="43" fillId="0" borderId="0" xfId="10" applyNumberFormat="1" applyFont="1"/>
    <xf numFmtId="0" fontId="39" fillId="0" borderId="0" xfId="0" applyFont="1" applyFill="1" applyBorder="1" applyAlignment="1">
      <alignment horizontal="center" vertical="center" wrapText="1"/>
    </xf>
    <xf numFmtId="0" fontId="43" fillId="9" borderId="35" xfId="0" applyFont="1" applyFill="1" applyBorder="1" applyAlignment="1">
      <alignment horizontal="center" vertical="center" wrapText="1"/>
    </xf>
    <xf numFmtId="0" fontId="44" fillId="4" borderId="31" xfId="0" applyFont="1" applyFill="1" applyBorder="1"/>
    <xf numFmtId="37" fontId="39" fillId="0" borderId="24" xfId="10" applyNumberFormat="1" applyFont="1" applyBorder="1"/>
    <xf numFmtId="37" fontId="39" fillId="0" borderId="11" xfId="10" applyNumberFormat="1" applyFont="1" applyBorder="1"/>
    <xf numFmtId="37" fontId="39" fillId="0" borderId="24" xfId="0" applyNumberFormat="1" applyFont="1" applyFill="1" applyBorder="1"/>
    <xf numFmtId="37" fontId="39" fillId="0" borderId="24" xfId="0" applyNumberFormat="1" applyFont="1" applyBorder="1"/>
    <xf numFmtId="37" fontId="44" fillId="4" borderId="17" xfId="0" applyNumberFormat="1" applyFont="1" applyFill="1" applyBorder="1"/>
    <xf numFmtId="168" fontId="39" fillId="0" borderId="24" xfId="10" applyFont="1" applyBorder="1"/>
    <xf numFmtId="174" fontId="43" fillId="0" borderId="0" xfId="0" applyNumberFormat="1" applyFont="1" applyAlignment="1">
      <alignment horizontal="left"/>
    </xf>
    <xf numFmtId="174" fontId="43" fillId="0" borderId="0" xfId="0" applyNumberFormat="1" applyFont="1" applyAlignment="1">
      <alignment horizontal="right"/>
    </xf>
    <xf numFmtId="0" fontId="47" fillId="0" borderId="0" xfId="0" applyFont="1"/>
    <xf numFmtId="169" fontId="47" fillId="0" borderId="0" xfId="0" applyNumberFormat="1" applyFont="1" applyAlignment="1">
      <alignment horizontal="right"/>
    </xf>
    <xf numFmtId="38" fontId="39" fillId="6" borderId="11" xfId="0" quotePrefix="1" applyNumberFormat="1" applyFont="1" applyFill="1" applyBorder="1" applyAlignment="1">
      <alignment horizontal="right" vertical="center"/>
    </xf>
    <xf numFmtId="0" fontId="44" fillId="4" borderId="14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vertical="center"/>
    </xf>
    <xf numFmtId="0" fontId="39" fillId="0" borderId="17" xfId="0" applyFont="1" applyFill="1" applyBorder="1" applyAlignment="1">
      <alignment vertical="center"/>
    </xf>
    <xf numFmtId="38" fontId="39" fillId="6" borderId="17" xfId="0" quotePrefix="1" applyNumberFormat="1" applyFont="1" applyFill="1" applyBorder="1" applyAlignment="1">
      <alignment horizontal="right" vertical="center"/>
    </xf>
    <xf numFmtId="209" fontId="39" fillId="6" borderId="18" xfId="0" applyNumberFormat="1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left"/>
    </xf>
    <xf numFmtId="10" fontId="39" fillId="0" borderId="0" xfId="0" applyNumberFormat="1" applyFont="1" applyFill="1" applyBorder="1" applyAlignment="1">
      <alignment horizontal="left" vertical="center"/>
    </xf>
    <xf numFmtId="171" fontId="39" fillId="0" borderId="57" xfId="65" applyNumberFormat="1" applyFont="1" applyFill="1" applyBorder="1" applyAlignment="1">
      <alignment vertical="center"/>
    </xf>
    <xf numFmtId="171" fontId="39" fillId="0" borderId="3" xfId="65" applyNumberFormat="1" applyFont="1" applyFill="1" applyBorder="1" applyAlignment="1">
      <alignment vertical="center"/>
    </xf>
    <xf numFmtId="171" fontId="39" fillId="0" borderId="58" xfId="65" applyNumberFormat="1" applyFont="1" applyFill="1" applyBorder="1" applyAlignment="1">
      <alignment vertical="center"/>
    </xf>
    <xf numFmtId="171" fontId="39" fillId="0" borderId="33" xfId="65" applyNumberFormat="1" applyFont="1" applyFill="1" applyBorder="1" applyAlignment="1">
      <alignment vertical="center"/>
    </xf>
    <xf numFmtId="171" fontId="39" fillId="0" borderId="1" xfId="65" applyNumberFormat="1" applyFont="1" applyFill="1" applyBorder="1" applyAlignment="1">
      <alignment vertical="center"/>
    </xf>
    <xf numFmtId="171" fontId="39" fillId="0" borderId="60" xfId="65" applyNumberFormat="1" applyFont="1" applyFill="1" applyBorder="1" applyAlignment="1">
      <alignment vertical="center"/>
    </xf>
    <xf numFmtId="210" fontId="39" fillId="0" borderId="0" xfId="0" applyNumberFormat="1" applyFont="1" applyFill="1" applyBorder="1" applyAlignment="1">
      <alignment horizontal="left" vertical="center"/>
    </xf>
    <xf numFmtId="3" fontId="43" fillId="0" borderId="19" xfId="62" applyNumberFormat="1" applyFont="1" applyFill="1" applyBorder="1" applyAlignment="1" applyProtection="1">
      <alignment horizontal="left"/>
      <protection locked="0"/>
    </xf>
    <xf numFmtId="9" fontId="43" fillId="0" borderId="0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39" fillId="9" borderId="50" xfId="0" applyFont="1" applyFill="1" applyBorder="1"/>
    <xf numFmtId="0" fontId="43" fillId="9" borderId="53" xfId="0" applyFont="1" applyFill="1" applyBorder="1" applyAlignment="1">
      <alignment horizontal="center"/>
    </xf>
    <xf numFmtId="0" fontId="43" fillId="0" borderId="0" xfId="0" applyFont="1" applyFill="1"/>
    <xf numFmtId="0" fontId="39" fillId="0" borderId="0" xfId="0" applyFont="1" applyFill="1" applyAlignment="1">
      <alignment horizontal="center"/>
    </xf>
    <xf numFmtId="2" fontId="39" fillId="0" borderId="0" xfId="0" applyNumberFormat="1" applyFont="1"/>
    <xf numFmtId="37" fontId="39" fillId="0" borderId="24" xfId="10" applyNumberFormat="1" applyFont="1" applyFill="1" applyBorder="1"/>
    <xf numFmtId="176" fontId="39" fillId="0" borderId="0" xfId="0" applyNumberFormat="1" applyFont="1"/>
    <xf numFmtId="38" fontId="39" fillId="0" borderId="0" xfId="0" applyNumberFormat="1" applyFont="1"/>
    <xf numFmtId="10" fontId="44" fillId="4" borderId="30" xfId="65" applyNumberFormat="1" applyFont="1" applyFill="1" applyBorder="1" applyAlignment="1">
      <alignment horizontal="center" vertical="center"/>
    </xf>
    <xf numFmtId="10" fontId="43" fillId="0" borderId="14" xfId="65" applyNumberFormat="1" applyFont="1" applyFill="1" applyBorder="1" applyAlignment="1">
      <alignment horizontal="center" vertical="center"/>
    </xf>
    <xf numFmtId="10" fontId="43" fillId="0" borderId="61" xfId="65" applyNumberFormat="1" applyFont="1" applyFill="1" applyBorder="1" applyAlignment="1">
      <alignment horizontal="center" vertical="center"/>
    </xf>
    <xf numFmtId="203" fontId="48" fillId="8" borderId="17" xfId="0" applyNumberFormat="1" applyFont="1" applyFill="1" applyBorder="1" applyAlignment="1">
      <alignment horizontal="center" vertical="center"/>
    </xf>
    <xf numFmtId="173" fontId="39" fillId="0" borderId="0" xfId="0" applyNumberFormat="1" applyFont="1"/>
    <xf numFmtId="17" fontId="39" fillId="0" borderId="0" xfId="0" applyNumberFormat="1" applyFont="1"/>
    <xf numFmtId="211" fontId="39" fillId="0" borderId="0" xfId="0" applyNumberFormat="1" applyFont="1"/>
    <xf numFmtId="212" fontId="39" fillId="0" borderId="17" xfId="10" applyNumberFormat="1" applyFont="1" applyFill="1" applyBorder="1"/>
    <xf numFmtId="215" fontId="39" fillId="0" borderId="0" xfId="0" applyNumberFormat="1" applyFont="1"/>
    <xf numFmtId="2" fontId="39" fillId="0" borderId="0" xfId="0" applyNumberFormat="1" applyFont="1" applyAlignment="1">
      <alignment vertical="center"/>
    </xf>
    <xf numFmtId="4" fontId="39" fillId="0" borderId="0" xfId="0" applyNumberFormat="1" applyFont="1" applyAlignment="1">
      <alignment vertical="center"/>
    </xf>
    <xf numFmtId="213" fontId="39" fillId="0" borderId="0" xfId="0" applyNumberFormat="1" applyFont="1" applyAlignment="1">
      <alignment vertical="center"/>
    </xf>
    <xf numFmtId="0" fontId="39" fillId="0" borderId="35" xfId="0" applyFont="1" applyBorder="1" applyAlignment="1">
      <alignment vertical="center"/>
    </xf>
    <xf numFmtId="4" fontId="39" fillId="0" borderId="35" xfId="0" applyNumberFormat="1" applyFont="1" applyBorder="1" applyAlignment="1">
      <alignment vertical="center"/>
    </xf>
    <xf numFmtId="214" fontId="39" fillId="0" borderId="0" xfId="0" applyNumberFormat="1" applyFont="1" applyAlignment="1">
      <alignment vertical="center"/>
    </xf>
    <xf numFmtId="205" fontId="39" fillId="0" borderId="0" xfId="0" applyNumberFormat="1" applyFont="1" applyAlignment="1">
      <alignment vertical="center"/>
    </xf>
    <xf numFmtId="0" fontId="39" fillId="6" borderId="0" xfId="0" applyFont="1" applyFill="1" applyBorder="1" applyAlignment="1">
      <alignment horizontal="left" vertical="center" wrapText="1"/>
    </xf>
    <xf numFmtId="38" fontId="39" fillId="6" borderId="0" xfId="0" applyNumberFormat="1" applyFont="1" applyFill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3" fontId="39" fillId="0" borderId="35" xfId="0" applyNumberFormat="1" applyFont="1" applyBorder="1" applyAlignment="1">
      <alignment vertical="center"/>
    </xf>
    <xf numFmtId="0" fontId="49" fillId="10" borderId="57" xfId="0" applyFont="1" applyFill="1" applyBorder="1"/>
    <xf numFmtId="0" fontId="49" fillId="10" borderId="3" xfId="0" applyFont="1" applyFill="1" applyBorder="1" applyAlignment="1">
      <alignment horizontal="center"/>
    </xf>
    <xf numFmtId="0" fontId="49" fillId="10" borderId="33" xfId="0" applyFont="1" applyFill="1" applyBorder="1"/>
    <xf numFmtId="0" fontId="49" fillId="10" borderId="1" xfId="0" applyFont="1" applyFill="1" applyBorder="1" applyAlignment="1">
      <alignment horizontal="center"/>
    </xf>
    <xf numFmtId="169" fontId="39" fillId="0" borderId="0" xfId="10" applyNumberFormat="1" applyFont="1" applyAlignment="1">
      <alignment horizontal="center"/>
    </xf>
    <xf numFmtId="0" fontId="49" fillId="10" borderId="31" xfId="0" applyFont="1" applyFill="1" applyBorder="1"/>
    <xf numFmtId="169" fontId="49" fillId="10" borderId="35" xfId="10" applyNumberFormat="1" applyFont="1" applyFill="1" applyBorder="1" applyAlignment="1">
      <alignment horizontal="center"/>
    </xf>
    <xf numFmtId="37" fontId="39" fillId="12" borderId="24" xfId="10" applyNumberFormat="1" applyFont="1" applyFill="1" applyBorder="1"/>
    <xf numFmtId="37" fontId="39" fillId="0" borderId="0" xfId="0" applyNumberFormat="1" applyFont="1"/>
    <xf numFmtId="0" fontId="39" fillId="0" borderId="0" xfId="61" applyFont="1"/>
    <xf numFmtId="0" fontId="43" fillId="0" borderId="0" xfId="61" applyFont="1" applyAlignment="1">
      <alignment horizontal="center"/>
    </xf>
    <xf numFmtId="0" fontId="43" fillId="0" borderId="0" xfId="61" applyFont="1"/>
    <xf numFmtId="168" fontId="48" fillId="0" borderId="0" xfId="18" applyNumberFormat="1" applyFont="1" applyAlignment="1">
      <alignment horizontal="left"/>
    </xf>
    <xf numFmtId="0" fontId="44" fillId="4" borderId="36" xfId="61" applyFont="1" applyFill="1" applyBorder="1" applyAlignment="1">
      <alignment horizontal="center"/>
    </xf>
    <xf numFmtId="0" fontId="44" fillId="4" borderId="37" xfId="61" applyFont="1" applyFill="1" applyBorder="1" applyAlignment="1">
      <alignment horizontal="center"/>
    </xf>
    <xf numFmtId="0" fontId="44" fillId="4" borderId="38" xfId="61" applyFont="1" applyFill="1" applyBorder="1" applyAlignment="1">
      <alignment horizontal="center"/>
    </xf>
    <xf numFmtId="0" fontId="39" fillId="0" borderId="12" xfId="61" applyFont="1" applyBorder="1"/>
    <xf numFmtId="3" fontId="39" fillId="0" borderId="17" xfId="61" applyNumberFormat="1" applyFont="1" applyBorder="1" applyAlignment="1">
      <alignment horizontal="center"/>
    </xf>
    <xf numFmtId="3" fontId="39" fillId="0" borderId="47" xfId="61" applyNumberFormat="1" applyFont="1" applyBorder="1" applyAlignment="1">
      <alignment horizontal="center"/>
    </xf>
    <xf numFmtId="3" fontId="39" fillId="0" borderId="0" xfId="61" applyNumberFormat="1" applyFont="1" applyAlignment="1">
      <alignment horizontal="center"/>
    </xf>
    <xf numFmtId="3" fontId="39" fillId="0" borderId="0" xfId="61" applyNumberFormat="1" applyFont="1"/>
    <xf numFmtId="3" fontId="39" fillId="0" borderId="17" xfId="61" applyNumberFormat="1" applyFont="1" applyFill="1" applyBorder="1" applyAlignment="1">
      <alignment horizontal="center"/>
    </xf>
    <xf numFmtId="216" fontId="39" fillId="0" borderId="0" xfId="61" applyNumberFormat="1" applyFont="1"/>
    <xf numFmtId="0" fontId="44" fillId="4" borderId="13" xfId="61" applyFont="1" applyFill="1" applyBorder="1"/>
    <xf numFmtId="3" fontId="44" fillId="4" borderId="14" xfId="61" applyNumberFormat="1" applyFont="1" applyFill="1" applyBorder="1" applyAlignment="1">
      <alignment horizontal="center"/>
    </xf>
    <xf numFmtId="3" fontId="44" fillId="4" borderId="61" xfId="61" applyNumberFormat="1" applyFont="1" applyFill="1" applyBorder="1" applyAlignment="1">
      <alignment horizontal="center"/>
    </xf>
    <xf numFmtId="168" fontId="39" fillId="0" borderId="0" xfId="18" applyFont="1"/>
    <xf numFmtId="3" fontId="39" fillId="0" borderId="0" xfId="61" applyNumberFormat="1" applyFont="1" applyBorder="1" applyAlignment="1">
      <alignment horizontal="center"/>
    </xf>
    <xf numFmtId="171" fontId="39" fillId="0" borderId="0" xfId="61" applyNumberFormat="1" applyFont="1"/>
    <xf numFmtId="171" fontId="52" fillId="0" borderId="0" xfId="69" applyNumberFormat="1" applyFont="1" applyAlignment="1">
      <alignment horizontal="center"/>
    </xf>
    <xf numFmtId="0" fontId="43" fillId="9" borderId="17" xfId="61" applyFont="1" applyFill="1" applyBorder="1"/>
    <xf numFmtId="171" fontId="43" fillId="9" borderId="17" xfId="61" applyNumberFormat="1" applyFont="1" applyFill="1" applyBorder="1"/>
    <xf numFmtId="171" fontId="43" fillId="9" borderId="17" xfId="61" applyNumberFormat="1" applyFont="1" applyFill="1" applyBorder="1" applyAlignment="1">
      <alignment horizontal="center"/>
    </xf>
    <xf numFmtId="0" fontId="39" fillId="0" borderId="17" xfId="61" applyFont="1" applyBorder="1"/>
    <xf numFmtId="170" fontId="39" fillId="0" borderId="17" xfId="69" applyNumberFormat="1" applyFont="1" applyBorder="1" applyAlignment="1">
      <alignment horizontal="center"/>
    </xf>
    <xf numFmtId="10" fontId="39" fillId="0" borderId="0" xfId="61" applyNumberFormat="1" applyFont="1"/>
    <xf numFmtId="171" fontId="39" fillId="0" borderId="17" xfId="69" applyNumberFormat="1" applyFont="1" applyBorder="1" applyAlignment="1">
      <alignment horizontal="center"/>
    </xf>
    <xf numFmtId="0" fontId="44" fillId="4" borderId="17" xfId="61" applyFont="1" applyFill="1" applyBorder="1"/>
    <xf numFmtId="0" fontId="43" fillId="0" borderId="17" xfId="61" applyFont="1" applyBorder="1"/>
    <xf numFmtId="3" fontId="43" fillId="0" borderId="17" xfId="61" applyNumberFormat="1" applyFont="1" applyBorder="1" applyAlignment="1">
      <alignment horizontal="center"/>
    </xf>
    <xf numFmtId="3" fontId="43" fillId="0" borderId="17" xfId="61" applyNumberFormat="1" applyFont="1" applyFill="1" applyBorder="1" applyAlignment="1">
      <alignment horizontal="center"/>
    </xf>
    <xf numFmtId="9" fontId="39" fillId="0" borderId="47" xfId="69" applyFont="1" applyBorder="1" applyAlignment="1">
      <alignment horizontal="center"/>
    </xf>
    <xf numFmtId="3" fontId="39" fillId="0" borderId="17" xfId="61" applyNumberFormat="1" applyFont="1" applyBorder="1" applyAlignment="1">
      <alignment horizontal="right"/>
    </xf>
    <xf numFmtId="207" fontId="39" fillId="0" borderId="0" xfId="69" applyNumberFormat="1" applyFont="1"/>
    <xf numFmtId="10" fontId="39" fillId="0" borderId="47" xfId="69" applyNumberFormat="1" applyFont="1" applyBorder="1" applyAlignment="1">
      <alignment horizontal="center"/>
    </xf>
    <xf numFmtId="0" fontId="39" fillId="0" borderId="13" xfId="61" applyFont="1" applyBorder="1"/>
    <xf numFmtId="10" fontId="39" fillId="0" borderId="61" xfId="69" applyNumberFormat="1" applyFont="1" applyBorder="1" applyAlignment="1">
      <alignment horizontal="center"/>
    </xf>
    <xf numFmtId="3" fontId="43" fillId="0" borderId="0" xfId="61" applyNumberFormat="1" applyFont="1" applyFill="1" applyBorder="1" applyAlignment="1">
      <alignment horizontal="center"/>
    </xf>
    <xf numFmtId="0" fontId="25" fillId="0" borderId="0" xfId="61"/>
    <xf numFmtId="0" fontId="39" fillId="0" borderId="0" xfId="61" applyFont="1" applyFill="1" applyBorder="1"/>
    <xf numFmtId="1" fontId="25" fillId="0" borderId="0" xfId="61" applyNumberFormat="1"/>
    <xf numFmtId="2" fontId="25" fillId="0" borderId="0" xfId="61" applyNumberFormat="1"/>
    <xf numFmtId="170" fontId="25" fillId="0" borderId="0" xfId="61" applyNumberFormat="1"/>
    <xf numFmtId="3" fontId="25" fillId="0" borderId="0" xfId="61" applyNumberFormat="1"/>
    <xf numFmtId="0" fontId="39" fillId="11" borderId="0" xfId="61" applyFont="1" applyFill="1" applyBorder="1"/>
    <xf numFmtId="3" fontId="25" fillId="11" borderId="0" xfId="61" applyNumberFormat="1" applyFill="1"/>
    <xf numFmtId="3" fontId="25" fillId="0" borderId="0" xfId="61" applyNumberFormat="1" applyFill="1"/>
    <xf numFmtId="0" fontId="51" fillId="0" borderId="0" xfId="61" applyFont="1" applyAlignment="1">
      <alignment horizontal="left"/>
    </xf>
    <xf numFmtId="0" fontId="43" fillId="0" borderId="0" xfId="61" applyFont="1" applyAlignment="1">
      <alignment horizontal="left"/>
    </xf>
    <xf numFmtId="10" fontId="43" fillId="0" borderId="0" xfId="61" applyNumberFormat="1" applyFont="1" applyAlignment="1">
      <alignment horizontal="left"/>
    </xf>
    <xf numFmtId="3" fontId="43" fillId="0" borderId="0" xfId="61" applyNumberFormat="1" applyFont="1" applyAlignment="1">
      <alignment horizontal="left"/>
    </xf>
    <xf numFmtId="0" fontId="39" fillId="0" borderId="0" xfId="61" applyFont="1" applyAlignment="1">
      <alignment horizontal="right"/>
    </xf>
    <xf numFmtId="0" fontId="43" fillId="9" borderId="0" xfId="61" applyFont="1" applyFill="1"/>
    <xf numFmtId="0" fontId="25" fillId="0" borderId="0" xfId="61" applyFont="1"/>
    <xf numFmtId="0" fontId="39" fillId="0" borderId="0" xfId="61" applyFont="1" applyAlignment="1">
      <alignment horizontal="center"/>
    </xf>
    <xf numFmtId="0" fontId="39" fillId="9" borderId="0" xfId="61" applyFont="1" applyFill="1"/>
    <xf numFmtId="218" fontId="39" fillId="0" borderId="0" xfId="61" applyNumberFormat="1" applyFont="1"/>
    <xf numFmtId="0" fontId="44" fillId="4" borderId="41" xfId="61" applyFont="1" applyFill="1" applyBorder="1" applyAlignment="1">
      <alignment horizontal="center"/>
    </xf>
    <xf numFmtId="0" fontId="44" fillId="4" borderId="62" xfId="61" applyFont="1" applyFill="1" applyBorder="1" applyAlignment="1">
      <alignment horizontal="center"/>
    </xf>
    <xf numFmtId="0" fontId="44" fillId="4" borderId="18" xfId="61" applyFont="1" applyFill="1" applyBorder="1" applyAlignment="1">
      <alignment horizontal="center"/>
    </xf>
    <xf numFmtId="0" fontId="43" fillId="5" borderId="18" xfId="61" applyFont="1" applyFill="1" applyBorder="1" applyAlignment="1">
      <alignment horizontal="center"/>
    </xf>
    <xf numFmtId="0" fontId="39" fillId="9" borderId="17" xfId="61" applyFont="1" applyFill="1" applyBorder="1" applyAlignment="1">
      <alignment horizontal="center" vertical="center"/>
    </xf>
    <xf numFmtId="0" fontId="43" fillId="9" borderId="17" xfId="61" applyFont="1" applyFill="1" applyBorder="1" applyAlignment="1">
      <alignment horizontal="center" vertical="center"/>
    </xf>
    <xf numFmtId="0" fontId="43" fillId="5" borderId="17" xfId="61" applyFont="1" applyFill="1" applyBorder="1" applyAlignment="1">
      <alignment horizontal="center" vertical="center"/>
    </xf>
    <xf numFmtId="0" fontId="53" fillId="0" borderId="0" xfId="61" applyFont="1"/>
    <xf numFmtId="0" fontId="39" fillId="0" borderId="48" xfId="61" applyFont="1" applyFill="1" applyBorder="1" applyAlignment="1">
      <alignment horizontal="left"/>
    </xf>
    <xf numFmtId="0" fontId="39" fillId="0" borderId="35" xfId="61" applyFont="1" applyFill="1" applyBorder="1" applyAlignment="1">
      <alignment horizontal="left"/>
    </xf>
    <xf numFmtId="172" fontId="39" fillId="6" borderId="17" xfId="18" applyNumberFormat="1" applyFont="1" applyFill="1" applyBorder="1" applyAlignment="1">
      <alignment horizontal="right"/>
    </xf>
    <xf numFmtId="0" fontId="39" fillId="0" borderId="6" xfId="61" applyFont="1" applyBorder="1" applyAlignment="1">
      <alignment horizontal="center" vertical="center"/>
    </xf>
    <xf numFmtId="0" fontId="39" fillId="0" borderId="17" xfId="61" applyFont="1" applyFill="1" applyBorder="1" applyAlignment="1">
      <alignment horizontal="left"/>
    </xf>
    <xf numFmtId="2" fontId="39" fillId="0" borderId="17" xfId="69" applyNumberFormat="1" applyFont="1" applyBorder="1" applyAlignment="1">
      <alignment horizontal="center"/>
    </xf>
    <xf numFmtId="211" fontId="39" fillId="0" borderId="17" xfId="69" applyNumberFormat="1" applyFont="1" applyBorder="1" applyAlignment="1">
      <alignment horizontal="center"/>
    </xf>
    <xf numFmtId="3" fontId="39" fillId="0" borderId="17" xfId="69" applyNumberFormat="1" applyFont="1" applyBorder="1" applyAlignment="1">
      <alignment horizontal="center"/>
    </xf>
    <xf numFmtId="37" fontId="39" fillId="0" borderId="0" xfId="61" applyNumberFormat="1" applyFont="1"/>
    <xf numFmtId="0" fontId="44" fillId="4" borderId="28" xfId="61" applyFont="1" applyFill="1" applyBorder="1" applyAlignment="1">
      <alignment horizontal="left"/>
    </xf>
    <xf numFmtId="0" fontId="49" fillId="4" borderId="29" xfId="61" applyFont="1" applyFill="1" applyBorder="1" applyAlignment="1">
      <alignment horizontal="left"/>
    </xf>
    <xf numFmtId="172" fontId="44" fillId="4" borderId="2" xfId="61" applyNumberFormat="1" applyFont="1" applyFill="1" applyBorder="1" applyAlignment="1">
      <alignment horizontal="right"/>
    </xf>
    <xf numFmtId="0" fontId="39" fillId="0" borderId="0" xfId="61" applyFont="1" applyAlignment="1">
      <alignment horizontal="left"/>
    </xf>
    <xf numFmtId="0" fontId="43" fillId="5" borderId="37" xfId="61" applyFont="1" applyFill="1" applyBorder="1" applyAlignment="1">
      <alignment horizontal="center"/>
    </xf>
    <xf numFmtId="3" fontId="25" fillId="0" borderId="0" xfId="61" applyNumberFormat="1" applyFont="1"/>
    <xf numFmtId="2" fontId="39" fillId="0" borderId="17" xfId="61" applyNumberFormat="1" applyFont="1" applyBorder="1" applyAlignment="1">
      <alignment horizontal="right"/>
    </xf>
    <xf numFmtId="171" fontId="39" fillId="0" borderId="0" xfId="61" applyNumberFormat="1" applyFont="1" applyAlignment="1">
      <alignment horizontal="right"/>
    </xf>
    <xf numFmtId="171" fontId="39" fillId="0" borderId="17" xfId="69" applyNumberFormat="1" applyFont="1" applyFill="1" applyBorder="1" applyAlignment="1" applyProtection="1">
      <alignment horizontal="right"/>
      <protection locked="0"/>
    </xf>
    <xf numFmtId="175" fontId="39" fillId="0" borderId="32" xfId="61" applyNumberFormat="1" applyFont="1" applyFill="1" applyBorder="1" applyAlignment="1">
      <alignment horizontal="right"/>
    </xf>
    <xf numFmtId="0" fontId="43" fillId="0" borderId="0" xfId="61" applyFont="1" applyAlignment="1">
      <alignment horizontal="right"/>
    </xf>
    <xf numFmtId="0" fontId="39" fillId="0" borderId="28" xfId="61" applyFont="1" applyFill="1" applyBorder="1" applyAlignment="1">
      <alignment horizontal="left"/>
    </xf>
    <xf numFmtId="175" fontId="39" fillId="0" borderId="63" xfId="61" applyNumberFormat="1" applyFont="1" applyFill="1" applyBorder="1" applyAlignment="1">
      <alignment horizontal="right"/>
    </xf>
    <xf numFmtId="10" fontId="39" fillId="0" borderId="0" xfId="61" applyNumberFormat="1" applyFont="1" applyAlignment="1">
      <alignment horizontal="right"/>
    </xf>
    <xf numFmtId="219" fontId="39" fillId="0" borderId="0" xfId="18" applyNumberFormat="1" applyFont="1" applyAlignment="1">
      <alignment horizontal="right"/>
    </xf>
    <xf numFmtId="168" fontId="39" fillId="0" borderId="0" xfId="18" applyFont="1" applyAlignment="1">
      <alignment horizontal="right"/>
    </xf>
    <xf numFmtId="171" fontId="48" fillId="0" borderId="0" xfId="69" applyNumberFormat="1" applyFont="1" applyAlignment="1">
      <alignment horizontal="right"/>
    </xf>
    <xf numFmtId="170" fontId="48" fillId="0" borderId="0" xfId="69" applyNumberFormat="1" applyFont="1" applyAlignment="1">
      <alignment horizontal="right"/>
    </xf>
    <xf numFmtId="2" fontId="39" fillId="6" borderId="37" xfId="61" applyNumberFormat="1" applyFont="1" applyFill="1" applyBorder="1" applyAlignment="1">
      <alignment horizontal="right"/>
    </xf>
    <xf numFmtId="220" fontId="39" fillId="0" borderId="0" xfId="61" applyNumberFormat="1" applyFont="1" applyAlignment="1">
      <alignment horizontal="right"/>
    </xf>
    <xf numFmtId="2" fontId="39" fillId="0" borderId="0" xfId="61" applyNumberFormat="1" applyFont="1" applyAlignment="1">
      <alignment horizontal="right"/>
    </xf>
    <xf numFmtId="3" fontId="39" fillId="6" borderId="34" xfId="18" applyNumberFormat="1" applyFont="1" applyFill="1" applyBorder="1" applyAlignment="1">
      <alignment horizontal="right"/>
    </xf>
    <xf numFmtId="3" fontId="39" fillId="6" borderId="17" xfId="18" applyNumberFormat="1" applyFont="1" applyFill="1" applyBorder="1" applyAlignment="1">
      <alignment horizontal="right"/>
    </xf>
    <xf numFmtId="0" fontId="39" fillId="0" borderId="32" xfId="61" applyFont="1" applyFill="1" applyBorder="1" applyAlignment="1">
      <alignment horizontal="left"/>
    </xf>
    <xf numFmtId="0" fontId="39" fillId="0" borderId="35" xfId="61" applyFont="1" applyBorder="1"/>
    <xf numFmtId="0" fontId="39" fillId="0" borderId="32" xfId="61" applyFont="1" applyBorder="1"/>
    <xf numFmtId="217" fontId="25" fillId="0" borderId="0" xfId="61" applyNumberFormat="1" applyFont="1"/>
    <xf numFmtId="0" fontId="39" fillId="0" borderId="29" xfId="61" applyFont="1" applyBorder="1"/>
    <xf numFmtId="0" fontId="39" fillId="0" borderId="63" xfId="61" applyFont="1" applyBorder="1"/>
    <xf numFmtId="217" fontId="39" fillId="0" borderId="0" xfId="61" applyNumberFormat="1" applyFont="1"/>
    <xf numFmtId="0" fontId="39" fillId="0" borderId="0" xfId="61" applyFont="1" applyFill="1" applyAlignment="1">
      <alignment horizontal="right"/>
    </xf>
    <xf numFmtId="169" fontId="39" fillId="0" borderId="0" xfId="61" applyNumberFormat="1" applyFont="1" applyFill="1" applyAlignment="1">
      <alignment horizontal="right"/>
    </xf>
    <xf numFmtId="206" fontId="39" fillId="0" borderId="0" xfId="61" applyNumberFormat="1" applyFont="1" applyFill="1" applyAlignment="1">
      <alignment horizontal="right"/>
    </xf>
    <xf numFmtId="167" fontId="39" fillId="0" borderId="0" xfId="61" applyNumberFormat="1" applyFont="1" applyFill="1" applyAlignment="1">
      <alignment horizontal="right"/>
    </xf>
    <xf numFmtId="169" fontId="39" fillId="0" borderId="0" xfId="61" applyNumberFormat="1" applyFont="1" applyAlignment="1">
      <alignment horizontal="right"/>
    </xf>
    <xf numFmtId="206" fontId="39" fillId="0" borderId="0" xfId="61" applyNumberFormat="1" applyFont="1" applyAlignment="1">
      <alignment horizontal="right"/>
    </xf>
    <xf numFmtId="167" fontId="39" fillId="0" borderId="0" xfId="61" applyNumberFormat="1" applyFont="1" applyAlignment="1">
      <alignment horizontal="right"/>
    </xf>
    <xf numFmtId="164" fontId="39" fillId="0" borderId="0" xfId="18" applyNumberFormat="1" applyFont="1" applyFill="1" applyBorder="1" applyAlignment="1">
      <alignment horizontal="right"/>
    </xf>
    <xf numFmtId="0" fontId="39" fillId="0" borderId="0" xfId="61" applyFont="1" applyFill="1"/>
    <xf numFmtId="0" fontId="43" fillId="9" borderId="18" xfId="61" applyFont="1" applyFill="1" applyBorder="1" applyAlignment="1">
      <alignment horizontal="right"/>
    </xf>
    <xf numFmtId="0" fontId="43" fillId="5" borderId="18" xfId="61" applyFont="1" applyFill="1" applyBorder="1" applyAlignment="1">
      <alignment horizontal="right"/>
    </xf>
    <xf numFmtId="206" fontId="39" fillId="0" borderId="17" xfId="18" applyNumberFormat="1" applyFont="1" applyFill="1" applyBorder="1" applyAlignment="1">
      <alignment horizontal="center"/>
    </xf>
    <xf numFmtId="206" fontId="39" fillId="6" borderId="17" xfId="18" applyNumberFormat="1" applyFont="1" applyFill="1" applyBorder="1" applyAlignment="1">
      <alignment horizontal="center"/>
    </xf>
    <xf numFmtId="168" fontId="39" fillId="6" borderId="17" xfId="18" applyNumberFormat="1" applyFont="1" applyFill="1" applyBorder="1" applyAlignment="1">
      <alignment horizontal="center"/>
    </xf>
    <xf numFmtId="0" fontId="39" fillId="0" borderId="48" xfId="61" applyFont="1" applyFill="1" applyBorder="1"/>
    <xf numFmtId="0" fontId="39" fillId="0" borderId="35" xfId="61" applyFont="1" applyFill="1" applyBorder="1"/>
    <xf numFmtId="0" fontId="39" fillId="0" borderId="32" xfId="61" applyFont="1" applyFill="1" applyBorder="1"/>
    <xf numFmtId="164" fontId="39" fillId="0" borderId="0" xfId="61" applyNumberFormat="1" applyFont="1"/>
    <xf numFmtId="0" fontId="39" fillId="0" borderId="48" xfId="61" applyFont="1" applyBorder="1"/>
    <xf numFmtId="221" fontId="39" fillId="6" borderId="17" xfId="18" applyNumberFormat="1" applyFont="1" applyFill="1" applyBorder="1" applyAlignment="1">
      <alignment horizontal="center"/>
    </xf>
    <xf numFmtId="212" fontId="39" fillId="0" borderId="0" xfId="61" applyNumberFormat="1" applyFont="1"/>
    <xf numFmtId="168" fontId="39" fillId="0" borderId="0" xfId="61" applyNumberFormat="1" applyFont="1"/>
    <xf numFmtId="212" fontId="39" fillId="6" borderId="17" xfId="18" applyNumberFormat="1" applyFont="1" applyFill="1" applyBorder="1" applyAlignment="1">
      <alignment horizontal="center"/>
    </xf>
    <xf numFmtId="0" fontId="39" fillId="0" borderId="28" xfId="61" applyFont="1" applyFill="1" applyBorder="1"/>
    <xf numFmtId="0" fontId="39" fillId="0" borderId="29" xfId="61" applyFont="1" applyFill="1" applyBorder="1"/>
    <xf numFmtId="0" fontId="39" fillId="0" borderId="63" xfId="61" applyFont="1" applyFill="1" applyBorder="1"/>
    <xf numFmtId="0" fontId="39" fillId="0" borderId="0" xfId="61" applyFont="1" applyFill="1" applyAlignment="1">
      <alignment horizontal="left"/>
    </xf>
    <xf numFmtId="169" fontId="39" fillId="0" borderId="0" xfId="18" applyNumberFormat="1" applyFont="1" applyFill="1" applyBorder="1" applyAlignment="1">
      <alignment horizontal="right"/>
    </xf>
    <xf numFmtId="168" fontId="39" fillId="0" borderId="0" xfId="61" applyNumberFormat="1" applyFont="1" applyFill="1" applyAlignment="1">
      <alignment horizontal="right"/>
    </xf>
    <xf numFmtId="3" fontId="39" fillId="0" borderId="17" xfId="18" applyNumberFormat="1" applyFont="1" applyFill="1" applyBorder="1" applyAlignment="1">
      <alignment horizontal="right"/>
    </xf>
    <xf numFmtId="169" fontId="39" fillId="6" borderId="17" xfId="18" applyNumberFormat="1" applyFont="1" applyFill="1" applyBorder="1" applyAlignment="1">
      <alignment horizontal="right"/>
    </xf>
    <xf numFmtId="169" fontId="43" fillId="9" borderId="64" xfId="18" applyNumberFormat="1" applyFont="1" applyFill="1" applyBorder="1" applyAlignment="1">
      <alignment horizontal="right"/>
    </xf>
    <xf numFmtId="9" fontId="39" fillId="0" borderId="0" xfId="69" applyFont="1" applyFill="1" applyBorder="1" applyAlignment="1">
      <alignment horizontal="right"/>
    </xf>
    <xf numFmtId="0" fontId="39" fillId="0" borderId="31" xfId="61" applyFont="1" applyFill="1" applyBorder="1"/>
    <xf numFmtId="169" fontId="39" fillId="0" borderId="17" xfId="61" applyNumberFormat="1" applyFont="1" applyFill="1" applyBorder="1"/>
    <xf numFmtId="0" fontId="43" fillId="9" borderId="31" xfId="61" applyFont="1" applyFill="1" applyBorder="1"/>
    <xf numFmtId="0" fontId="43" fillId="9" borderId="35" xfId="61" applyFont="1" applyFill="1" applyBorder="1"/>
    <xf numFmtId="0" fontId="43" fillId="9" borderId="32" xfId="61" applyFont="1" applyFill="1" applyBorder="1"/>
    <xf numFmtId="169" fontId="43" fillId="9" borderId="17" xfId="61" applyNumberFormat="1" applyFont="1" applyFill="1" applyBorder="1"/>
    <xf numFmtId="0" fontId="48" fillId="9" borderId="31" xfId="61" applyFont="1" applyFill="1" applyBorder="1"/>
    <xf numFmtId="171" fontId="48" fillId="9" borderId="35" xfId="69" applyNumberFormat="1" applyFont="1" applyFill="1" applyBorder="1"/>
    <xf numFmtId="171" fontId="48" fillId="9" borderId="32" xfId="69" applyNumberFormat="1" applyFont="1" applyFill="1" applyBorder="1"/>
    <xf numFmtId="171" fontId="48" fillId="9" borderId="17" xfId="69" applyNumberFormat="1" applyFont="1" applyFill="1" applyBorder="1"/>
    <xf numFmtId="210" fontId="48" fillId="9" borderId="17" xfId="69" applyNumberFormat="1" applyFont="1" applyFill="1" applyBorder="1"/>
    <xf numFmtId="10" fontId="48" fillId="9" borderId="17" xfId="69" applyNumberFormat="1" applyFont="1" applyFill="1" applyBorder="1"/>
    <xf numFmtId="167" fontId="39" fillId="0" borderId="0" xfId="61" applyNumberFormat="1" applyFont="1"/>
    <xf numFmtId="0" fontId="39" fillId="0" borderId="33" xfId="61" applyFont="1" applyBorder="1"/>
    <xf numFmtId="0" fontId="39" fillId="0" borderId="1" xfId="61" applyFont="1" applyBorder="1"/>
    <xf numFmtId="0" fontId="39" fillId="0" borderId="60" xfId="61" applyFont="1" applyBorder="1"/>
    <xf numFmtId="0" fontId="39" fillId="9" borderId="31" xfId="61" applyFont="1" applyFill="1" applyBorder="1"/>
    <xf numFmtId="0" fontId="39" fillId="9" borderId="35" xfId="61" applyFont="1" applyFill="1" applyBorder="1"/>
    <xf numFmtId="0" fontId="39" fillId="9" borderId="32" xfId="61" applyFont="1" applyFill="1" applyBorder="1"/>
    <xf numFmtId="169" fontId="39" fillId="9" borderId="17" xfId="61" applyNumberFormat="1" applyFont="1" applyFill="1" applyBorder="1"/>
    <xf numFmtId="0" fontId="39" fillId="4" borderId="17" xfId="61" applyFont="1" applyFill="1" applyBorder="1"/>
    <xf numFmtId="0" fontId="44" fillId="4" borderId="17" xfId="61" applyFont="1" applyFill="1" applyBorder="1" applyAlignment="1">
      <alignment horizontal="center"/>
    </xf>
    <xf numFmtId="169" fontId="39" fillId="0" borderId="17" xfId="61" applyNumberFormat="1" applyFont="1" applyBorder="1"/>
    <xf numFmtId="0" fontId="39" fillId="0" borderId="28" xfId="61" applyFont="1" applyBorder="1"/>
    <xf numFmtId="3" fontId="39" fillId="6" borderId="14" xfId="18" applyNumberFormat="1" applyFont="1" applyFill="1" applyBorder="1" applyAlignment="1">
      <alignment horizontal="right"/>
    </xf>
    <xf numFmtId="0" fontId="43" fillId="0" borderId="0" xfId="61" applyFont="1" applyAlignment="1">
      <alignment vertical="center"/>
    </xf>
    <xf numFmtId="206" fontId="39" fillId="0" borderId="0" xfId="61" applyNumberFormat="1" applyFont="1"/>
    <xf numFmtId="2" fontId="39" fillId="6" borderId="17" xfId="18" applyNumberFormat="1" applyFont="1" applyFill="1" applyBorder="1" applyAlignment="1">
      <alignment horizontal="center"/>
    </xf>
    <xf numFmtId="0" fontId="39" fillId="0" borderId="0" xfId="61" applyFont="1" applyAlignment="1"/>
    <xf numFmtId="2" fontId="39" fillId="6" borderId="14" xfId="18" applyNumberFormat="1" applyFont="1" applyFill="1" applyBorder="1" applyAlignment="1">
      <alignment horizontal="center"/>
    </xf>
    <xf numFmtId="168" fontId="39" fillId="0" borderId="0" xfId="18" applyNumberFormat="1" applyFont="1" applyFill="1" applyBorder="1" applyAlignment="1"/>
    <xf numFmtId="0" fontId="43" fillId="0" borderId="0" xfId="61" applyFont="1" applyFill="1" applyAlignment="1">
      <alignment vertical="center"/>
    </xf>
    <xf numFmtId="0" fontId="44" fillId="4" borderId="16" xfId="61" applyFont="1" applyFill="1" applyBorder="1" applyAlignment="1">
      <alignment horizontal="center" vertical="center"/>
    </xf>
    <xf numFmtId="0" fontId="44" fillId="4" borderId="9" xfId="61" applyFont="1" applyFill="1" applyBorder="1" applyAlignment="1">
      <alignment horizontal="center" vertical="center"/>
    </xf>
    <xf numFmtId="0" fontId="43" fillId="5" borderId="9" xfId="61" applyFont="1" applyFill="1" applyBorder="1" applyAlignment="1">
      <alignment horizontal="center" vertical="center"/>
    </xf>
    <xf numFmtId="0" fontId="39" fillId="0" borderId="17" xfId="61" applyFont="1" applyBorder="1" applyAlignment="1">
      <alignment horizontal="right"/>
    </xf>
    <xf numFmtId="38" fontId="39" fillId="6" borderId="17" xfId="61" applyNumberFormat="1" applyFont="1" applyFill="1" applyBorder="1" applyAlignment="1">
      <alignment horizontal="center" vertical="center"/>
    </xf>
    <xf numFmtId="0" fontId="39" fillId="0" borderId="0" xfId="61" applyFont="1" applyAlignment="1">
      <alignment vertical="center"/>
    </xf>
    <xf numFmtId="0" fontId="39" fillId="0" borderId="8" xfId="61" applyFont="1" applyBorder="1" applyAlignment="1">
      <alignment horizontal="right"/>
    </xf>
    <xf numFmtId="40" fontId="39" fillId="6" borderId="18" xfId="61" applyNumberFormat="1" applyFont="1" applyFill="1" applyBorder="1" applyAlignment="1">
      <alignment horizontal="center" vertical="center"/>
    </xf>
    <xf numFmtId="0" fontId="44" fillId="4" borderId="17" xfId="61" applyFont="1" applyFill="1" applyBorder="1" applyAlignment="1">
      <alignment horizontal="center" vertical="center"/>
    </xf>
    <xf numFmtId="3" fontId="39" fillId="0" borderId="0" xfId="61" applyNumberFormat="1" applyFont="1" applyAlignment="1">
      <alignment horizontal="right"/>
    </xf>
    <xf numFmtId="10" fontId="39" fillId="0" borderId="0" xfId="69" applyNumberFormat="1" applyFont="1"/>
    <xf numFmtId="3" fontId="43" fillId="0" borderId="0" xfId="0" applyNumberFormat="1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44" fillId="4" borderId="14" xfId="0" applyFont="1" applyFill="1" applyBorder="1" applyAlignment="1">
      <alignment horizontal="center" vertical="center"/>
    </xf>
    <xf numFmtId="171" fontId="39" fillId="0" borderId="0" xfId="65" applyNumberFormat="1" applyFont="1"/>
    <xf numFmtId="10" fontId="39" fillId="0" borderId="0" xfId="65" applyNumberFormat="1" applyFont="1" applyAlignment="1">
      <alignment vertical="center"/>
    </xf>
    <xf numFmtId="0" fontId="39" fillId="13" borderId="42" xfId="0" applyFont="1" applyFill="1" applyBorder="1"/>
    <xf numFmtId="0" fontId="39" fillId="14" borderId="42" xfId="0" applyFont="1" applyFill="1" applyBorder="1"/>
    <xf numFmtId="0" fontId="43" fillId="13" borderId="12" xfId="0" applyFont="1" applyFill="1" applyBorder="1"/>
    <xf numFmtId="0" fontId="43" fillId="13" borderId="44" xfId="0" applyFont="1" applyFill="1" applyBorder="1"/>
    <xf numFmtId="222" fontId="39" fillId="0" borderId="0" xfId="0" applyNumberFormat="1" applyFont="1"/>
    <xf numFmtId="3" fontId="39" fillId="0" borderId="17" xfId="0" applyNumberFormat="1" applyFont="1" applyBorder="1" applyAlignment="1">
      <alignment horizontal="center"/>
    </xf>
    <xf numFmtId="220" fontId="39" fillId="0" borderId="0" xfId="0" applyNumberFormat="1" applyFont="1"/>
    <xf numFmtId="170" fontId="39" fillId="0" borderId="0" xfId="0" applyNumberFormat="1" applyFont="1"/>
    <xf numFmtId="169" fontId="39" fillId="5" borderId="24" xfId="18" applyNumberFormat="1" applyFont="1" applyFill="1" applyBorder="1" applyAlignment="1">
      <alignment horizontal="right"/>
    </xf>
    <xf numFmtId="169" fontId="39" fillId="0" borderId="24" xfId="18" applyNumberFormat="1" applyFont="1" applyFill="1" applyBorder="1" applyAlignment="1">
      <alignment horizontal="right"/>
    </xf>
    <xf numFmtId="223" fontId="39" fillId="0" borderId="0" xfId="65" applyNumberFormat="1" applyFont="1"/>
    <xf numFmtId="3" fontId="44" fillId="4" borderId="61" xfId="0" applyNumberFormat="1" applyFont="1" applyFill="1" applyBorder="1" applyAlignment="1">
      <alignment horizontal="center"/>
    </xf>
    <xf numFmtId="3" fontId="44" fillId="4" borderId="14" xfId="0" applyNumberFormat="1" applyFont="1" applyFill="1" applyBorder="1" applyAlignment="1">
      <alignment horizontal="center"/>
    </xf>
    <xf numFmtId="215" fontId="39" fillId="0" borderId="14" xfId="62" applyNumberFormat="1" applyFont="1" applyFill="1" applyBorder="1" applyAlignment="1" applyProtection="1">
      <alignment horizontal="right"/>
      <protection locked="0"/>
    </xf>
    <xf numFmtId="224" fontId="39" fillId="0" borderId="0" xfId="0" applyNumberFormat="1" applyFont="1" applyAlignment="1">
      <alignment vertical="center"/>
    </xf>
    <xf numFmtId="169" fontId="39" fillId="5" borderId="24" xfId="18" applyNumberFormat="1" applyFont="1" applyFill="1" applyBorder="1" applyAlignment="1">
      <alignment horizontal="right" vertical="center"/>
    </xf>
    <xf numFmtId="0" fontId="39" fillId="15" borderId="22" xfId="61" applyFont="1" applyFill="1" applyBorder="1"/>
    <xf numFmtId="0" fontId="39" fillId="15" borderId="2" xfId="61" applyFont="1" applyFill="1" applyBorder="1"/>
    <xf numFmtId="0" fontId="39" fillId="15" borderId="22" xfId="61" applyFont="1" applyFill="1" applyBorder="1" applyAlignment="1">
      <alignment horizontal="right"/>
    </xf>
    <xf numFmtId="171" fontId="39" fillId="15" borderId="2" xfId="69" applyNumberFormat="1" applyFont="1" applyFill="1" applyBorder="1" applyAlignment="1">
      <alignment horizontal="center"/>
    </xf>
    <xf numFmtId="0" fontId="39" fillId="15" borderId="0" xfId="61" applyFont="1" applyFill="1"/>
    <xf numFmtId="0" fontId="39" fillId="15" borderId="0" xfId="61" applyFont="1" applyFill="1" applyAlignment="1">
      <alignment horizontal="right"/>
    </xf>
    <xf numFmtId="3" fontId="39" fillId="15" borderId="0" xfId="61" applyNumberFormat="1" applyFont="1" applyFill="1" applyAlignment="1">
      <alignment horizontal="right"/>
    </xf>
    <xf numFmtId="10" fontId="39" fillId="15" borderId="2" xfId="69" applyNumberFormat="1" applyFont="1" applyFill="1" applyBorder="1" applyAlignment="1">
      <alignment horizontal="center"/>
    </xf>
    <xf numFmtId="10" fontId="43" fillId="15" borderId="20" xfId="65" applyNumberFormat="1" applyFont="1" applyFill="1" applyBorder="1" applyAlignment="1">
      <alignment horizontal="center"/>
    </xf>
    <xf numFmtId="0" fontId="39" fillId="15" borderId="22" xfId="0" applyFont="1" applyFill="1" applyBorder="1" applyAlignment="1">
      <alignment horizontal="center"/>
    </xf>
    <xf numFmtId="0" fontId="39" fillId="15" borderId="2" xfId="0" applyFont="1" applyFill="1" applyBorder="1" applyAlignment="1">
      <alignment horizontal="center"/>
    </xf>
    <xf numFmtId="10" fontId="39" fillId="15" borderId="2" xfId="65" applyNumberFormat="1" applyFont="1" applyFill="1" applyBorder="1" applyAlignment="1">
      <alignment horizontal="center"/>
    </xf>
    <xf numFmtId="0" fontId="39" fillId="15" borderId="0" xfId="0" applyFont="1" applyFill="1"/>
    <xf numFmtId="10" fontId="48" fillId="15" borderId="0" xfId="0" applyNumberFormat="1" applyFont="1" applyFill="1" applyAlignment="1">
      <alignment horizontal="right"/>
    </xf>
    <xf numFmtId="10" fontId="39" fillId="15" borderId="20" xfId="0" applyNumberFormat="1" applyFont="1" applyFill="1" applyBorder="1"/>
    <xf numFmtId="10" fontId="39" fillId="15" borderId="22" xfId="0" applyNumberFormat="1" applyFont="1" applyFill="1" applyBorder="1" applyAlignment="1">
      <alignment vertical="center"/>
    </xf>
    <xf numFmtId="10" fontId="39" fillId="15" borderId="22" xfId="0" applyNumberFormat="1" applyFont="1" applyFill="1" applyBorder="1" applyAlignment="1">
      <alignment horizontal="center" vertical="center"/>
    </xf>
    <xf numFmtId="10" fontId="39" fillId="15" borderId="2" xfId="65" applyNumberFormat="1" applyFont="1" applyFill="1" applyBorder="1" applyAlignment="1">
      <alignment horizontal="center" vertical="center"/>
    </xf>
    <xf numFmtId="0" fontId="39" fillId="15" borderId="0" xfId="0" applyFont="1" applyFill="1" applyAlignment="1">
      <alignment vertical="center"/>
    </xf>
    <xf numFmtId="10" fontId="39" fillId="15" borderId="0" xfId="65" applyNumberFormat="1" applyFont="1" applyFill="1" applyAlignment="1">
      <alignment horizontal="center" vertical="center"/>
    </xf>
    <xf numFmtId="10" fontId="43" fillId="15" borderId="20" xfId="65" applyNumberFormat="1" applyFont="1" applyFill="1" applyBorder="1" applyAlignment="1">
      <alignment horizontal="center" vertical="center"/>
    </xf>
    <xf numFmtId="10" fontId="43" fillId="15" borderId="20" xfId="0" applyNumberFormat="1" applyFont="1" applyFill="1" applyBorder="1"/>
    <xf numFmtId="173" fontId="39" fillId="0" borderId="17" xfId="69" applyNumberFormat="1" applyFont="1" applyBorder="1" applyAlignment="1">
      <alignment horizontal="center"/>
    </xf>
    <xf numFmtId="173" fontId="25" fillId="0" borderId="0" xfId="61" applyNumberFormat="1"/>
    <xf numFmtId="10" fontId="39" fillId="15" borderId="47" xfId="69" applyNumberFormat="1" applyFont="1" applyFill="1" applyBorder="1" applyAlignment="1">
      <alignment horizontal="center"/>
    </xf>
    <xf numFmtId="169" fontId="39" fillId="15" borderId="17" xfId="61" applyNumberFormat="1" applyFont="1" applyFill="1" applyBorder="1"/>
    <xf numFmtId="171" fontId="39" fillId="15" borderId="2" xfId="65" applyNumberFormat="1" applyFont="1" applyFill="1" applyBorder="1" applyAlignment="1">
      <alignment horizontal="center" vertical="center"/>
    </xf>
    <xf numFmtId="10" fontId="39" fillId="15" borderId="51" xfId="65" applyNumberFormat="1" applyFont="1" applyFill="1" applyBorder="1" applyAlignment="1">
      <alignment horizontal="center" vertical="center"/>
    </xf>
    <xf numFmtId="3" fontId="39" fillId="15" borderId="0" xfId="61" applyNumberFormat="1" applyFont="1" applyFill="1" applyAlignment="1">
      <alignment horizontal="center"/>
    </xf>
    <xf numFmtId="0" fontId="43" fillId="15" borderId="0" xfId="61" applyFont="1" applyFill="1"/>
    <xf numFmtId="0" fontId="39" fillId="15" borderId="0" xfId="61" applyFont="1" applyFill="1" applyAlignment="1">
      <alignment vertical="center"/>
    </xf>
    <xf numFmtId="0" fontId="55" fillId="16" borderId="8" xfId="0" applyFont="1" applyFill="1" applyBorder="1" applyAlignment="1">
      <alignment horizontal="center"/>
    </xf>
    <xf numFmtId="0" fontId="55" fillId="16" borderId="18" xfId="0" applyFont="1" applyFill="1" applyBorder="1" applyAlignment="1">
      <alignment horizontal="center"/>
    </xf>
    <xf numFmtId="0" fontId="43" fillId="15" borderId="42" xfId="0" applyFont="1" applyFill="1" applyBorder="1"/>
    <xf numFmtId="3" fontId="51" fillId="15" borderId="24" xfId="0" applyNumberFormat="1" applyFont="1" applyFill="1" applyBorder="1" applyAlignment="1">
      <alignment horizontal="center"/>
    </xf>
    <xf numFmtId="0" fontId="39" fillId="15" borderId="0" xfId="0" applyFont="1" applyFill="1" applyBorder="1" applyAlignment="1">
      <alignment vertical="center"/>
    </xf>
    <xf numFmtId="3" fontId="51" fillId="15" borderId="43" xfId="0" applyNumberFormat="1" applyFont="1" applyFill="1" applyBorder="1" applyAlignment="1">
      <alignment horizontal="center"/>
    </xf>
    <xf numFmtId="0" fontId="43" fillId="15" borderId="42" xfId="0" applyFont="1" applyFill="1" applyBorder="1" applyAlignment="1">
      <alignment horizontal="left" indent="2"/>
    </xf>
    <xf numFmtId="3" fontId="43" fillId="15" borderId="24" xfId="0" applyNumberFormat="1" applyFont="1" applyFill="1" applyBorder="1" applyAlignment="1">
      <alignment horizontal="center"/>
    </xf>
    <xf numFmtId="3" fontId="43" fillId="15" borderId="43" xfId="0" applyNumberFormat="1" applyFont="1" applyFill="1" applyBorder="1" applyAlignment="1">
      <alignment horizontal="center"/>
    </xf>
    <xf numFmtId="0" fontId="43" fillId="15" borderId="42" xfId="0" quotePrefix="1" applyFont="1" applyFill="1" applyBorder="1" applyAlignment="1">
      <alignment horizontal="left" indent="3"/>
    </xf>
    <xf numFmtId="0" fontId="39" fillId="15" borderId="42" xfId="0" applyFont="1" applyFill="1" applyBorder="1" applyAlignment="1">
      <alignment horizontal="left" indent="3"/>
    </xf>
    <xf numFmtId="3" fontId="39" fillId="15" borderId="24" xfId="0" applyNumberFormat="1" applyFont="1" applyFill="1" applyBorder="1" applyAlignment="1">
      <alignment horizontal="center"/>
    </xf>
    <xf numFmtId="3" fontId="39" fillId="15" borderId="43" xfId="0" applyNumberFormat="1" applyFont="1" applyFill="1" applyBorder="1" applyAlignment="1">
      <alignment horizontal="center"/>
    </xf>
    <xf numFmtId="0" fontId="39" fillId="15" borderId="42" xfId="0" applyFont="1" applyFill="1" applyBorder="1" applyAlignment="1">
      <alignment horizontal="left" indent="4"/>
    </xf>
    <xf numFmtId="0" fontId="43" fillId="15" borderId="42" xfId="0" applyFont="1" applyFill="1" applyBorder="1" applyAlignment="1">
      <alignment horizontal="left" indent="3"/>
    </xf>
    <xf numFmtId="0" fontId="39" fillId="15" borderId="42" xfId="0" applyFont="1" applyFill="1" applyBorder="1" applyAlignment="1">
      <alignment horizontal="left" indent="2"/>
    </xf>
    <xf numFmtId="0" fontId="55" fillId="16" borderId="41" xfId="0" applyFont="1" applyFill="1" applyBorder="1" applyAlignment="1">
      <alignment horizontal="center"/>
    </xf>
    <xf numFmtId="0" fontId="39" fillId="15" borderId="42" xfId="0" applyFont="1" applyFill="1" applyBorder="1"/>
    <xf numFmtId="3" fontId="39" fillId="15" borderId="24" xfId="0" applyNumberFormat="1" applyFont="1" applyFill="1" applyBorder="1"/>
    <xf numFmtId="0" fontId="43" fillId="15" borderId="42" xfId="0" quotePrefix="1" applyFont="1" applyFill="1" applyBorder="1" applyAlignment="1"/>
    <xf numFmtId="3" fontId="43" fillId="15" borderId="24" xfId="0" applyNumberFormat="1" applyFont="1" applyFill="1" applyBorder="1" applyAlignment="1"/>
    <xf numFmtId="0" fontId="39" fillId="15" borderId="44" xfId="0" applyFont="1" applyFill="1" applyBorder="1" applyAlignment="1">
      <alignment horizontal="left" indent="3"/>
    </xf>
    <xf numFmtId="3" fontId="39" fillId="15" borderId="45" xfId="0" applyNumberFormat="1" applyFont="1" applyFill="1" applyBorder="1"/>
    <xf numFmtId="225" fontId="39" fillId="6" borderId="17" xfId="0" applyNumberFormat="1" applyFont="1" applyFill="1" applyBorder="1" applyAlignment="1">
      <alignment horizontal="center" vertical="center"/>
    </xf>
    <xf numFmtId="225" fontId="39" fillId="6" borderId="47" xfId="0" applyNumberFormat="1" applyFont="1" applyFill="1" applyBorder="1" applyAlignment="1">
      <alignment horizontal="center" vertical="center"/>
    </xf>
    <xf numFmtId="225" fontId="39" fillId="0" borderId="17" xfId="0" applyNumberFormat="1" applyFont="1" applyFill="1" applyBorder="1" applyAlignment="1">
      <alignment horizontal="center" vertical="center"/>
    </xf>
    <xf numFmtId="225" fontId="39" fillId="0" borderId="47" xfId="0" applyNumberFormat="1" applyFont="1" applyFill="1" applyBorder="1" applyAlignment="1">
      <alignment horizontal="center" vertical="center"/>
    </xf>
    <xf numFmtId="0" fontId="43" fillId="15" borderId="50" xfId="0" applyFont="1" applyFill="1" applyBorder="1" applyAlignment="1">
      <alignment vertical="center" wrapText="1"/>
    </xf>
    <xf numFmtId="173" fontId="39" fillId="0" borderId="9" xfId="0" applyNumberFormat="1" applyFont="1" applyFill="1" applyBorder="1" applyAlignment="1">
      <alignment vertical="center"/>
    </xf>
    <xf numFmtId="170" fontId="39" fillId="0" borderId="9" xfId="0" applyNumberFormat="1" applyFont="1" applyFill="1" applyBorder="1" applyAlignment="1">
      <alignment vertical="center"/>
    </xf>
    <xf numFmtId="173" fontId="39" fillId="15" borderId="9" xfId="0" applyNumberFormat="1" applyFont="1" applyFill="1" applyBorder="1" applyAlignment="1">
      <alignment vertical="center"/>
    </xf>
    <xf numFmtId="2" fontId="39" fillId="0" borderId="24" xfId="0" applyNumberFormat="1" applyFont="1" applyFill="1" applyBorder="1" applyAlignment="1">
      <alignment vertical="center"/>
    </xf>
    <xf numFmtId="2" fontId="39" fillId="15" borderId="24" xfId="0" applyNumberFormat="1" applyFont="1" applyFill="1" applyBorder="1" applyAlignment="1">
      <alignment vertical="center"/>
    </xf>
    <xf numFmtId="10" fontId="39" fillId="0" borderId="24" xfId="69" applyNumberFormat="1" applyFont="1" applyFill="1" applyBorder="1" applyAlignment="1">
      <alignment vertical="center"/>
    </xf>
    <xf numFmtId="171" fontId="39" fillId="15" borderId="24" xfId="69" applyNumberFormat="1" applyFont="1" applyFill="1" applyBorder="1" applyAlignment="1">
      <alignment vertical="center"/>
    </xf>
    <xf numFmtId="9" fontId="39" fillId="0" borderId="6" xfId="69" applyFont="1" applyBorder="1" applyAlignment="1">
      <alignment vertical="center"/>
    </xf>
    <xf numFmtId="9" fontId="39" fillId="0" borderId="24" xfId="69" applyFont="1" applyBorder="1" applyAlignment="1">
      <alignment vertical="center"/>
    </xf>
    <xf numFmtId="10" fontId="39" fillId="15" borderId="24" xfId="69" applyNumberFormat="1" applyFont="1" applyFill="1" applyBorder="1" applyAlignment="1">
      <alignment vertical="center"/>
    </xf>
    <xf numFmtId="2" fontId="39" fillId="0" borderId="11" xfId="0" applyNumberFormat="1" applyFont="1" applyBorder="1" applyAlignment="1">
      <alignment vertical="center"/>
    </xf>
    <xf numFmtId="2" fontId="39" fillId="0" borderId="6" xfId="0" applyNumberFormat="1" applyFont="1" applyBorder="1" applyAlignment="1">
      <alignment vertical="center"/>
    </xf>
    <xf numFmtId="2" fontId="39" fillId="0" borderId="24" xfId="0" applyNumberFormat="1" applyFont="1" applyBorder="1" applyAlignment="1">
      <alignment vertical="center"/>
    </xf>
    <xf numFmtId="2" fontId="43" fillId="9" borderId="31" xfId="0" applyNumberFormat="1" applyFont="1" applyFill="1" applyBorder="1" applyAlignment="1">
      <alignment vertical="center"/>
    </xf>
    <xf numFmtId="2" fontId="39" fillId="0" borderId="57" xfId="0" applyNumberFormat="1" applyFont="1" applyFill="1" applyBorder="1" applyAlignment="1">
      <alignment vertical="center"/>
    </xf>
    <xf numFmtId="2" fontId="39" fillId="0" borderId="56" xfId="0" applyNumberFormat="1" applyFont="1" applyFill="1" applyBorder="1" applyAlignment="1">
      <alignment vertical="center"/>
    </xf>
    <xf numFmtId="10" fontId="43" fillId="15" borderId="0" xfId="65" applyNumberFormat="1" applyFont="1" applyFill="1" applyBorder="1" applyAlignment="1">
      <alignment horizontal="center" vertical="center"/>
    </xf>
    <xf numFmtId="10" fontId="43" fillId="15" borderId="0" xfId="65" applyNumberFormat="1" applyFont="1" applyFill="1" applyBorder="1" applyAlignment="1">
      <alignment horizontal="center"/>
    </xf>
    <xf numFmtId="10" fontId="39" fillId="15" borderId="0" xfId="0" applyNumberFormat="1" applyFont="1" applyFill="1" applyBorder="1"/>
    <xf numFmtId="10" fontId="43" fillId="15" borderId="0" xfId="0" applyNumberFormat="1" applyFont="1" applyFill="1" applyBorder="1"/>
    <xf numFmtId="9" fontId="39" fillId="0" borderId="0" xfId="0" applyNumberFormat="1" applyFont="1" applyAlignment="1"/>
    <xf numFmtId="171" fontId="39" fillId="0" borderId="0" xfId="0" applyNumberFormat="1" applyFont="1" applyAlignment="1">
      <alignment vertical="center"/>
    </xf>
    <xf numFmtId="171" fontId="39" fillId="0" borderId="0" xfId="0" applyNumberFormat="1" applyFont="1" applyFill="1" applyBorder="1" applyAlignment="1">
      <alignment vertical="center"/>
    </xf>
    <xf numFmtId="0" fontId="25" fillId="0" borderId="0" xfId="0" applyFont="1"/>
    <xf numFmtId="170" fontId="39" fillId="17" borderId="17" xfId="69" applyNumberFormat="1" applyFont="1" applyFill="1" applyBorder="1" applyAlignment="1">
      <alignment horizontal="center"/>
    </xf>
    <xf numFmtId="3" fontId="25" fillId="12" borderId="0" xfId="61" applyNumberFormat="1" applyFont="1" applyFill="1"/>
    <xf numFmtId="0" fontId="39" fillId="18" borderId="48" xfId="61" applyFont="1" applyFill="1" applyBorder="1"/>
    <xf numFmtId="0" fontId="39" fillId="18" borderId="35" xfId="61" applyFont="1" applyFill="1" applyBorder="1"/>
    <xf numFmtId="0" fontId="39" fillId="18" borderId="32" xfId="61" applyFont="1" applyFill="1" applyBorder="1"/>
    <xf numFmtId="168" fontId="39" fillId="18" borderId="17" xfId="18" applyNumberFormat="1" applyFont="1" applyFill="1" applyBorder="1" applyAlignment="1">
      <alignment horizontal="center"/>
    </xf>
    <xf numFmtId="0" fontId="56" fillId="0" borderId="6" xfId="0" applyFont="1" applyFill="1" applyBorder="1" applyAlignment="1">
      <alignment vertical="center"/>
    </xf>
    <xf numFmtId="0" fontId="56" fillId="0" borderId="6" xfId="0" applyFont="1" applyFill="1" applyBorder="1" applyAlignment="1">
      <alignment horizontal="left" vertical="center" indent="1"/>
    </xf>
    <xf numFmtId="0" fontId="56" fillId="0" borderId="6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left" vertical="center"/>
    </xf>
    <xf numFmtId="0" fontId="57" fillId="0" borderId="6" xfId="0" applyFont="1" applyFill="1" applyBorder="1" applyAlignment="1">
      <alignment vertical="center"/>
    </xf>
    <xf numFmtId="226" fontId="39" fillId="0" borderId="0" xfId="0" applyNumberFormat="1" applyFont="1"/>
    <xf numFmtId="227" fontId="39" fillId="0" borderId="0" xfId="65" applyNumberFormat="1" applyFont="1"/>
    <xf numFmtId="9" fontId="39" fillId="0" borderId="0" xfId="65" applyFont="1" applyAlignment="1">
      <alignment vertical="center"/>
    </xf>
    <xf numFmtId="3" fontId="43" fillId="0" borderId="43" xfId="0" applyNumberFormat="1" applyFont="1" applyFill="1" applyBorder="1" applyAlignment="1">
      <alignment horizontal="center"/>
    </xf>
    <xf numFmtId="171" fontId="39" fillId="0" borderId="0" xfId="65" applyNumberFormat="1" applyFont="1" applyFill="1"/>
    <xf numFmtId="0" fontId="42" fillId="0" borderId="0" xfId="0" applyFont="1" applyFill="1" applyBorder="1" applyAlignment="1">
      <alignment vertical="center"/>
    </xf>
    <xf numFmtId="0" fontId="42" fillId="0" borderId="0" xfId="0" applyFont="1"/>
    <xf numFmtId="0" fontId="42" fillId="0" borderId="15" xfId="0" applyFont="1" applyFill="1" applyBorder="1" applyAlignment="1">
      <alignment horizontal="center"/>
    </xf>
    <xf numFmtId="0" fontId="60" fillId="0" borderId="54" xfId="0" applyFont="1" applyBorder="1"/>
    <xf numFmtId="0" fontId="42" fillId="0" borderId="25" xfId="0" applyFont="1" applyBorder="1"/>
    <xf numFmtId="0" fontId="58" fillId="0" borderId="26" xfId="0" applyFont="1" applyFill="1" applyBorder="1" applyAlignment="1">
      <alignment horizontal="center"/>
    </xf>
    <xf numFmtId="0" fontId="60" fillId="0" borderId="0" xfId="0" applyFont="1" applyBorder="1"/>
    <xf numFmtId="169" fontId="58" fillId="6" borderId="27" xfId="10" applyNumberFormat="1" applyFont="1" applyFill="1" applyBorder="1" applyAlignment="1">
      <alignment horizontal="right"/>
    </xf>
    <xf numFmtId="0" fontId="40" fillId="4" borderId="19" xfId="0" applyFont="1" applyFill="1" applyBorder="1" applyAlignment="1">
      <alignment horizontal="left" vertical="center" wrapText="1"/>
    </xf>
    <xf numFmtId="0" fontId="40" fillId="4" borderId="20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wrapText="1"/>
    </xf>
    <xf numFmtId="171" fontId="59" fillId="0" borderId="27" xfId="65" applyNumberFormat="1" applyFont="1" applyFill="1" applyBorder="1" applyAlignment="1">
      <alignment horizontal="center" vertical="center" wrapText="1"/>
    </xf>
    <xf numFmtId="0" fontId="42" fillId="15" borderId="26" xfId="0" applyFont="1" applyFill="1" applyBorder="1" applyAlignment="1">
      <alignment vertical="center" wrapText="1"/>
    </xf>
    <xf numFmtId="10" fontId="42" fillId="15" borderId="0" xfId="65" applyNumberFormat="1" applyFont="1" applyFill="1" applyBorder="1" applyAlignment="1">
      <alignment horizontal="center" vertical="center" wrapText="1"/>
    </xf>
    <xf numFmtId="10" fontId="41" fillId="15" borderId="0" xfId="65" applyNumberFormat="1" applyFont="1" applyFill="1" applyBorder="1" applyAlignment="1">
      <alignment horizontal="center" vertical="center" wrapText="1"/>
    </xf>
    <xf numFmtId="10" fontId="42" fillId="15" borderId="27" xfId="65" applyNumberFormat="1" applyFont="1" applyFill="1" applyBorder="1" applyAlignment="1">
      <alignment horizontal="center" vertical="center" wrapText="1"/>
    </xf>
    <xf numFmtId="0" fontId="42" fillId="15" borderId="26" xfId="0" applyFont="1" applyFill="1" applyBorder="1"/>
    <xf numFmtId="171" fontId="61" fillId="0" borderId="27" xfId="0" applyNumberFormat="1" applyFont="1" applyFill="1" applyBorder="1" applyAlignment="1">
      <alignment vertical="center" wrapText="1"/>
    </xf>
    <xf numFmtId="0" fontId="58" fillId="0" borderId="26" xfId="0" applyFont="1" applyBorder="1" applyAlignment="1">
      <alignment horizontal="left"/>
    </xf>
    <xf numFmtId="0" fontId="40" fillId="4" borderId="28" xfId="0" applyFont="1" applyFill="1" applyBorder="1" applyAlignment="1">
      <alignment horizontal="left" vertical="center" wrapText="1"/>
    </xf>
    <xf numFmtId="10" fontId="40" fillId="4" borderId="29" xfId="0" applyNumberFormat="1" applyFont="1" applyFill="1" applyBorder="1" applyAlignment="1">
      <alignment horizontal="center" vertical="center" wrapText="1"/>
    </xf>
    <xf numFmtId="10" fontId="40" fillId="4" borderId="65" xfId="65" applyNumberFormat="1" applyFont="1" applyFill="1" applyBorder="1" applyAlignment="1">
      <alignment horizontal="center" vertical="center" wrapText="1"/>
    </xf>
    <xf numFmtId="0" fontId="59" fillId="0" borderId="27" xfId="0" applyFont="1" applyFill="1" applyBorder="1"/>
    <xf numFmtId="0" fontId="58" fillId="0" borderId="22" xfId="0" applyFont="1" applyBorder="1" applyAlignment="1">
      <alignment horizontal="center"/>
    </xf>
    <xf numFmtId="0" fontId="58" fillId="0" borderId="2" xfId="0" applyFont="1" applyFill="1" applyBorder="1"/>
    <xf numFmtId="169" fontId="58" fillId="0" borderId="2" xfId="10" applyNumberFormat="1" applyFont="1" applyFill="1" applyBorder="1"/>
    <xf numFmtId="0" fontId="61" fillId="0" borderId="30" xfId="0" applyFont="1" applyFill="1" applyBorder="1" applyAlignment="1">
      <alignment horizontal="center" vertical="center" wrapText="1"/>
    </xf>
    <xf numFmtId="10" fontId="41" fillId="0" borderId="0" xfId="0" applyNumberFormat="1" applyFont="1"/>
    <xf numFmtId="0" fontId="42" fillId="0" borderId="0" xfId="0" applyFont="1" applyFill="1"/>
    <xf numFmtId="0" fontId="42" fillId="0" borderId="0" xfId="61" applyFont="1"/>
    <xf numFmtId="0" fontId="40" fillId="4" borderId="17" xfId="61" applyFont="1" applyFill="1" applyBorder="1"/>
    <xf numFmtId="0" fontId="40" fillId="4" borderId="17" xfId="61" applyFont="1" applyFill="1" applyBorder="1" applyAlignment="1">
      <alignment horizontal="center"/>
    </xf>
    <xf numFmtId="10" fontId="42" fillId="0" borderId="0" xfId="61" applyNumberFormat="1" applyFont="1"/>
    <xf numFmtId="0" fontId="42" fillId="12" borderId="50" xfId="61" applyFont="1" applyFill="1" applyBorder="1"/>
    <xf numFmtId="0" fontId="42" fillId="12" borderId="51" xfId="61" applyFont="1" applyFill="1" applyBorder="1"/>
    <xf numFmtId="10" fontId="42" fillId="12" borderId="40" xfId="61" applyNumberFormat="1" applyFont="1" applyFill="1" applyBorder="1"/>
    <xf numFmtId="0" fontId="41" fillId="0" borderId="0" xfId="61" applyFont="1"/>
    <xf numFmtId="10" fontId="41" fillId="0" borderId="0" xfId="61" applyNumberFormat="1" applyFont="1"/>
    <xf numFmtId="203" fontId="41" fillId="0" borderId="0" xfId="61" applyNumberFormat="1" applyFont="1"/>
    <xf numFmtId="0" fontId="58" fillId="0" borderId="0" xfId="0" applyFont="1"/>
    <xf numFmtId="0" fontId="58" fillId="0" borderId="0" xfId="61" applyFont="1"/>
    <xf numFmtId="171" fontId="42" fillId="0" borderId="0" xfId="61" applyNumberFormat="1" applyFont="1"/>
    <xf numFmtId="0" fontId="42" fillId="19" borderId="50" xfId="61" applyFont="1" applyFill="1" applyBorder="1"/>
    <xf numFmtId="0" fontId="42" fillId="19" borderId="51" xfId="61" applyFont="1" applyFill="1" applyBorder="1"/>
    <xf numFmtId="10" fontId="42" fillId="19" borderId="40" xfId="61" applyNumberFormat="1" applyFont="1" applyFill="1" applyBorder="1"/>
    <xf numFmtId="0" fontId="42" fillId="0" borderId="0" xfId="61" applyFont="1" applyAlignment="1">
      <alignment vertical="center"/>
    </xf>
    <xf numFmtId="0" fontId="40" fillId="4" borderId="36" xfId="61" applyFont="1" applyFill="1" applyBorder="1"/>
    <xf numFmtId="0" fontId="40" fillId="4" borderId="72" xfId="61" applyFont="1" applyFill="1" applyBorder="1" applyAlignment="1">
      <alignment horizontal="center"/>
    </xf>
    <xf numFmtId="0" fontId="40" fillId="4" borderId="66" xfId="6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169" fontId="42" fillId="0" borderId="0" xfId="10" applyNumberFormat="1" applyFont="1"/>
    <xf numFmtId="0" fontId="41" fillId="20" borderId="48" xfId="61" applyFont="1" applyFill="1" applyBorder="1"/>
    <xf numFmtId="0" fontId="42" fillId="20" borderId="35" xfId="61" applyFont="1" applyFill="1" applyBorder="1"/>
    <xf numFmtId="10" fontId="41" fillId="20" borderId="78" xfId="61" applyNumberFormat="1" applyFont="1" applyFill="1" applyBorder="1"/>
    <xf numFmtId="0" fontId="42" fillId="0" borderId="0" xfId="0" applyFont="1" applyAlignment="1">
      <alignment vertical="center"/>
    </xf>
    <xf numFmtId="0" fontId="41" fillId="0" borderId="26" xfId="61" applyFont="1" applyBorder="1"/>
    <xf numFmtId="0" fontId="41" fillId="0" borderId="0" xfId="61" applyFont="1" applyBorder="1"/>
    <xf numFmtId="10" fontId="41" fillId="0" borderId="67" xfId="61" applyNumberFormat="1" applyFont="1" applyBorder="1"/>
    <xf numFmtId="0" fontId="41" fillId="0" borderId="70" xfId="61" applyFont="1" applyBorder="1"/>
    <xf numFmtId="0" fontId="41" fillId="0" borderId="71" xfId="61" applyFont="1" applyBorder="1"/>
    <xf numFmtId="10" fontId="41" fillId="0" borderId="79" xfId="61" applyNumberFormat="1" applyFont="1" applyBorder="1"/>
    <xf numFmtId="0" fontId="41" fillId="0" borderId="22" xfId="61" applyFont="1" applyBorder="1"/>
    <xf numFmtId="0" fontId="41" fillId="0" borderId="2" xfId="61" applyFont="1" applyBorder="1"/>
    <xf numFmtId="10" fontId="41" fillId="0" borderId="68" xfId="61" applyNumberFormat="1" applyFont="1" applyBorder="1"/>
    <xf numFmtId="0" fontId="42" fillId="0" borderId="0" xfId="61" applyFont="1" applyFill="1"/>
    <xf numFmtId="0" fontId="41" fillId="0" borderId="73" xfId="61" applyFont="1" applyBorder="1"/>
    <xf numFmtId="0" fontId="42" fillId="0" borderId="74" xfId="61" applyFont="1" applyBorder="1"/>
    <xf numFmtId="10" fontId="41" fillId="0" borderId="80" xfId="61" applyNumberFormat="1" applyFont="1" applyBorder="1"/>
    <xf numFmtId="0" fontId="42" fillId="0" borderId="71" xfId="61" applyFont="1" applyBorder="1"/>
    <xf numFmtId="0" fontId="41" fillId="0" borderId="75" xfId="61" applyFont="1" applyBorder="1"/>
    <xf numFmtId="0" fontId="42" fillId="0" borderId="76" xfId="61" applyFont="1" applyBorder="1"/>
    <xf numFmtId="10" fontId="41" fillId="0" borderId="81" xfId="61" applyNumberFormat="1" applyFont="1" applyBorder="1"/>
    <xf numFmtId="203" fontId="42" fillId="0" borderId="0" xfId="65" applyNumberFormat="1" applyFont="1"/>
    <xf numFmtId="9" fontId="42" fillId="0" borderId="0" xfId="0" applyNumberFormat="1" applyFont="1"/>
    <xf numFmtId="0" fontId="41" fillId="12" borderId="15" xfId="61" applyFont="1" applyFill="1" applyBorder="1"/>
    <xf numFmtId="0" fontId="41" fillId="12" borderId="54" xfId="61" applyFont="1" applyFill="1" applyBorder="1"/>
    <xf numFmtId="10" fontId="41" fillId="12" borderId="77" xfId="61" applyNumberFormat="1" applyFont="1" applyFill="1" applyBorder="1"/>
    <xf numFmtId="0" fontId="41" fillId="12" borderId="19" xfId="61" applyFont="1" applyFill="1" applyBorder="1"/>
    <xf numFmtId="0" fontId="41" fillId="12" borderId="20" xfId="61" applyFont="1" applyFill="1" applyBorder="1"/>
    <xf numFmtId="10" fontId="41" fillId="12" borderId="66" xfId="61" applyNumberFormat="1" applyFont="1" applyFill="1" applyBorder="1"/>
    <xf numFmtId="0" fontId="44" fillId="4" borderId="37" xfId="61" applyFont="1" applyFill="1" applyBorder="1" applyAlignment="1">
      <alignment horizontal="center"/>
    </xf>
    <xf numFmtId="0" fontId="44" fillId="4" borderId="37" xfId="61" applyFont="1" applyFill="1" applyBorder="1" applyAlignment="1">
      <alignment horizontal="center"/>
    </xf>
    <xf numFmtId="3" fontId="39" fillId="0" borderId="0" xfId="61" applyNumberFormat="1" applyFont="1" applyAlignment="1">
      <alignment horizontal="left"/>
    </xf>
    <xf numFmtId="0" fontId="62" fillId="4" borderId="19" xfId="0" applyFont="1" applyFill="1" applyBorder="1" applyAlignment="1">
      <alignment horizontal="left" vertical="center" wrapText="1"/>
    </xf>
    <xf numFmtId="0" fontId="62" fillId="4" borderId="21" xfId="0" applyFont="1" applyFill="1" applyBorder="1" applyAlignment="1">
      <alignment horizontal="center" vertical="center" wrapText="1"/>
    </xf>
    <xf numFmtId="0" fontId="63" fillId="15" borderId="26" xfId="0" applyFont="1" applyFill="1" applyBorder="1" applyAlignment="1">
      <alignment vertical="center" wrapText="1"/>
    </xf>
    <xf numFmtId="10" fontId="63" fillId="15" borderId="27" xfId="69" applyNumberFormat="1" applyFont="1" applyFill="1" applyBorder="1" applyAlignment="1">
      <alignment horizontal="center" vertical="center" wrapText="1"/>
    </xf>
    <xf numFmtId="0" fontId="63" fillId="21" borderId="26" xfId="0" applyFont="1" applyFill="1" applyBorder="1" applyAlignment="1">
      <alignment vertical="center" wrapText="1"/>
    </xf>
    <xf numFmtId="10" fontId="63" fillId="21" borderId="27" xfId="69" applyNumberFormat="1" applyFont="1" applyFill="1" applyBorder="1" applyAlignment="1">
      <alignment horizontal="center" vertical="center" wrapText="1"/>
    </xf>
    <xf numFmtId="0" fontId="64" fillId="15" borderId="48" xfId="0" applyFont="1" applyFill="1" applyBorder="1" applyAlignment="1">
      <alignment vertical="center" wrapText="1"/>
    </xf>
    <xf numFmtId="10" fontId="64" fillId="15" borderId="49" xfId="69" applyNumberFormat="1" applyFont="1" applyFill="1" applyBorder="1" applyAlignment="1">
      <alignment horizontal="center" vertical="center" wrapText="1"/>
    </xf>
    <xf numFmtId="0" fontId="62" fillId="4" borderId="28" xfId="0" applyFont="1" applyFill="1" applyBorder="1" applyAlignment="1">
      <alignment horizontal="left" vertical="center" wrapText="1"/>
    </xf>
    <xf numFmtId="10" fontId="62" fillId="4" borderId="65" xfId="0" applyNumberFormat="1" applyFont="1" applyFill="1" applyBorder="1" applyAlignment="1">
      <alignment horizontal="center" vertical="center" wrapText="1"/>
    </xf>
    <xf numFmtId="10" fontId="42" fillId="15" borderId="0" xfId="61" applyNumberFormat="1" applyFont="1" applyFill="1"/>
    <xf numFmtId="0" fontId="39" fillId="15" borderId="12" xfId="0" applyFont="1" applyFill="1" applyBorder="1" applyAlignment="1">
      <alignment vertical="center"/>
    </xf>
    <xf numFmtId="38" fontId="39" fillId="15" borderId="17" xfId="0" applyNumberFormat="1" applyFont="1" applyFill="1" applyBorder="1" applyAlignment="1">
      <alignment horizontal="right" vertical="center"/>
    </xf>
    <xf numFmtId="38" fontId="39" fillId="15" borderId="11" xfId="0" applyNumberFormat="1" applyFont="1" applyFill="1" applyBorder="1" applyAlignment="1">
      <alignment horizontal="right" vertical="center"/>
    </xf>
    <xf numFmtId="0" fontId="39" fillId="15" borderId="13" xfId="0" applyFont="1" applyFill="1" applyBorder="1" applyAlignment="1">
      <alignment vertical="center"/>
    </xf>
    <xf numFmtId="38" fontId="39" fillId="15" borderId="14" xfId="0" applyNumberFormat="1" applyFont="1" applyFill="1" applyBorder="1" applyAlignment="1">
      <alignment horizontal="right" vertical="center"/>
    </xf>
    <xf numFmtId="2" fontId="39" fillId="12" borderId="17" xfId="61" applyNumberFormat="1" applyFont="1" applyFill="1" applyBorder="1" applyAlignment="1">
      <alignment horizontal="right"/>
    </xf>
    <xf numFmtId="2" fontId="39" fillId="0" borderId="14" xfId="62" applyNumberFormat="1" applyFont="1" applyFill="1" applyBorder="1" applyAlignment="1" applyProtection="1">
      <alignment horizontal="right"/>
      <protection locked="0"/>
    </xf>
    <xf numFmtId="0" fontId="39" fillId="0" borderId="69" xfId="61" applyFont="1" applyFill="1" applyBorder="1" applyAlignment="1">
      <alignment horizontal="left"/>
    </xf>
    <xf numFmtId="175" fontId="39" fillId="0" borderId="58" xfId="61" applyNumberFormat="1" applyFont="1" applyFill="1" applyBorder="1" applyAlignment="1">
      <alignment horizontal="right"/>
    </xf>
    <xf numFmtId="211" fontId="39" fillId="6" borderId="37" xfId="61" applyNumberFormat="1" applyFont="1" applyFill="1" applyBorder="1" applyAlignment="1">
      <alignment horizontal="right"/>
    </xf>
    <xf numFmtId="2" fontId="39" fillId="0" borderId="33" xfId="0" applyNumberFormat="1" applyFont="1" applyBorder="1"/>
    <xf numFmtId="2" fontId="39" fillId="0" borderId="1" xfId="0" applyNumberFormat="1" applyFont="1" applyBorder="1"/>
    <xf numFmtId="2" fontId="39" fillId="0" borderId="60" xfId="0" applyNumberFormat="1" applyFont="1" applyBorder="1"/>
    <xf numFmtId="0" fontId="43" fillId="0" borderId="31" xfId="0" applyFont="1" applyBorder="1"/>
    <xf numFmtId="0" fontId="39" fillId="0" borderId="32" xfId="0" applyFont="1" applyBorder="1"/>
    <xf numFmtId="171" fontId="39" fillId="15" borderId="24" xfId="65" applyNumberFormat="1" applyFont="1" applyFill="1" applyBorder="1" applyAlignment="1">
      <alignment vertical="center"/>
    </xf>
    <xf numFmtId="10" fontId="39" fillId="0" borderId="34" xfId="65" applyNumberFormat="1" applyFont="1" applyFill="1" applyBorder="1" applyAlignment="1">
      <alignment horizontal="center" vertical="center"/>
    </xf>
    <xf numFmtId="3" fontId="39" fillId="0" borderId="34" xfId="18" applyNumberFormat="1" applyFont="1" applyFill="1" applyBorder="1" applyAlignment="1">
      <alignment horizontal="right"/>
    </xf>
    <xf numFmtId="1" fontId="25" fillId="0" borderId="0" xfId="61" applyNumberFormat="1" applyFill="1"/>
    <xf numFmtId="1" fontId="39" fillId="6" borderId="11" xfId="10" applyNumberFormat="1" applyFont="1" applyFill="1" applyBorder="1" applyAlignment="1">
      <alignment horizontal="right" vertical="center"/>
    </xf>
    <xf numFmtId="209" fontId="39" fillId="0" borderId="18" xfId="0" applyNumberFormat="1" applyFont="1" applyFill="1" applyBorder="1" applyAlignment="1">
      <alignment horizontal="center" vertical="center"/>
    </xf>
    <xf numFmtId="0" fontId="39" fillId="0" borderId="12" xfId="61" applyFont="1" applyFill="1" applyBorder="1"/>
    <xf numFmtId="10" fontId="39" fillId="0" borderId="17" xfId="65" applyNumberFormat="1" applyFont="1" applyFill="1" applyBorder="1" applyAlignment="1" applyProtection="1">
      <alignment horizontal="right"/>
      <protection locked="0"/>
    </xf>
    <xf numFmtId="0" fontId="43" fillId="9" borderId="57" xfId="0" applyFont="1" applyFill="1" applyBorder="1" applyAlignment="1">
      <alignment horizontal="center" vertical="center"/>
    </xf>
    <xf numFmtId="0" fontId="43" fillId="9" borderId="58" xfId="0" applyFont="1" applyFill="1" applyBorder="1" applyAlignment="1">
      <alignment horizontal="center" vertical="center"/>
    </xf>
    <xf numFmtId="0" fontId="43" fillId="9" borderId="57" xfId="0" applyFont="1" applyFill="1" applyBorder="1" applyAlignment="1">
      <alignment horizontal="left" vertical="center"/>
    </xf>
    <xf numFmtId="0" fontId="43" fillId="9" borderId="33" xfId="0" applyFont="1" applyFill="1" applyBorder="1" applyAlignment="1">
      <alignment horizontal="left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1" xfId="0" applyFont="1" applyFill="1" applyBorder="1" applyAlignment="1">
      <alignment horizontal="center" vertical="center"/>
    </xf>
    <xf numFmtId="0" fontId="43" fillId="0" borderId="0" xfId="61" applyFont="1" applyAlignment="1">
      <alignment horizontal="center"/>
    </xf>
    <xf numFmtId="0" fontId="44" fillId="4" borderId="50" xfId="61" applyFont="1" applyFill="1" applyBorder="1" applyAlignment="1">
      <alignment horizontal="center"/>
    </xf>
    <xf numFmtId="0" fontId="44" fillId="4" borderId="51" xfId="61" applyFont="1" applyFill="1" applyBorder="1" applyAlignment="1">
      <alignment horizontal="center"/>
    </xf>
    <xf numFmtId="0" fontId="44" fillId="4" borderId="36" xfId="61" applyFont="1" applyFill="1" applyBorder="1" applyAlignment="1">
      <alignment horizontal="center"/>
    </xf>
    <xf numFmtId="0" fontId="44" fillId="4" borderId="37" xfId="61" applyFont="1" applyFill="1" applyBorder="1" applyAlignment="1">
      <alignment horizontal="center"/>
    </xf>
    <xf numFmtId="0" fontId="43" fillId="0" borderId="48" xfId="61" applyFont="1" applyFill="1" applyBorder="1" applyAlignment="1">
      <alignment horizontal="left"/>
    </xf>
    <xf numFmtId="0" fontId="2" fillId="0" borderId="32" xfId="61" applyFont="1" applyBorder="1" applyAlignment="1">
      <alignment horizontal="left"/>
    </xf>
    <xf numFmtId="0" fontId="43" fillId="0" borderId="32" xfId="61" applyFont="1" applyFill="1" applyBorder="1" applyAlignment="1">
      <alignment horizontal="left"/>
    </xf>
    <xf numFmtId="0" fontId="44" fillId="4" borderId="50" xfId="61" applyFont="1" applyFill="1" applyBorder="1" applyAlignment="1">
      <alignment horizontal="center" wrapText="1"/>
    </xf>
    <xf numFmtId="0" fontId="39" fillId="0" borderId="12" xfId="61" applyFont="1" applyFill="1" applyBorder="1" applyAlignment="1">
      <alignment horizontal="left"/>
    </xf>
    <xf numFmtId="0" fontId="39" fillId="0" borderId="17" xfId="61" applyFont="1" applyFill="1" applyBorder="1" applyAlignment="1">
      <alignment horizontal="left"/>
    </xf>
    <xf numFmtId="0" fontId="43" fillId="9" borderId="50" xfId="61" applyFont="1" applyFill="1" applyBorder="1" applyAlignment="1">
      <alignment horizontal="left"/>
    </xf>
    <xf numFmtId="0" fontId="43" fillId="9" borderId="51" xfId="61" applyFont="1" applyFill="1" applyBorder="1" applyAlignment="1">
      <alignment horizontal="left"/>
    </xf>
    <xf numFmtId="0" fontId="43" fillId="9" borderId="62" xfId="61" applyFont="1" applyFill="1" applyBorder="1" applyAlignment="1">
      <alignment horizontal="left"/>
    </xf>
    <xf numFmtId="0" fontId="43" fillId="9" borderId="16" xfId="61" applyFont="1" applyFill="1" applyBorder="1" applyAlignment="1">
      <alignment horizontal="left"/>
    </xf>
    <xf numFmtId="0" fontId="43" fillId="9" borderId="9" xfId="61" applyFont="1" applyFill="1" applyBorder="1" applyAlignment="1">
      <alignment horizontal="left"/>
    </xf>
    <xf numFmtId="0" fontId="43" fillId="9" borderId="52" xfId="61" applyFont="1" applyFill="1" applyBorder="1" applyAlignment="1">
      <alignment horizontal="left"/>
    </xf>
    <xf numFmtId="0" fontId="44" fillId="4" borderId="15" xfId="61" applyFont="1" applyFill="1" applyBorder="1" applyAlignment="1">
      <alignment horizontal="center" vertical="center"/>
    </xf>
    <xf numFmtId="0" fontId="44" fillId="4" borderId="54" xfId="61" applyFont="1" applyFill="1" applyBorder="1" applyAlignment="1">
      <alignment horizontal="center" vertical="center"/>
    </xf>
    <xf numFmtId="0" fontId="39" fillId="6" borderId="17" xfId="61" applyFont="1" applyFill="1" applyBorder="1" applyAlignment="1">
      <alignment horizontal="left" vertical="center"/>
    </xf>
    <xf numFmtId="0" fontId="44" fillId="4" borderId="50" xfId="61" applyFont="1" applyFill="1" applyBorder="1" applyAlignment="1">
      <alignment horizontal="center" vertical="center"/>
    </xf>
    <xf numFmtId="0" fontId="44" fillId="4" borderId="51" xfId="61" applyFont="1" applyFill="1" applyBorder="1" applyAlignment="1">
      <alignment horizontal="center" vertical="center"/>
    </xf>
    <xf numFmtId="0" fontId="39" fillId="6" borderId="31" xfId="61" applyFont="1" applyFill="1" applyBorder="1" applyAlignment="1">
      <alignment horizontal="left" vertical="center"/>
    </xf>
    <xf numFmtId="0" fontId="39" fillId="6" borderId="35" xfId="61" applyFont="1" applyFill="1" applyBorder="1" applyAlignment="1">
      <alignment horizontal="left" vertical="center"/>
    </xf>
    <xf numFmtId="0" fontId="39" fillId="6" borderId="32" xfId="61" applyFont="1" applyFill="1" applyBorder="1" applyAlignment="1">
      <alignment horizontal="left" vertical="center"/>
    </xf>
    <xf numFmtId="0" fontId="44" fillId="4" borderId="40" xfId="61" applyFont="1" applyFill="1" applyBorder="1" applyAlignment="1">
      <alignment horizontal="center" vertical="center"/>
    </xf>
    <xf numFmtId="0" fontId="44" fillId="4" borderId="19" xfId="61" applyFont="1" applyFill="1" applyBorder="1" applyAlignment="1">
      <alignment horizontal="center" vertical="center"/>
    </xf>
    <xf numFmtId="0" fontId="44" fillId="4" borderId="20" xfId="61" applyFont="1" applyFill="1" applyBorder="1" applyAlignment="1">
      <alignment horizontal="center" vertical="center"/>
    </xf>
    <xf numFmtId="0" fontId="44" fillId="4" borderId="21" xfId="61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</cellXfs>
  <cellStyles count="94">
    <cellStyle name="(0.0%)" xfId="1"/>
    <cellStyle name="A Big heading" xfId="2"/>
    <cellStyle name="A body text" xfId="3"/>
    <cellStyle name="A smaller heading" xfId="4"/>
    <cellStyle name="bold big" xfId="5"/>
    <cellStyle name="bold bot bord" xfId="6"/>
    <cellStyle name="bold underline" xfId="7"/>
    <cellStyle name="Border Bottom Thick" xfId="8"/>
    <cellStyle name="Border Top Thin" xfId="9"/>
    <cellStyle name="Comma [0.0]" xfId="11"/>
    <cellStyle name="Comma 0" xfId="12"/>
    <cellStyle name="Comma 0*" xfId="13"/>
    <cellStyle name="Comma 0_Comp1" xfId="14"/>
    <cellStyle name="Comma 2" xfId="15"/>
    <cellStyle name="Comma 2*" xfId="16"/>
    <cellStyle name="Comma 2_Comp1" xfId="17"/>
    <cellStyle name="Comma 3" xfId="18"/>
    <cellStyle name="Comma 3 2" xfId="92"/>
    <cellStyle name="Comma 3*" xfId="19"/>
    <cellStyle name="Comma 4" xfId="91"/>
    <cellStyle name="Comma*" xfId="20"/>
    <cellStyle name="Comma0" xfId="21"/>
    <cellStyle name="Curren - Style1" xfId="22"/>
    <cellStyle name="Currency 0" xfId="23"/>
    <cellStyle name="Currency 2" xfId="24"/>
    <cellStyle name="Currency 2*" xfId="25"/>
    <cellStyle name="Currency 2_Comp1" xfId="26"/>
    <cellStyle name="Currency 3*" xfId="27"/>
    <cellStyle name="Currency*" xfId="28"/>
    <cellStyle name="Currency0" xfId="29"/>
    <cellStyle name="Date" xfId="30"/>
    <cellStyle name="Date Aligned" xfId="31"/>
    <cellStyle name="Date Aligned*" xfId="32"/>
    <cellStyle name="Date Aligned_Comp1" xfId="33"/>
    <cellStyle name="DateLong" xfId="34"/>
    <cellStyle name="DateShort" xfId="35"/>
    <cellStyle name="Dezimal (0.0)" xfId="36"/>
    <cellStyle name="Diseño" xfId="37"/>
    <cellStyle name="Dotted Line" xfId="38"/>
    <cellStyle name="Encabezado 1" xfId="46" builtinId="16" customBuiltin="1"/>
    <cellStyle name="Entrada" xfId="52" builtinId="20" customBuiltin="1"/>
    <cellStyle name="Euro" xfId="39"/>
    <cellStyle name="Factor" xfId="40"/>
    <cellStyle name="Fixed" xfId="41"/>
    <cellStyle name="Footnote" xfId="42"/>
    <cellStyle name="Growth" xfId="43"/>
    <cellStyle name="Hard Percent" xfId="44"/>
    <cellStyle name="Header" xfId="45"/>
    <cellStyle name="Helv 10 Bold" xfId="49"/>
    <cellStyle name="Helv 12 Bold" xfId="50"/>
    <cellStyle name="InLink" xfId="51"/>
    <cellStyle name="Millares" xfId="10" builtinId="3"/>
    <cellStyle name="Month" xfId="53"/>
    <cellStyle name="Multiple" xfId="54"/>
    <cellStyle name="MultipleBelow" xfId="55"/>
    <cellStyle name="neg0.0" xfId="56"/>
    <cellStyle name="No-definido" xfId="57"/>
    <cellStyle name="Non_Input" xfId="58"/>
    <cellStyle name="Normaali_SHEET4A.XLS" xfId="59"/>
    <cellStyle name="Normal" xfId="0" builtinId="0"/>
    <cellStyle name="Normal - Style2" xfId="60"/>
    <cellStyle name="Normal 2" xfId="61"/>
    <cellStyle name="Normal 3" xfId="90"/>
    <cellStyle name="Normal_Gastos" xfId="62"/>
    <cellStyle name="Page Number" xfId="64"/>
    <cellStyle name="Percent (0)" xfId="66"/>
    <cellStyle name="Percent (0.0)" xfId="67"/>
    <cellStyle name="Percent 0" xfId="68"/>
    <cellStyle name="Percent 2" xfId="69"/>
    <cellStyle name="Percent 3" xfId="93"/>
    <cellStyle name="Percent*" xfId="70"/>
    <cellStyle name="Percent-0.0%" xfId="71"/>
    <cellStyle name="Percent-no dec" xfId="72"/>
    <cellStyle name="Pilkku_SHEET4A.XLS" xfId="73"/>
    <cellStyle name="Porcentaje" xfId="65" builtinId="5"/>
    <cellStyle name="Pyör. luku_SHEET4A.XLS" xfId="74"/>
    <cellStyle name="Pyör. valuutta_SHEET4A.XLS" xfId="75"/>
    <cellStyle name="Red" xfId="76"/>
    <cellStyle name="Salida" xfId="63" builtinId="21" customBuiltin="1"/>
    <cellStyle name="Share" xfId="77"/>
    <cellStyle name="Standard_AAV Stammdaten" xfId="78"/>
    <cellStyle name="Table Head" xfId="79"/>
    <cellStyle name="Table Head Aligned" xfId="80"/>
    <cellStyle name="Table Head Blue" xfId="81"/>
    <cellStyle name="Table Head Green" xfId="82"/>
    <cellStyle name="Table Title" xfId="83"/>
    <cellStyle name="Table Units" xfId="84"/>
    <cellStyle name="Título" xfId="85" builtinId="15" customBuiltin="1"/>
    <cellStyle name="Título 2" xfId="47" builtinId="17" customBuiltin="1"/>
    <cellStyle name="Título 3" xfId="48" builtinId="18" customBuiltin="1"/>
    <cellStyle name="Total" xfId="86" builtinId="25" customBuiltin="1"/>
    <cellStyle name="Valuutta_SHEET4A.XLS" xfId="87"/>
    <cellStyle name="Währung [0]_AAV Stammdaten" xfId="88"/>
    <cellStyle name="Währung_AAV Stammdaten" xfId="89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PE"/>
              <a:t>Output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OUTPUT!#REF!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OUTPUT!#REF!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OUTPUT!#REF!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F7-478A-B309-C61E1E6BCA01}"/>
            </c:ext>
          </c:extLst>
        </c:ser>
        <c:ser>
          <c:idx val="0"/>
          <c:order val="1"/>
          <c:tx>
            <c:v>OUTPUT!#REF!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OUTPUT!#REF!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OUTPUT!#REF!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F7-478A-B309-C61E1E6B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39624"/>
        <c:axId val="318340016"/>
      </c:barChart>
      <c:lineChart>
        <c:grouping val="standard"/>
        <c:varyColors val="0"/>
        <c:ser>
          <c:idx val="2"/>
          <c:order val="2"/>
          <c:tx>
            <c:v>OUTPUT!#REF!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OUTPUT!#REF!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OUTPUT!#REF!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4F7-478A-B309-C61E1E6BCA01}"/>
            </c:ext>
          </c:extLst>
        </c:ser>
        <c:ser>
          <c:idx val="3"/>
          <c:order val="3"/>
          <c:tx>
            <c:v>OUTPUT!#REF!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OUTPUT!#REF!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OUTPUT!#REF!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4F7-478A-B309-C61E1E6BC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40408"/>
        <c:axId val="318340800"/>
      </c:lineChart>
      <c:catAx>
        <c:axId val="318339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4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8340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s-PE"/>
                  <a:t>Net Revenues, Units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39624"/>
        <c:crosses val="autoZero"/>
        <c:crossBetween val="between"/>
      </c:valAx>
      <c:catAx>
        <c:axId val="318340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340800"/>
        <c:crosses val="autoZero"/>
        <c:auto val="0"/>
        <c:lblAlgn val="ctr"/>
        <c:lblOffset val="100"/>
        <c:noMultiLvlLbl val="0"/>
      </c:catAx>
      <c:valAx>
        <c:axId val="3183408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rPr lang="es-PE"/>
                  <a:t>TFP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40408"/>
        <c:crosses val="max"/>
        <c:crossBetween val="between"/>
        <c:majorUnit val="0.04"/>
      </c:valAx>
      <c:spPr>
        <a:gradFill rotWithShape="0">
          <a:gsLst>
            <a:gs pos="0">
              <a:srgbClr val="C0C0C0"/>
            </a:gs>
            <a:gs pos="50000">
              <a:srgbClr val="C0C0C0">
                <a:gamma/>
                <a:shade val="79216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FFFFCC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E9-40CF-814C-803374C269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E9-40CF-814C-803374C2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41192"/>
        <c:axId val="31834197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E9-40CF-814C-803374C269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E9-40CF-814C-803374C2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42368"/>
        <c:axId val="318342760"/>
      </c:lineChart>
      <c:catAx>
        <c:axId val="318341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41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8341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41192"/>
        <c:crosses val="autoZero"/>
        <c:crossBetween val="between"/>
      </c:valAx>
      <c:catAx>
        <c:axId val="31834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318342760"/>
        <c:crosses val="autoZero"/>
        <c:auto val="0"/>
        <c:lblAlgn val="ctr"/>
        <c:lblOffset val="100"/>
        <c:noMultiLvlLbl val="0"/>
      </c:catAx>
      <c:valAx>
        <c:axId val="3183427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8342368"/>
        <c:crosses val="max"/>
        <c:crossBetween val="between"/>
        <c:majorUnit val="0.3000000000000001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89</xdr:row>
      <xdr:rowOff>0</xdr:rowOff>
    </xdr:from>
    <xdr:to>
      <xdr:col>10</xdr:col>
      <xdr:colOff>152400</xdr:colOff>
      <xdr:row>89</xdr:row>
      <xdr:rowOff>0</xdr:rowOff>
    </xdr:to>
    <xdr:graphicFrame macro="">
      <xdr:nvGraphicFramePr>
        <xdr:cNvPr id="833805" name="Chart 433">
          <a:extLst>
            <a:ext uri="{FF2B5EF4-FFF2-40B4-BE49-F238E27FC236}">
              <a16:creationId xmlns:a16="http://schemas.microsoft.com/office/drawing/2014/main" id="{00000000-0008-0000-0B00-00000DB9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0.78337</cdr:x>
      <cdr:y>0.52523</cdr:y>
    </cdr:from>
    <cdr:to>
      <cdr:x>0.8212</cdr:x>
      <cdr:y>0.53067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037" y="388395"/>
          <a:ext cx="329355" cy="3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200" b="1" i="0" u="none" strike="noStrike" baseline="0">
              <a:solidFill>
                <a:srgbClr val="FFFF00"/>
              </a:solidFill>
              <a:latin typeface="Arial"/>
              <a:cs typeface="Arial"/>
            </a:rPr>
            <a:t>8.3%%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124</xdr:row>
      <xdr:rowOff>0</xdr:rowOff>
    </xdr:from>
    <xdr:to>
      <xdr:col>9</xdr:col>
      <xdr:colOff>438150</xdr:colOff>
      <xdr:row>124</xdr:row>
      <xdr:rowOff>0</xdr:rowOff>
    </xdr:to>
    <xdr:graphicFrame macro="">
      <xdr:nvGraphicFramePr>
        <xdr:cNvPr id="198179" name="Chart 273">
          <a:extLst>
            <a:ext uri="{FF2B5EF4-FFF2-40B4-BE49-F238E27FC236}">
              <a16:creationId xmlns:a16="http://schemas.microsoft.com/office/drawing/2014/main" id="{00000000-0008-0000-1100-00002306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cope%20Changes\Change%20Notice%20No.%203\C.O.%203%20Cost%20to%20Go%20from%2023%20Au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bid_base_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Documents%20and%20Settings\tvsmaria\Local%20Settings\Temporary%20Internet%20Files\OLK3\CR%200106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Archivos%20temporales%20de%20Internet\Content.IE5\KYATDWWM\Project%20Control%20%20Constr%20For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Financiamiento%20de%20Proyecto\Financial%20Models\Final%20Models\Closing%20Model%20Files\Budget%202003%20&amp;%202004\Lima%20Closing%20Case%20Sep%2024%20'03%20-%20Budget%2003%20&amp;%2004%20-%20Oct%2023%20'03%20v1%20(Comm%20Rev%20&amp;%20Max%20Contingency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Compartidos\F.%20Project\Short%20Term%20Financial%20Model\Short%20Term%20Model%20(24-08-2004)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YPC-0001%20PROGRESS%20-%20QTY&amp;HRS%20TERMINAL%20NORTE%20&amp;%20PERU%20PLAZ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ind2\Eduard\Juan%20Santamaria\ifc3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finanzas\PROJECT%20FINANCE%20MANAGEMENT\Financial%20Models\Lender%20Model%20Official%20Ver%2003-02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Documents%20and%20Settings\tvsmaria\Local%20Settings\Temporary%20Internet%20Files\OLK3\Model%202002\Luton%20base%20case_x02-07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DOCUME~1\PXCURRY\LOCALS~1\Temp\Personal\Aer%20Rianta\AR3.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Ireland\Industrial\Transportation%20and%20Infra\aer%20rianta\Models\AR_DCF_sept00_10yrs_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phuari\Local%20Settings\Temp\MS2&amp;3\Sent%20April%2006\MS%202&amp;3\Schedule%20of%20Values%20-%20Ikusi%20(27-07-04)%20LGG%2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MPLIACION%20AEROPUERTO\PALOMARES\Diar_Proj_ContConstruc_Form_25M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drodas\LOCALS~1\Temp\Progress%20Chart%20-%20Furukawa%20-29-09-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gomezgarcia\Local%20Settings\Temporary%20Internet%20Files\OLK12D\QURR\L.A.P.%20enviados\Four%20week%20%20%20%2007%20Jun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nte%20Rodas\Project%20Control%20%20Constr%20Form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cope%20Changes\Change%20Notice%20No.%203\C.O.%203%20Cost%20to%20Go%20from%2023%20Au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Old\CASH%20FLOW%20(F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Financiamiento%20de%20Proyecto\Financial%20Models\Old%20Model%20Versions\Lima%20Financial%20Model%20Abr%2002%20'03%20-%20Lenders%20Base%20Case%20-%20LAP%20proposal%20(Update%202001-20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Financiamiento%20de%20Proyecto\Financial%20Models\Forecast%202003\Lima%20Financial%20Model%20Jul%2016%20'03%20(LAP%20Forecast%20as%20of%20Jun&#180;03%20-%20INTP)%20-%20Valuaci&#243;n%20Sep%20&#180;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a%20Rica\Model%2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Modelo%20Financiero\Latest%20v.Jill\Final%20Model%2006-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ind2\Eduard\Juan%20Santamaria\Juan%20Santamaria\CostaRicaModel2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MPLIACION%20AEROPUERTO\PALOMARES\Diar_Proj_ContConstruc_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s%20Documentos\Luigi\Mis%20documentos\LUIGI1\DIAR\PROJECTCONTROL\Diar_Proj_ContConstruc_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8\Antamina%20Project\Partes%20Diarios\Formato%20-%20Parte%20Diarios\Daily%20Force%20Report\Daily%20Force%20Report%2019Jul-25Ju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a\c\Mis%20Documentos\Luigi\Mis%20documentos\LUIGI1\DIAR\SALIDA_LEO_GOMEZ\Diar_Proj_ContConstruc_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MOREPNT\Obras\QURR-ep\PROGRESS%20CURVES%20AS%20OF%20JAN%202ND%2004-LG-Rev-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Proyecciones%208%20m\Sent%20150601\CR%20Adjusted%20Monthly%20010615b%20Finals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drodas.BECHTEL-LIMA\Local%20Settings\Temporary%20Internet%20Files\OLK7\Progress%20Chart%20-%20Furukawa%2017-05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O\20_Reportes%20Peri&#243;dicos\Actual%20Information\Informe%20Mensual\TEMP\bid_base_cas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finanzas\OPIC\02-11-27%20Lima%20Final%20Se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Modelo%20Financiero\Mgmt%20Model\CR%20011009CORREC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8\department$\Compartidos\F.%20Project\Short%20Term%20Financial%20Model\Strategic%20Model%20(Long%20Term)\20150428%20LAP%20Strategic%20Model%20(BB%20&amp;%20TFP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 Weeks"/>
      <sheetName val="Payroll Costs SF"/>
      <sheetName val="Detailed Est. Worksheet"/>
      <sheetName val="ODCs"/>
      <sheetName val="Trips"/>
      <sheetName val="Daily"/>
      <sheetName val="CN No. 2 Subconsultants"/>
      <sheetName val="Escalation Calc"/>
      <sheetName val="CN No. 3 Summary Rev 1"/>
      <sheetName val="C.O. 3 Cost to Go from 23 Aug"/>
      <sheetName val="Bech_Lab"/>
      <sheetName val="Direct_Lbr"/>
      <sheetName val="Sheet1"/>
      <sheetName val="WAGERATE BY CRAFT"/>
      <sheetName val="Rates"/>
      <sheetName val="Detail"/>
      <sheetName val="#REF"/>
      <sheetName val="A"/>
      <sheetName val="B"/>
      <sheetName val="Service Est &amp; GM Analysis"/>
      <sheetName val="WAGERATEBYCRAFT"/>
      <sheetName val="_REF"/>
      <sheetName val="Man_Weeks"/>
      <sheetName val="Payroll_Costs_SF"/>
      <sheetName val="Detailed_Est__Worksheet"/>
      <sheetName val="CN_No__2_Subconsultants"/>
      <sheetName val="Escalation_Calc"/>
      <sheetName val="CN_No__3_Summary_Rev_1"/>
      <sheetName val="C_O__3_Cost_to_Go_from_23_Aug"/>
      <sheetName val="WAGERATE_BY_CRAFT"/>
      <sheetName val="Service_Est_&amp;_GM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Graphs"/>
      <sheetName val="Summary"/>
      <sheetName val="Summary Calcs"/>
      <sheetName val="Input"/>
      <sheetName val="Inputs-NonAeroRevs"/>
      <sheetName val="1. Time &amp; Esc"/>
      <sheetName val="Fcst"/>
      <sheetName val="2&amp;3 AeroRevs"/>
      <sheetName val="4. Non-AeroRevs"/>
      <sheetName val="5. Govt Revs"/>
      <sheetName val="6. OpEx"/>
      <sheetName val="7 &amp; 8A. SandU"/>
      <sheetName val="8b-8e. Debt"/>
      <sheetName val="9&amp;11. WC&amp;Tax"/>
      <sheetName val="10. Assets"/>
      <sheetName val="CashF"/>
      <sheetName val="P&amp;L"/>
      <sheetName val="Bal"/>
      <sheetName val="$Fin's"/>
      <sheetName val="Module2"/>
      <sheetName val="Introduction"/>
      <sheetName val="Module1"/>
      <sheetName val="Module3"/>
      <sheetName val="SPEND PER PAX 03 04 05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Nuevo Sol</v>
          </cell>
        </row>
        <row r="14">
          <cell r="C14">
            <v>3.49</v>
          </cell>
        </row>
        <row r="22">
          <cell r="C22">
            <v>1</v>
          </cell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</row>
        <row r="67">
          <cell r="C67">
            <v>1</v>
          </cell>
        </row>
        <row r="68">
          <cell r="C68">
            <v>0.15</v>
          </cell>
        </row>
        <row r="72">
          <cell r="C72">
            <v>0.1</v>
          </cell>
        </row>
        <row r="73">
          <cell r="C73">
            <v>2.5000000000000001E-2</v>
          </cell>
        </row>
        <row r="76">
          <cell r="C76">
            <v>249.63</v>
          </cell>
        </row>
        <row r="77">
          <cell r="C77">
            <v>350</v>
          </cell>
        </row>
        <row r="78">
          <cell r="C78">
            <v>405.14</v>
          </cell>
        </row>
        <row r="79">
          <cell r="C79">
            <v>785.29</v>
          </cell>
        </row>
        <row r="81">
          <cell r="C81">
            <v>249.63</v>
          </cell>
        </row>
        <row r="82">
          <cell r="C82">
            <v>350</v>
          </cell>
        </row>
        <row r="83">
          <cell r="C83">
            <v>405.14</v>
          </cell>
        </row>
        <row r="84">
          <cell r="C84">
            <v>785.29</v>
          </cell>
        </row>
        <row r="86">
          <cell r="C86">
            <v>0.15</v>
          </cell>
        </row>
        <row r="87">
          <cell r="C87">
            <v>7.4999999999999997E-2</v>
          </cell>
        </row>
        <row r="90">
          <cell r="C90">
            <v>80</v>
          </cell>
        </row>
        <row r="91">
          <cell r="C91">
            <v>80</v>
          </cell>
        </row>
        <row r="96">
          <cell r="C96">
            <v>0.01</v>
          </cell>
          <cell r="D96">
            <v>0.01</v>
          </cell>
          <cell r="E96">
            <v>0.02</v>
          </cell>
        </row>
        <row r="97">
          <cell r="C97">
            <v>0.02</v>
          </cell>
        </row>
        <row r="102">
          <cell r="C102">
            <v>0.02</v>
          </cell>
        </row>
        <row r="106">
          <cell r="C106">
            <v>1</v>
          </cell>
        </row>
        <row r="108">
          <cell r="C108">
            <v>0.3</v>
          </cell>
        </row>
        <row r="109">
          <cell r="C109">
            <v>2001</v>
          </cell>
        </row>
        <row r="111">
          <cell r="C111">
            <v>0.35</v>
          </cell>
        </row>
        <row r="112">
          <cell r="C112">
            <v>2001</v>
          </cell>
        </row>
        <row r="115">
          <cell r="C115">
            <v>154428.57142857142</v>
          </cell>
        </row>
        <row r="116">
          <cell r="C116">
            <v>181185.71428571426</v>
          </cell>
        </row>
        <row r="117">
          <cell r="C117">
            <v>207942.85714285713</v>
          </cell>
        </row>
        <row r="118">
          <cell r="C118">
            <v>234700</v>
          </cell>
        </row>
        <row r="162">
          <cell r="C162">
            <v>22</v>
          </cell>
          <cell r="D162">
            <v>22</v>
          </cell>
          <cell r="E162">
            <v>22</v>
          </cell>
          <cell r="F162">
            <v>22</v>
          </cell>
          <cell r="G162">
            <v>22</v>
          </cell>
          <cell r="H162">
            <v>22</v>
          </cell>
          <cell r="I162">
            <v>22</v>
          </cell>
          <cell r="J162">
            <v>22</v>
          </cell>
          <cell r="K162">
            <v>22</v>
          </cell>
          <cell r="L162">
            <v>22</v>
          </cell>
          <cell r="M162">
            <v>22</v>
          </cell>
          <cell r="N162">
            <v>22</v>
          </cell>
          <cell r="O162">
            <v>22</v>
          </cell>
          <cell r="P162">
            <v>22</v>
          </cell>
          <cell r="Q162">
            <v>22</v>
          </cell>
          <cell r="R162">
            <v>22</v>
          </cell>
          <cell r="S162">
            <v>22</v>
          </cell>
          <cell r="T162">
            <v>22</v>
          </cell>
          <cell r="U162">
            <v>22</v>
          </cell>
          <cell r="V162">
            <v>22</v>
          </cell>
          <cell r="W162">
            <v>22</v>
          </cell>
          <cell r="X162">
            <v>22</v>
          </cell>
          <cell r="Y162">
            <v>22</v>
          </cell>
          <cell r="Z162">
            <v>22</v>
          </cell>
          <cell r="AA162">
            <v>22</v>
          </cell>
          <cell r="AB162">
            <v>22</v>
          </cell>
          <cell r="AC162">
            <v>22</v>
          </cell>
          <cell r="AD162">
            <v>22</v>
          </cell>
          <cell r="AE162">
            <v>22</v>
          </cell>
          <cell r="AF162">
            <v>22</v>
          </cell>
          <cell r="AG162">
            <v>30</v>
          </cell>
          <cell r="AH162">
            <v>30</v>
          </cell>
          <cell r="AI162">
            <v>30</v>
          </cell>
          <cell r="AJ162">
            <v>30</v>
          </cell>
          <cell r="AK162">
            <v>30</v>
          </cell>
          <cell r="AL162">
            <v>30</v>
          </cell>
          <cell r="AM162">
            <v>30</v>
          </cell>
          <cell r="AN162">
            <v>30</v>
          </cell>
          <cell r="AO162">
            <v>30</v>
          </cell>
          <cell r="AP162">
            <v>30</v>
          </cell>
          <cell r="AQ162">
            <v>30</v>
          </cell>
        </row>
        <row r="163">
          <cell r="C163">
            <v>60</v>
          </cell>
          <cell r="D163">
            <v>60</v>
          </cell>
          <cell r="E163">
            <v>60</v>
          </cell>
          <cell r="F163">
            <v>60</v>
          </cell>
          <cell r="G163">
            <v>60</v>
          </cell>
          <cell r="H163">
            <v>60</v>
          </cell>
          <cell r="I163">
            <v>60</v>
          </cell>
          <cell r="J163">
            <v>60</v>
          </cell>
          <cell r="K163">
            <v>60</v>
          </cell>
          <cell r="L163">
            <v>60</v>
          </cell>
          <cell r="M163">
            <v>60</v>
          </cell>
          <cell r="N163">
            <v>60</v>
          </cell>
          <cell r="O163">
            <v>60</v>
          </cell>
          <cell r="P163">
            <v>60</v>
          </cell>
          <cell r="Q163">
            <v>60</v>
          </cell>
          <cell r="R163">
            <v>60</v>
          </cell>
          <cell r="S163">
            <v>60</v>
          </cell>
          <cell r="T163">
            <v>60</v>
          </cell>
          <cell r="U163">
            <v>60</v>
          </cell>
          <cell r="V163">
            <v>60</v>
          </cell>
          <cell r="W163">
            <v>60</v>
          </cell>
          <cell r="X163">
            <v>60</v>
          </cell>
          <cell r="Y163">
            <v>60</v>
          </cell>
          <cell r="Z163">
            <v>60</v>
          </cell>
          <cell r="AA163">
            <v>60</v>
          </cell>
          <cell r="AB163">
            <v>60</v>
          </cell>
          <cell r="AC163">
            <v>60</v>
          </cell>
          <cell r="AD163">
            <v>60</v>
          </cell>
          <cell r="AE163">
            <v>60</v>
          </cell>
          <cell r="AF163">
            <v>60</v>
          </cell>
          <cell r="AG163">
            <v>65</v>
          </cell>
          <cell r="AH163">
            <v>65</v>
          </cell>
          <cell r="AI163">
            <v>65</v>
          </cell>
          <cell r="AJ163">
            <v>65</v>
          </cell>
          <cell r="AK163">
            <v>65</v>
          </cell>
          <cell r="AL163">
            <v>65</v>
          </cell>
          <cell r="AM163">
            <v>65</v>
          </cell>
          <cell r="AN163">
            <v>65</v>
          </cell>
          <cell r="AO163">
            <v>65</v>
          </cell>
          <cell r="AP163">
            <v>65</v>
          </cell>
          <cell r="AQ163">
            <v>65</v>
          </cell>
        </row>
        <row r="164">
          <cell r="C164">
            <v>89</v>
          </cell>
          <cell r="D164">
            <v>89</v>
          </cell>
          <cell r="E164">
            <v>89</v>
          </cell>
          <cell r="F164">
            <v>89</v>
          </cell>
          <cell r="G164">
            <v>89</v>
          </cell>
          <cell r="H164">
            <v>89</v>
          </cell>
          <cell r="I164">
            <v>89</v>
          </cell>
          <cell r="J164">
            <v>89</v>
          </cell>
          <cell r="K164">
            <v>89</v>
          </cell>
          <cell r="L164">
            <v>89</v>
          </cell>
          <cell r="M164">
            <v>89</v>
          </cell>
          <cell r="N164">
            <v>89</v>
          </cell>
          <cell r="O164">
            <v>89</v>
          </cell>
          <cell r="P164">
            <v>89</v>
          </cell>
          <cell r="Q164">
            <v>89</v>
          </cell>
          <cell r="R164">
            <v>89</v>
          </cell>
          <cell r="S164">
            <v>89</v>
          </cell>
          <cell r="T164">
            <v>89</v>
          </cell>
          <cell r="U164">
            <v>89</v>
          </cell>
          <cell r="V164">
            <v>89</v>
          </cell>
          <cell r="W164">
            <v>89</v>
          </cell>
          <cell r="X164">
            <v>89</v>
          </cell>
          <cell r="Y164">
            <v>89</v>
          </cell>
          <cell r="Z164">
            <v>89</v>
          </cell>
          <cell r="AA164">
            <v>89</v>
          </cell>
          <cell r="AB164">
            <v>89</v>
          </cell>
          <cell r="AC164">
            <v>89</v>
          </cell>
          <cell r="AD164">
            <v>89</v>
          </cell>
          <cell r="AE164">
            <v>89</v>
          </cell>
          <cell r="AF164">
            <v>89</v>
          </cell>
          <cell r="AG164">
            <v>90</v>
          </cell>
          <cell r="AH164">
            <v>90</v>
          </cell>
          <cell r="AI164">
            <v>90</v>
          </cell>
          <cell r="AJ164">
            <v>90</v>
          </cell>
          <cell r="AK164">
            <v>90</v>
          </cell>
          <cell r="AL164">
            <v>90</v>
          </cell>
          <cell r="AM164">
            <v>90</v>
          </cell>
          <cell r="AN164">
            <v>90</v>
          </cell>
          <cell r="AO164">
            <v>90</v>
          </cell>
          <cell r="AP164">
            <v>90</v>
          </cell>
          <cell r="AQ164">
            <v>90</v>
          </cell>
        </row>
        <row r="165">
          <cell r="C165">
            <v>189</v>
          </cell>
          <cell r="D165">
            <v>189</v>
          </cell>
          <cell r="E165">
            <v>189</v>
          </cell>
          <cell r="F165">
            <v>189</v>
          </cell>
          <cell r="G165">
            <v>189</v>
          </cell>
          <cell r="H165">
            <v>189</v>
          </cell>
          <cell r="I165">
            <v>189</v>
          </cell>
          <cell r="J165">
            <v>189</v>
          </cell>
          <cell r="K165">
            <v>189</v>
          </cell>
          <cell r="L165">
            <v>189</v>
          </cell>
          <cell r="M165">
            <v>189</v>
          </cell>
          <cell r="N165">
            <v>189</v>
          </cell>
          <cell r="O165">
            <v>189</v>
          </cell>
          <cell r="P165">
            <v>189</v>
          </cell>
          <cell r="Q165">
            <v>189</v>
          </cell>
          <cell r="R165">
            <v>189</v>
          </cell>
          <cell r="S165">
            <v>189</v>
          </cell>
          <cell r="T165">
            <v>189</v>
          </cell>
          <cell r="U165">
            <v>189</v>
          </cell>
          <cell r="V165">
            <v>189</v>
          </cell>
          <cell r="W165">
            <v>189</v>
          </cell>
          <cell r="X165">
            <v>189</v>
          </cell>
          <cell r="Y165">
            <v>189</v>
          </cell>
          <cell r="Z165">
            <v>189</v>
          </cell>
          <cell r="AA165">
            <v>189</v>
          </cell>
          <cell r="AB165">
            <v>189</v>
          </cell>
          <cell r="AC165">
            <v>189</v>
          </cell>
          <cell r="AD165">
            <v>189</v>
          </cell>
          <cell r="AE165">
            <v>189</v>
          </cell>
          <cell r="AF165">
            <v>189</v>
          </cell>
          <cell r="AG165">
            <v>200</v>
          </cell>
          <cell r="AH165">
            <v>200</v>
          </cell>
          <cell r="AI165">
            <v>200</v>
          </cell>
          <cell r="AJ165">
            <v>200</v>
          </cell>
          <cell r="AK165">
            <v>200</v>
          </cell>
          <cell r="AL165">
            <v>200</v>
          </cell>
          <cell r="AM165">
            <v>200</v>
          </cell>
          <cell r="AN165">
            <v>200</v>
          </cell>
          <cell r="AO165">
            <v>200</v>
          </cell>
          <cell r="AP165">
            <v>200</v>
          </cell>
          <cell r="AQ165">
            <v>200</v>
          </cell>
        </row>
        <row r="168">
          <cell r="C168">
            <v>22</v>
          </cell>
          <cell r="D168">
            <v>22</v>
          </cell>
          <cell r="E168">
            <v>22</v>
          </cell>
          <cell r="F168">
            <v>22</v>
          </cell>
          <cell r="G168">
            <v>22</v>
          </cell>
          <cell r="H168">
            <v>22</v>
          </cell>
          <cell r="I168">
            <v>22</v>
          </cell>
          <cell r="J168">
            <v>22</v>
          </cell>
          <cell r="K168">
            <v>22</v>
          </cell>
          <cell r="L168">
            <v>22</v>
          </cell>
          <cell r="M168">
            <v>22</v>
          </cell>
          <cell r="N168">
            <v>22</v>
          </cell>
          <cell r="O168">
            <v>22</v>
          </cell>
          <cell r="P168">
            <v>22</v>
          </cell>
          <cell r="Q168">
            <v>22</v>
          </cell>
          <cell r="R168">
            <v>22</v>
          </cell>
          <cell r="S168">
            <v>22</v>
          </cell>
          <cell r="T168">
            <v>22</v>
          </cell>
          <cell r="U168">
            <v>22</v>
          </cell>
          <cell r="V168">
            <v>22</v>
          </cell>
          <cell r="W168">
            <v>22</v>
          </cell>
          <cell r="X168">
            <v>22</v>
          </cell>
          <cell r="Y168">
            <v>22</v>
          </cell>
          <cell r="Z168">
            <v>22</v>
          </cell>
          <cell r="AA168">
            <v>22</v>
          </cell>
          <cell r="AB168">
            <v>22</v>
          </cell>
          <cell r="AC168">
            <v>22</v>
          </cell>
          <cell r="AD168">
            <v>22</v>
          </cell>
          <cell r="AE168">
            <v>22</v>
          </cell>
          <cell r="AF168">
            <v>22</v>
          </cell>
          <cell r="AG168">
            <v>30</v>
          </cell>
          <cell r="AH168">
            <v>30</v>
          </cell>
          <cell r="AI168">
            <v>30</v>
          </cell>
          <cell r="AJ168">
            <v>30</v>
          </cell>
          <cell r="AK168">
            <v>30</v>
          </cell>
          <cell r="AL168">
            <v>30</v>
          </cell>
          <cell r="AM168">
            <v>30</v>
          </cell>
          <cell r="AN168">
            <v>30</v>
          </cell>
          <cell r="AO168">
            <v>30</v>
          </cell>
          <cell r="AP168">
            <v>30</v>
          </cell>
          <cell r="AQ168">
            <v>30</v>
          </cell>
        </row>
        <row r="169">
          <cell r="C169">
            <v>58</v>
          </cell>
          <cell r="D169">
            <v>58</v>
          </cell>
          <cell r="E169">
            <v>58</v>
          </cell>
          <cell r="F169">
            <v>58</v>
          </cell>
          <cell r="G169">
            <v>58</v>
          </cell>
          <cell r="H169">
            <v>58</v>
          </cell>
          <cell r="I169">
            <v>58</v>
          </cell>
          <cell r="J169">
            <v>58</v>
          </cell>
          <cell r="K169">
            <v>58</v>
          </cell>
          <cell r="L169">
            <v>58</v>
          </cell>
          <cell r="M169">
            <v>58</v>
          </cell>
          <cell r="N169">
            <v>58</v>
          </cell>
          <cell r="O169">
            <v>58</v>
          </cell>
          <cell r="P169">
            <v>58</v>
          </cell>
          <cell r="Q169">
            <v>58</v>
          </cell>
          <cell r="R169">
            <v>58</v>
          </cell>
          <cell r="S169">
            <v>58</v>
          </cell>
          <cell r="T169">
            <v>58</v>
          </cell>
          <cell r="U169">
            <v>58</v>
          </cell>
          <cell r="V169">
            <v>58</v>
          </cell>
          <cell r="W169">
            <v>58</v>
          </cell>
          <cell r="X169">
            <v>58</v>
          </cell>
          <cell r="Y169">
            <v>58</v>
          </cell>
          <cell r="Z169">
            <v>58</v>
          </cell>
          <cell r="AA169">
            <v>58</v>
          </cell>
          <cell r="AB169">
            <v>58</v>
          </cell>
          <cell r="AC169">
            <v>58</v>
          </cell>
          <cell r="AD169">
            <v>58</v>
          </cell>
          <cell r="AE169">
            <v>58</v>
          </cell>
          <cell r="AF169">
            <v>58</v>
          </cell>
          <cell r="AG169">
            <v>65</v>
          </cell>
          <cell r="AH169">
            <v>65</v>
          </cell>
          <cell r="AI169">
            <v>65</v>
          </cell>
          <cell r="AJ169">
            <v>65</v>
          </cell>
          <cell r="AK169">
            <v>65</v>
          </cell>
          <cell r="AL169">
            <v>65</v>
          </cell>
          <cell r="AM169">
            <v>65</v>
          </cell>
          <cell r="AN169">
            <v>65</v>
          </cell>
          <cell r="AO169">
            <v>65</v>
          </cell>
          <cell r="AP169">
            <v>65</v>
          </cell>
          <cell r="AQ169">
            <v>65</v>
          </cell>
        </row>
        <row r="170">
          <cell r="C170">
            <v>95</v>
          </cell>
          <cell r="D170">
            <v>95</v>
          </cell>
          <cell r="E170">
            <v>95</v>
          </cell>
          <cell r="F170">
            <v>95</v>
          </cell>
          <cell r="G170">
            <v>95</v>
          </cell>
          <cell r="H170">
            <v>95</v>
          </cell>
          <cell r="I170">
            <v>95</v>
          </cell>
          <cell r="J170">
            <v>95</v>
          </cell>
          <cell r="K170">
            <v>95</v>
          </cell>
          <cell r="L170">
            <v>95</v>
          </cell>
          <cell r="M170">
            <v>95</v>
          </cell>
          <cell r="N170">
            <v>95</v>
          </cell>
          <cell r="O170">
            <v>95</v>
          </cell>
          <cell r="P170">
            <v>95</v>
          </cell>
          <cell r="Q170">
            <v>95</v>
          </cell>
          <cell r="R170">
            <v>95</v>
          </cell>
          <cell r="S170">
            <v>95</v>
          </cell>
          <cell r="T170">
            <v>95</v>
          </cell>
          <cell r="U170">
            <v>95</v>
          </cell>
          <cell r="V170">
            <v>95</v>
          </cell>
          <cell r="W170">
            <v>95</v>
          </cell>
          <cell r="X170">
            <v>95</v>
          </cell>
          <cell r="Y170">
            <v>95</v>
          </cell>
          <cell r="Z170">
            <v>95</v>
          </cell>
          <cell r="AA170">
            <v>95</v>
          </cell>
          <cell r="AB170">
            <v>95</v>
          </cell>
          <cell r="AC170">
            <v>95</v>
          </cell>
          <cell r="AD170">
            <v>95</v>
          </cell>
          <cell r="AE170">
            <v>95</v>
          </cell>
          <cell r="AF170">
            <v>95</v>
          </cell>
          <cell r="AG170">
            <v>90</v>
          </cell>
          <cell r="AH170">
            <v>90</v>
          </cell>
          <cell r="AI170">
            <v>90</v>
          </cell>
          <cell r="AJ170">
            <v>90</v>
          </cell>
          <cell r="AK170">
            <v>90</v>
          </cell>
          <cell r="AL170">
            <v>90</v>
          </cell>
          <cell r="AM170">
            <v>90</v>
          </cell>
          <cell r="AN170">
            <v>90</v>
          </cell>
          <cell r="AO170">
            <v>90</v>
          </cell>
          <cell r="AP170">
            <v>90</v>
          </cell>
          <cell r="AQ170">
            <v>90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200</v>
          </cell>
          <cell r="AH171">
            <v>200</v>
          </cell>
          <cell r="AI171">
            <v>200</v>
          </cell>
          <cell r="AJ171">
            <v>200</v>
          </cell>
          <cell r="AK171">
            <v>200</v>
          </cell>
          <cell r="AL171">
            <v>200</v>
          </cell>
          <cell r="AM171">
            <v>200</v>
          </cell>
          <cell r="AN171">
            <v>200</v>
          </cell>
          <cell r="AO171">
            <v>200</v>
          </cell>
          <cell r="AP171">
            <v>200</v>
          </cell>
          <cell r="AQ171">
            <v>200</v>
          </cell>
        </row>
        <row r="174">
          <cell r="C174">
            <v>42</v>
          </cell>
          <cell r="D174">
            <v>42</v>
          </cell>
          <cell r="E174">
            <v>42</v>
          </cell>
          <cell r="F174">
            <v>42</v>
          </cell>
          <cell r="G174">
            <v>42</v>
          </cell>
          <cell r="H174">
            <v>42</v>
          </cell>
          <cell r="I174">
            <v>42</v>
          </cell>
          <cell r="J174">
            <v>42</v>
          </cell>
          <cell r="K174">
            <v>42</v>
          </cell>
          <cell r="L174">
            <v>42</v>
          </cell>
          <cell r="M174">
            <v>42</v>
          </cell>
          <cell r="N174">
            <v>42</v>
          </cell>
          <cell r="O174">
            <v>42</v>
          </cell>
          <cell r="P174">
            <v>42</v>
          </cell>
          <cell r="Q174">
            <v>42</v>
          </cell>
          <cell r="R174">
            <v>42</v>
          </cell>
          <cell r="S174">
            <v>42</v>
          </cell>
          <cell r="T174">
            <v>42</v>
          </cell>
          <cell r="U174">
            <v>42</v>
          </cell>
          <cell r="V174">
            <v>42</v>
          </cell>
          <cell r="W174">
            <v>42</v>
          </cell>
          <cell r="X174">
            <v>42</v>
          </cell>
          <cell r="Y174">
            <v>42</v>
          </cell>
          <cell r="Z174">
            <v>42</v>
          </cell>
          <cell r="AA174">
            <v>42</v>
          </cell>
          <cell r="AB174">
            <v>42</v>
          </cell>
          <cell r="AC174">
            <v>42</v>
          </cell>
          <cell r="AD174">
            <v>42</v>
          </cell>
          <cell r="AE174">
            <v>42</v>
          </cell>
          <cell r="AF174">
            <v>42</v>
          </cell>
          <cell r="AG174">
            <v>42</v>
          </cell>
          <cell r="AH174">
            <v>42</v>
          </cell>
          <cell r="AI174">
            <v>42</v>
          </cell>
          <cell r="AJ174">
            <v>42</v>
          </cell>
          <cell r="AK174">
            <v>42</v>
          </cell>
          <cell r="AL174">
            <v>42</v>
          </cell>
          <cell r="AM174">
            <v>42</v>
          </cell>
          <cell r="AN174">
            <v>42</v>
          </cell>
          <cell r="AO174">
            <v>42</v>
          </cell>
          <cell r="AP174">
            <v>42</v>
          </cell>
          <cell r="AQ174">
            <v>42</v>
          </cell>
        </row>
        <row r="175">
          <cell r="C175">
            <v>60</v>
          </cell>
          <cell r="D175">
            <v>60</v>
          </cell>
          <cell r="E175">
            <v>60</v>
          </cell>
          <cell r="F175">
            <v>60</v>
          </cell>
          <cell r="G175">
            <v>60</v>
          </cell>
          <cell r="H175">
            <v>60</v>
          </cell>
          <cell r="I175">
            <v>60</v>
          </cell>
          <cell r="J175">
            <v>60</v>
          </cell>
          <cell r="K175">
            <v>60</v>
          </cell>
          <cell r="L175">
            <v>60</v>
          </cell>
          <cell r="M175">
            <v>60</v>
          </cell>
          <cell r="N175">
            <v>60</v>
          </cell>
          <cell r="O175">
            <v>60</v>
          </cell>
          <cell r="P175">
            <v>60</v>
          </cell>
          <cell r="Q175">
            <v>60</v>
          </cell>
          <cell r="R175">
            <v>60</v>
          </cell>
          <cell r="S175">
            <v>60</v>
          </cell>
          <cell r="T175">
            <v>60</v>
          </cell>
          <cell r="U175">
            <v>60</v>
          </cell>
          <cell r="V175">
            <v>60</v>
          </cell>
          <cell r="W175">
            <v>60</v>
          </cell>
          <cell r="X175">
            <v>60</v>
          </cell>
          <cell r="Y175">
            <v>60</v>
          </cell>
          <cell r="Z175">
            <v>60</v>
          </cell>
          <cell r="AA175">
            <v>60</v>
          </cell>
          <cell r="AB175">
            <v>60</v>
          </cell>
          <cell r="AC175">
            <v>60</v>
          </cell>
          <cell r="AD175">
            <v>60</v>
          </cell>
          <cell r="AE175">
            <v>60</v>
          </cell>
          <cell r="AF175">
            <v>60</v>
          </cell>
          <cell r="AG175">
            <v>60</v>
          </cell>
          <cell r="AH175">
            <v>60</v>
          </cell>
          <cell r="AI175">
            <v>60</v>
          </cell>
          <cell r="AJ175">
            <v>60</v>
          </cell>
          <cell r="AK175">
            <v>60</v>
          </cell>
          <cell r="AL175">
            <v>60</v>
          </cell>
          <cell r="AM175">
            <v>60</v>
          </cell>
          <cell r="AN175">
            <v>60</v>
          </cell>
          <cell r="AO175">
            <v>60</v>
          </cell>
          <cell r="AP175">
            <v>60</v>
          </cell>
          <cell r="AQ175">
            <v>60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</row>
        <row r="177">
          <cell r="C177">
            <v>397</v>
          </cell>
          <cell r="D177">
            <v>397</v>
          </cell>
          <cell r="E177">
            <v>397</v>
          </cell>
          <cell r="F177">
            <v>397</v>
          </cell>
          <cell r="G177">
            <v>397</v>
          </cell>
          <cell r="H177">
            <v>397</v>
          </cell>
          <cell r="I177">
            <v>397</v>
          </cell>
          <cell r="J177">
            <v>397</v>
          </cell>
          <cell r="K177">
            <v>397</v>
          </cell>
          <cell r="L177">
            <v>397</v>
          </cell>
          <cell r="M177">
            <v>397</v>
          </cell>
          <cell r="N177">
            <v>397</v>
          </cell>
          <cell r="O177">
            <v>397</v>
          </cell>
          <cell r="P177">
            <v>397</v>
          </cell>
          <cell r="Q177">
            <v>397</v>
          </cell>
          <cell r="R177">
            <v>397</v>
          </cell>
          <cell r="S177">
            <v>397</v>
          </cell>
          <cell r="T177">
            <v>397</v>
          </cell>
          <cell r="U177">
            <v>397</v>
          </cell>
          <cell r="V177">
            <v>397</v>
          </cell>
          <cell r="W177">
            <v>397</v>
          </cell>
          <cell r="X177">
            <v>397</v>
          </cell>
          <cell r="Y177">
            <v>397</v>
          </cell>
          <cell r="Z177">
            <v>397</v>
          </cell>
          <cell r="AA177">
            <v>397</v>
          </cell>
          <cell r="AB177">
            <v>397</v>
          </cell>
          <cell r="AC177">
            <v>397</v>
          </cell>
          <cell r="AD177">
            <v>397</v>
          </cell>
          <cell r="AE177">
            <v>397</v>
          </cell>
          <cell r="AF177">
            <v>397</v>
          </cell>
          <cell r="AG177">
            <v>397</v>
          </cell>
          <cell r="AH177">
            <v>397</v>
          </cell>
          <cell r="AI177">
            <v>397</v>
          </cell>
          <cell r="AJ177">
            <v>397</v>
          </cell>
          <cell r="AK177">
            <v>397</v>
          </cell>
          <cell r="AL177">
            <v>397</v>
          </cell>
          <cell r="AM177">
            <v>397</v>
          </cell>
          <cell r="AN177">
            <v>397</v>
          </cell>
          <cell r="AO177">
            <v>397</v>
          </cell>
          <cell r="AP177">
            <v>397</v>
          </cell>
          <cell r="AQ177">
            <v>397</v>
          </cell>
        </row>
        <row r="182">
          <cell r="C182">
            <v>0.61</v>
          </cell>
          <cell r="D182">
            <v>0.61</v>
          </cell>
          <cell r="E182">
            <v>0.61</v>
          </cell>
          <cell r="F182">
            <v>0.61</v>
          </cell>
          <cell r="G182">
            <v>0.61</v>
          </cell>
          <cell r="H182">
            <v>0.61</v>
          </cell>
          <cell r="I182">
            <v>0.61</v>
          </cell>
          <cell r="J182">
            <v>0.61</v>
          </cell>
          <cell r="K182">
            <v>0.61</v>
          </cell>
          <cell r="L182">
            <v>0.61</v>
          </cell>
          <cell r="M182">
            <v>0.61</v>
          </cell>
          <cell r="N182">
            <v>0.61</v>
          </cell>
          <cell r="O182">
            <v>0.61</v>
          </cell>
          <cell r="P182">
            <v>0.61</v>
          </cell>
          <cell r="Q182">
            <v>0.61</v>
          </cell>
          <cell r="R182">
            <v>0.61</v>
          </cell>
          <cell r="S182">
            <v>0.61</v>
          </cell>
          <cell r="T182">
            <v>0.61</v>
          </cell>
          <cell r="U182">
            <v>0.61</v>
          </cell>
          <cell r="V182">
            <v>0.61</v>
          </cell>
          <cell r="W182">
            <v>0.61</v>
          </cell>
          <cell r="X182">
            <v>0.61</v>
          </cell>
          <cell r="Y182">
            <v>0.61</v>
          </cell>
          <cell r="Z182">
            <v>0.61</v>
          </cell>
          <cell r="AA182">
            <v>0.61</v>
          </cell>
          <cell r="AB182">
            <v>0.61</v>
          </cell>
          <cell r="AC182">
            <v>0.61</v>
          </cell>
          <cell r="AD182">
            <v>0.61</v>
          </cell>
          <cell r="AE182">
            <v>0.61</v>
          </cell>
          <cell r="AF182">
            <v>0.61</v>
          </cell>
          <cell r="AG182">
            <v>0.61</v>
          </cell>
          <cell r="AH182">
            <v>0.61</v>
          </cell>
          <cell r="AI182">
            <v>0.61</v>
          </cell>
          <cell r="AJ182">
            <v>0.61</v>
          </cell>
          <cell r="AK182">
            <v>0.61</v>
          </cell>
          <cell r="AL182">
            <v>0.61</v>
          </cell>
          <cell r="AM182">
            <v>0.61</v>
          </cell>
          <cell r="AN182">
            <v>0.61</v>
          </cell>
          <cell r="AO182">
            <v>0.61</v>
          </cell>
          <cell r="AP182">
            <v>0.61</v>
          </cell>
          <cell r="AQ182">
            <v>0.61</v>
          </cell>
        </row>
        <row r="183">
          <cell r="C183">
            <v>0.31</v>
          </cell>
          <cell r="D183">
            <v>0.31</v>
          </cell>
          <cell r="E183">
            <v>0.31</v>
          </cell>
          <cell r="F183">
            <v>0.31</v>
          </cell>
          <cell r="G183">
            <v>0.31</v>
          </cell>
          <cell r="H183">
            <v>0.31</v>
          </cell>
          <cell r="I183">
            <v>0.31</v>
          </cell>
          <cell r="J183">
            <v>0.31</v>
          </cell>
          <cell r="K183">
            <v>0.31</v>
          </cell>
          <cell r="L183">
            <v>0.31</v>
          </cell>
          <cell r="M183">
            <v>0.31</v>
          </cell>
          <cell r="N183">
            <v>0.31</v>
          </cell>
          <cell r="O183">
            <v>0.31</v>
          </cell>
          <cell r="P183">
            <v>0.31</v>
          </cell>
          <cell r="Q183">
            <v>0.31</v>
          </cell>
          <cell r="R183">
            <v>0.31</v>
          </cell>
          <cell r="S183">
            <v>0.31</v>
          </cell>
          <cell r="T183">
            <v>0.31</v>
          </cell>
          <cell r="U183">
            <v>0.31</v>
          </cell>
          <cell r="V183">
            <v>0.31</v>
          </cell>
          <cell r="W183">
            <v>0.31</v>
          </cell>
          <cell r="X183">
            <v>0.31</v>
          </cell>
          <cell r="Y183">
            <v>0.31</v>
          </cell>
          <cell r="Z183">
            <v>0.31</v>
          </cell>
          <cell r="AA183">
            <v>0.31</v>
          </cell>
          <cell r="AB183">
            <v>0.31</v>
          </cell>
          <cell r="AC183">
            <v>0.31</v>
          </cell>
          <cell r="AD183">
            <v>0.31</v>
          </cell>
          <cell r="AE183">
            <v>0.31</v>
          </cell>
          <cell r="AF183">
            <v>0.31</v>
          </cell>
          <cell r="AG183">
            <v>0.31</v>
          </cell>
          <cell r="AH183">
            <v>0.31</v>
          </cell>
          <cell r="AI183">
            <v>0.31</v>
          </cell>
          <cell r="AJ183">
            <v>0.31</v>
          </cell>
          <cell r="AK183">
            <v>0.31</v>
          </cell>
          <cell r="AL183">
            <v>0.31</v>
          </cell>
          <cell r="AM183">
            <v>0.31</v>
          </cell>
          <cell r="AN183">
            <v>0.31</v>
          </cell>
          <cell r="AO183">
            <v>0.31</v>
          </cell>
          <cell r="AP183">
            <v>0.31</v>
          </cell>
          <cell r="AQ183">
            <v>0.31</v>
          </cell>
        </row>
        <row r="186">
          <cell r="C186">
            <v>0.32200000000000001</v>
          </cell>
        </row>
        <row r="187">
          <cell r="C187">
            <v>0.47199999999999998</v>
          </cell>
        </row>
        <row r="188">
          <cell r="C188">
            <v>4</v>
          </cell>
        </row>
        <row r="191">
          <cell r="C191">
            <v>0</v>
          </cell>
          <cell r="D191">
            <v>0</v>
          </cell>
          <cell r="E191">
            <v>0.92500000000000004</v>
          </cell>
          <cell r="F191">
            <v>0.85</v>
          </cell>
          <cell r="G191">
            <v>0.69</v>
          </cell>
          <cell r="H191">
            <v>0.69</v>
          </cell>
          <cell r="I191">
            <v>0.69</v>
          </cell>
          <cell r="J191">
            <v>0.69</v>
          </cell>
          <cell r="K191">
            <v>0.19999999999999996</v>
          </cell>
          <cell r="L191">
            <v>0.19999999999999996</v>
          </cell>
          <cell r="M191">
            <v>0.19999999999999996</v>
          </cell>
          <cell r="N191">
            <v>0.19999999999999996</v>
          </cell>
          <cell r="O191">
            <v>0.19999999999999996</v>
          </cell>
          <cell r="P191">
            <v>0.19999999999999996</v>
          </cell>
          <cell r="Q191">
            <v>0.19999999999999996</v>
          </cell>
          <cell r="R191">
            <v>9.9999999999999978E-2</v>
          </cell>
          <cell r="S191">
            <v>9.9999999999999978E-2</v>
          </cell>
          <cell r="T191">
            <v>9.9999999999999978E-2</v>
          </cell>
          <cell r="U191">
            <v>9.9999999999999978E-2</v>
          </cell>
          <cell r="V191">
            <v>9.9999999999999978E-2</v>
          </cell>
          <cell r="W191">
            <v>9.9999999999999978E-2</v>
          </cell>
          <cell r="X191">
            <v>9.9999999999999978E-2</v>
          </cell>
          <cell r="Y191">
            <v>9.9999999999999978E-2</v>
          </cell>
          <cell r="Z191">
            <v>9.9999999999999978E-2</v>
          </cell>
          <cell r="AA191">
            <v>9.9999999999999978E-2</v>
          </cell>
          <cell r="AB191">
            <v>9.9999999999999978E-2</v>
          </cell>
          <cell r="AC191">
            <v>9.9999999999999978E-2</v>
          </cell>
          <cell r="AD191">
            <v>9.9999999999999978E-2</v>
          </cell>
          <cell r="AE191">
            <v>9.9999999999999978E-2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</row>
        <row r="194">
          <cell r="C194">
            <v>0</v>
          </cell>
          <cell r="D194">
            <v>0</v>
          </cell>
          <cell r="E194">
            <v>2</v>
          </cell>
          <cell r="F194">
            <v>2</v>
          </cell>
          <cell r="G194">
            <v>7</v>
          </cell>
          <cell r="H194">
            <v>7</v>
          </cell>
          <cell r="I194">
            <v>7</v>
          </cell>
          <cell r="J194">
            <v>7</v>
          </cell>
          <cell r="K194">
            <v>19</v>
          </cell>
          <cell r="L194">
            <v>19</v>
          </cell>
          <cell r="M194">
            <v>19</v>
          </cell>
          <cell r="N194">
            <v>19</v>
          </cell>
          <cell r="O194">
            <v>19</v>
          </cell>
          <cell r="P194">
            <v>19</v>
          </cell>
          <cell r="Q194">
            <v>19</v>
          </cell>
          <cell r="R194">
            <v>32</v>
          </cell>
          <cell r="S194">
            <v>32</v>
          </cell>
          <cell r="T194">
            <v>32</v>
          </cell>
          <cell r="U194">
            <v>32</v>
          </cell>
          <cell r="V194">
            <v>32</v>
          </cell>
          <cell r="W194">
            <v>37</v>
          </cell>
          <cell r="X194">
            <v>37</v>
          </cell>
          <cell r="Y194">
            <v>37</v>
          </cell>
          <cell r="Z194">
            <v>37</v>
          </cell>
          <cell r="AA194">
            <v>37</v>
          </cell>
          <cell r="AB194">
            <v>37</v>
          </cell>
          <cell r="AC194">
            <v>37</v>
          </cell>
          <cell r="AD194">
            <v>37</v>
          </cell>
          <cell r="AE194">
            <v>37</v>
          </cell>
          <cell r="AF194">
            <v>40</v>
          </cell>
          <cell r="AG194">
            <v>40</v>
          </cell>
          <cell r="AH194">
            <v>40</v>
          </cell>
          <cell r="AI194">
            <v>40</v>
          </cell>
          <cell r="AJ194">
            <v>40</v>
          </cell>
          <cell r="AK194">
            <v>40</v>
          </cell>
          <cell r="AL194">
            <v>40</v>
          </cell>
          <cell r="AM194">
            <v>40</v>
          </cell>
          <cell r="AN194">
            <v>40</v>
          </cell>
          <cell r="AO194">
            <v>40</v>
          </cell>
          <cell r="AP194">
            <v>40</v>
          </cell>
          <cell r="AQ194">
            <v>40</v>
          </cell>
        </row>
        <row r="195">
          <cell r="C195">
            <v>0</v>
          </cell>
          <cell r="D195">
            <v>0</v>
          </cell>
          <cell r="E195">
            <v>7.4999999999999997E-2</v>
          </cell>
          <cell r="F195">
            <v>0.15</v>
          </cell>
          <cell r="G195">
            <v>0.31</v>
          </cell>
          <cell r="H195">
            <v>0.31</v>
          </cell>
          <cell r="I195">
            <v>0.31</v>
          </cell>
          <cell r="J195">
            <v>0.31</v>
          </cell>
          <cell r="K195">
            <v>0.8</v>
          </cell>
          <cell r="L195">
            <v>0.8</v>
          </cell>
          <cell r="M195">
            <v>0.8</v>
          </cell>
          <cell r="N195">
            <v>0.8</v>
          </cell>
          <cell r="O195">
            <v>0.8</v>
          </cell>
          <cell r="P195">
            <v>0.8</v>
          </cell>
          <cell r="Q195">
            <v>0.8</v>
          </cell>
          <cell r="R195">
            <v>0.9</v>
          </cell>
          <cell r="S195">
            <v>0.9</v>
          </cell>
          <cell r="T195">
            <v>0.9</v>
          </cell>
          <cell r="U195">
            <v>0.9</v>
          </cell>
          <cell r="V195">
            <v>0.9</v>
          </cell>
          <cell r="W195">
            <v>0.9</v>
          </cell>
          <cell r="X195">
            <v>0.9</v>
          </cell>
          <cell r="Y195">
            <v>0.9</v>
          </cell>
          <cell r="Z195">
            <v>0.9</v>
          </cell>
          <cell r="AA195">
            <v>0.9</v>
          </cell>
          <cell r="AB195">
            <v>0.9</v>
          </cell>
          <cell r="AC195">
            <v>0.9</v>
          </cell>
          <cell r="AD195">
            <v>0.9</v>
          </cell>
          <cell r="AE195">
            <v>0.9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  <cell r="AP195">
            <v>1</v>
          </cell>
          <cell r="AQ195">
            <v>1</v>
          </cell>
        </row>
        <row r="198">
          <cell r="B198">
            <v>79992198.109022141</v>
          </cell>
          <cell r="C198">
            <v>79992198.109022141</v>
          </cell>
          <cell r="D198">
            <v>84890940.232529044</v>
          </cell>
          <cell r="E198">
            <v>90025573.28980428</v>
          </cell>
          <cell r="F198">
            <v>95407891.827536345</v>
          </cell>
          <cell r="G198">
            <v>101050280.11974788</v>
          </cell>
          <cell r="H198">
            <v>106965741.65416309</v>
          </cell>
          <cell r="I198">
            <v>113167930.09289196</v>
          </cell>
          <cell r="J198">
            <v>119671181.78115028</v>
          </cell>
          <cell r="K198">
            <v>126490549.88141462</v>
          </cell>
          <cell r="L198">
            <v>133058792.53370634</v>
          </cell>
          <cell r="M198">
            <v>139921621.61978108</v>
          </cell>
          <cell r="N198">
            <v>147092713.33145487</v>
          </cell>
          <cell r="O198">
            <v>154586382.91211507</v>
          </cell>
          <cell r="P198">
            <v>162417614.70708296</v>
          </cell>
          <cell r="Q198">
            <v>170602093.63565019</v>
          </cell>
          <cell r="R198">
            <v>179156238.15243796</v>
          </cell>
          <cell r="S198">
            <v>188097234.76896054</v>
          </cell>
          <cell r="T198">
            <v>197443074.20967263</v>
          </cell>
          <cell r="U198">
            <v>207212589.28032902</v>
          </cell>
          <cell r="V198">
            <v>216541469.20135522</v>
          </cell>
          <cell r="W198">
            <v>226265865.17300558</v>
          </cell>
          <cell r="X198">
            <v>236403387.13575551</v>
          </cell>
          <cell r="Y198">
            <v>246972449.72193235</v>
          </cell>
          <cell r="Z198">
            <v>257992309.83712688</v>
          </cell>
          <cell r="AA198">
            <v>269483106.02781391</v>
          </cell>
          <cell r="AB198">
            <v>281465899.7212432</v>
          </cell>
          <cell r="AC198">
            <v>293962718.42784816</v>
          </cell>
          <cell r="AD198">
            <v>306996601.00081944</v>
          </cell>
          <cell r="AE198">
            <v>320591645.05209613</v>
          </cell>
          <cell r="AF198">
            <v>335063062.93910342</v>
          </cell>
          <cell r="AG198">
            <v>335063062.93910342</v>
          </cell>
          <cell r="AH198">
            <v>335063062.93910342</v>
          </cell>
          <cell r="AI198">
            <v>335063062.93910342</v>
          </cell>
          <cell r="AJ198">
            <v>335063062.93910342</v>
          </cell>
          <cell r="AK198">
            <v>335063062.93910342</v>
          </cell>
          <cell r="AL198">
            <v>335063062.93910342</v>
          </cell>
          <cell r="AM198">
            <v>335063062.93910342</v>
          </cell>
          <cell r="AN198">
            <v>335063062.93910342</v>
          </cell>
          <cell r="AO198">
            <v>335063062.93910342</v>
          </cell>
          <cell r="AP198">
            <v>335063062.93910342</v>
          </cell>
          <cell r="AQ198">
            <v>335063062.93910342</v>
          </cell>
        </row>
        <row r="209">
          <cell r="C209">
            <v>0</v>
          </cell>
          <cell r="D209">
            <v>0</v>
          </cell>
          <cell r="E209">
            <v>2.3000000000000004E-3</v>
          </cell>
          <cell r="F209">
            <v>2.7000000000000001E-3</v>
          </cell>
          <cell r="G209">
            <v>3.1000000000000003E-3</v>
          </cell>
          <cell r="H209">
            <v>3.5000000000000001E-3</v>
          </cell>
          <cell r="I209">
            <v>3.5000000000000001E-3</v>
          </cell>
          <cell r="J209">
            <v>3.5000000000000001E-3</v>
          </cell>
          <cell r="K209">
            <v>3.5000000000000001E-3</v>
          </cell>
          <cell r="L209">
            <v>3.5000000000000001E-3</v>
          </cell>
          <cell r="M209">
            <v>3.5000000000000001E-3</v>
          </cell>
          <cell r="N209">
            <v>3.5000000000000001E-3</v>
          </cell>
          <cell r="O209">
            <v>3.5000000000000001E-3</v>
          </cell>
          <cell r="P209">
            <v>3.5000000000000001E-3</v>
          </cell>
          <cell r="Q209">
            <v>3.5000000000000001E-3</v>
          </cell>
          <cell r="R209">
            <v>3.5000000000000001E-3</v>
          </cell>
          <cell r="S209">
            <v>3.5000000000000001E-3</v>
          </cell>
          <cell r="T209">
            <v>3.5000000000000001E-3</v>
          </cell>
          <cell r="U209">
            <v>3.5000000000000001E-3</v>
          </cell>
          <cell r="V209">
            <v>3.5000000000000001E-3</v>
          </cell>
          <cell r="W209">
            <v>3.5000000000000001E-3</v>
          </cell>
          <cell r="X209">
            <v>3.5000000000000001E-3</v>
          </cell>
          <cell r="Y209">
            <v>3.5000000000000001E-3</v>
          </cell>
          <cell r="Z209">
            <v>3.5000000000000001E-3</v>
          </cell>
          <cell r="AA209">
            <v>3.5000000000000001E-3</v>
          </cell>
          <cell r="AB209">
            <v>3.5000000000000001E-3</v>
          </cell>
          <cell r="AC209">
            <v>3.5000000000000001E-3</v>
          </cell>
          <cell r="AD209">
            <v>3.5000000000000001E-3</v>
          </cell>
          <cell r="AE209">
            <v>3.5000000000000001E-3</v>
          </cell>
          <cell r="AF209">
            <v>3.5000000000000001E-3</v>
          </cell>
          <cell r="AG209">
            <v>3.5000000000000001E-3</v>
          </cell>
          <cell r="AH209">
            <v>3.5000000000000001E-3</v>
          </cell>
          <cell r="AI209">
            <v>3.5000000000000001E-3</v>
          </cell>
          <cell r="AJ209">
            <v>3.5000000000000001E-3</v>
          </cell>
          <cell r="AK209">
            <v>3.5000000000000001E-3</v>
          </cell>
          <cell r="AL209">
            <v>3.5000000000000001E-3</v>
          </cell>
          <cell r="AM209">
            <v>3.5000000000000001E-3</v>
          </cell>
          <cell r="AN209">
            <v>3.5000000000000001E-3</v>
          </cell>
          <cell r="AO209">
            <v>3.5000000000000001E-3</v>
          </cell>
          <cell r="AP209">
            <v>3.5000000000000001E-3</v>
          </cell>
          <cell r="AQ209">
            <v>3.5000000000000001E-3</v>
          </cell>
        </row>
        <row r="210">
          <cell r="C210">
            <v>0</v>
          </cell>
          <cell r="D210">
            <v>0</v>
          </cell>
          <cell r="E210">
            <v>1.4000000000000002E-3</v>
          </cell>
          <cell r="F210">
            <v>1.6999999999999999E-3</v>
          </cell>
          <cell r="G210">
            <v>2E-3</v>
          </cell>
          <cell r="H210">
            <v>2.3E-3</v>
          </cell>
          <cell r="I210">
            <v>2.3E-3</v>
          </cell>
          <cell r="J210">
            <v>2.3E-3</v>
          </cell>
          <cell r="K210">
            <v>2.3E-3</v>
          </cell>
          <cell r="L210">
            <v>2.3E-3</v>
          </cell>
          <cell r="M210">
            <v>2.3E-3</v>
          </cell>
          <cell r="N210">
            <v>2.3E-3</v>
          </cell>
          <cell r="O210">
            <v>2.3E-3</v>
          </cell>
          <cell r="P210">
            <v>2.3E-3</v>
          </cell>
          <cell r="Q210">
            <v>2.3E-3</v>
          </cell>
          <cell r="R210">
            <v>2.3E-3</v>
          </cell>
          <cell r="S210">
            <v>2.3E-3</v>
          </cell>
          <cell r="T210">
            <v>2.3E-3</v>
          </cell>
          <cell r="U210">
            <v>2.3E-3</v>
          </cell>
          <cell r="V210">
            <v>2.3E-3</v>
          </cell>
          <cell r="W210">
            <v>2.3E-3</v>
          </cell>
          <cell r="X210">
            <v>2.3E-3</v>
          </cell>
          <cell r="Y210">
            <v>2.3E-3</v>
          </cell>
          <cell r="Z210">
            <v>2.3E-3</v>
          </cell>
          <cell r="AA210">
            <v>2.3E-3</v>
          </cell>
          <cell r="AB210">
            <v>2.3E-3</v>
          </cell>
          <cell r="AC210">
            <v>2.3E-3</v>
          </cell>
          <cell r="AD210">
            <v>2.3E-3</v>
          </cell>
          <cell r="AE210">
            <v>2.3E-3</v>
          </cell>
          <cell r="AF210">
            <v>2.3E-3</v>
          </cell>
          <cell r="AG210">
            <v>2.3E-3</v>
          </cell>
          <cell r="AH210">
            <v>2.3E-3</v>
          </cell>
          <cell r="AI210">
            <v>2.3E-3</v>
          </cell>
          <cell r="AJ210">
            <v>2.3E-3</v>
          </cell>
          <cell r="AK210">
            <v>2.3E-3</v>
          </cell>
          <cell r="AL210">
            <v>2.3E-3</v>
          </cell>
          <cell r="AM210">
            <v>2.3E-3</v>
          </cell>
          <cell r="AN210">
            <v>2.3E-3</v>
          </cell>
          <cell r="AO210">
            <v>2.3E-3</v>
          </cell>
          <cell r="AP210">
            <v>2.3E-3</v>
          </cell>
          <cell r="AQ210">
            <v>2.3E-3</v>
          </cell>
        </row>
        <row r="211">
          <cell r="C211">
            <v>0</v>
          </cell>
          <cell r="D211">
            <v>0</v>
          </cell>
          <cell r="E211">
            <v>1.5E-3</v>
          </cell>
          <cell r="F211">
            <v>1.8E-3</v>
          </cell>
          <cell r="G211">
            <v>2.1000000000000003E-3</v>
          </cell>
          <cell r="H211">
            <v>2.4000000000000002E-3</v>
          </cell>
          <cell r="I211">
            <v>2.4000000000000002E-3</v>
          </cell>
          <cell r="J211">
            <v>2.4000000000000002E-3</v>
          </cell>
          <cell r="K211">
            <v>2.4000000000000002E-3</v>
          </cell>
          <cell r="L211">
            <v>2.4000000000000002E-3</v>
          </cell>
          <cell r="M211">
            <v>2.4000000000000002E-3</v>
          </cell>
          <cell r="N211">
            <v>2.4000000000000002E-3</v>
          </cell>
          <cell r="O211">
            <v>2.4000000000000002E-3</v>
          </cell>
          <cell r="P211">
            <v>2.4000000000000002E-3</v>
          </cell>
          <cell r="Q211">
            <v>2.4000000000000002E-3</v>
          </cell>
          <cell r="R211">
            <v>2.4000000000000002E-3</v>
          </cell>
          <cell r="S211">
            <v>2.4000000000000002E-3</v>
          </cell>
          <cell r="T211">
            <v>2.4000000000000002E-3</v>
          </cell>
          <cell r="U211">
            <v>2.4000000000000002E-3</v>
          </cell>
          <cell r="V211">
            <v>2.4000000000000002E-3</v>
          </cell>
          <cell r="W211">
            <v>2.4000000000000002E-3</v>
          </cell>
          <cell r="X211">
            <v>2.4000000000000002E-3</v>
          </cell>
          <cell r="Y211">
            <v>2.4000000000000002E-3</v>
          </cell>
          <cell r="Z211">
            <v>2.4000000000000002E-3</v>
          </cell>
          <cell r="AA211">
            <v>2.4000000000000002E-3</v>
          </cell>
          <cell r="AB211">
            <v>2.4000000000000002E-3</v>
          </cell>
          <cell r="AC211">
            <v>2.4000000000000002E-3</v>
          </cell>
          <cell r="AD211">
            <v>2.4000000000000002E-3</v>
          </cell>
          <cell r="AE211">
            <v>2.4000000000000002E-3</v>
          </cell>
          <cell r="AF211">
            <v>2.4000000000000002E-3</v>
          </cell>
          <cell r="AG211">
            <v>2.4000000000000002E-3</v>
          </cell>
          <cell r="AH211">
            <v>2.4000000000000002E-3</v>
          </cell>
          <cell r="AI211">
            <v>2.4000000000000002E-3</v>
          </cell>
          <cell r="AJ211">
            <v>2.4000000000000002E-3</v>
          </cell>
          <cell r="AK211">
            <v>2.4000000000000002E-3</v>
          </cell>
          <cell r="AL211">
            <v>2.4000000000000002E-3</v>
          </cell>
          <cell r="AM211">
            <v>2.4000000000000002E-3</v>
          </cell>
          <cell r="AN211">
            <v>2.4000000000000002E-3</v>
          </cell>
          <cell r="AO211">
            <v>2.4000000000000002E-3</v>
          </cell>
          <cell r="AP211">
            <v>2.4000000000000002E-3</v>
          </cell>
          <cell r="AQ211">
            <v>2.4000000000000002E-3</v>
          </cell>
        </row>
        <row r="212">
          <cell r="C212">
            <v>0</v>
          </cell>
          <cell r="D212">
            <v>0</v>
          </cell>
          <cell r="E212">
            <v>1.9000000000000002E-3</v>
          </cell>
          <cell r="F212">
            <v>2.1999999999999997E-3</v>
          </cell>
          <cell r="G212">
            <v>2.5000000000000001E-3</v>
          </cell>
          <cell r="H212">
            <v>2.8E-3</v>
          </cell>
          <cell r="I212">
            <v>2.8E-3</v>
          </cell>
          <cell r="J212">
            <v>2.8E-3</v>
          </cell>
          <cell r="K212">
            <v>2.8E-3</v>
          </cell>
          <cell r="L212">
            <v>2.8E-3</v>
          </cell>
          <cell r="M212">
            <v>2.8E-3</v>
          </cell>
          <cell r="N212">
            <v>2.8E-3</v>
          </cell>
          <cell r="O212">
            <v>2.8E-3</v>
          </cell>
          <cell r="P212">
            <v>2.8E-3</v>
          </cell>
          <cell r="Q212">
            <v>2.8E-3</v>
          </cell>
          <cell r="R212">
            <v>2.8E-3</v>
          </cell>
          <cell r="S212">
            <v>2.8E-3</v>
          </cell>
          <cell r="T212">
            <v>2.8E-3</v>
          </cell>
          <cell r="U212">
            <v>2.8E-3</v>
          </cell>
          <cell r="V212">
            <v>2.8E-3</v>
          </cell>
          <cell r="W212">
            <v>2.8E-3</v>
          </cell>
          <cell r="X212">
            <v>2.8E-3</v>
          </cell>
          <cell r="Y212">
            <v>2.8E-3</v>
          </cell>
          <cell r="Z212">
            <v>2.8E-3</v>
          </cell>
          <cell r="AA212">
            <v>2.8E-3</v>
          </cell>
          <cell r="AB212">
            <v>2.8E-3</v>
          </cell>
          <cell r="AC212">
            <v>2.8E-3</v>
          </cell>
          <cell r="AD212">
            <v>2.8E-3</v>
          </cell>
          <cell r="AE212">
            <v>2.8E-3</v>
          </cell>
          <cell r="AF212">
            <v>2.8E-3</v>
          </cell>
          <cell r="AG212">
            <v>2.8E-3</v>
          </cell>
          <cell r="AH212">
            <v>2.8E-3</v>
          </cell>
          <cell r="AI212">
            <v>2.8E-3</v>
          </cell>
          <cell r="AJ212">
            <v>2.8E-3</v>
          </cell>
          <cell r="AK212">
            <v>2.8E-3</v>
          </cell>
          <cell r="AL212">
            <v>2.8E-3</v>
          </cell>
          <cell r="AM212">
            <v>2.8E-3</v>
          </cell>
          <cell r="AN212">
            <v>2.8E-3</v>
          </cell>
          <cell r="AO212">
            <v>2.8E-3</v>
          </cell>
          <cell r="AP212">
            <v>2.8E-3</v>
          </cell>
          <cell r="AQ212">
            <v>2.8E-3</v>
          </cell>
        </row>
        <row r="234">
          <cell r="F234">
            <v>127000</v>
          </cell>
        </row>
        <row r="235">
          <cell r="C235">
            <v>4</v>
          </cell>
          <cell r="F235">
            <v>228375</v>
          </cell>
        </row>
        <row r="236">
          <cell r="F236">
            <v>60000</v>
          </cell>
        </row>
        <row r="237">
          <cell r="C237">
            <v>1</v>
          </cell>
          <cell r="F237">
            <v>177625</v>
          </cell>
        </row>
        <row r="238">
          <cell r="F238">
            <v>25000</v>
          </cell>
        </row>
        <row r="240">
          <cell r="F240">
            <v>60000</v>
          </cell>
        </row>
        <row r="241">
          <cell r="F241">
            <v>25000</v>
          </cell>
        </row>
        <row r="242">
          <cell r="F242">
            <v>25000</v>
          </cell>
        </row>
        <row r="246">
          <cell r="C246">
            <v>2005</v>
          </cell>
        </row>
        <row r="247">
          <cell r="C247">
            <v>0.5</v>
          </cell>
        </row>
        <row r="250">
          <cell r="C250">
            <v>4</v>
          </cell>
        </row>
        <row r="251">
          <cell r="C251">
            <v>0.1</v>
          </cell>
        </row>
        <row r="252">
          <cell r="C252">
            <v>8</v>
          </cell>
        </row>
        <row r="254">
          <cell r="C254">
            <v>0.6</v>
          </cell>
        </row>
        <row r="255">
          <cell r="C255">
            <v>0.2</v>
          </cell>
        </row>
        <row r="257">
          <cell r="C257">
            <v>60000</v>
          </cell>
        </row>
        <row r="298">
          <cell r="C298">
            <v>0.5</v>
          </cell>
        </row>
        <row r="299">
          <cell r="C299">
            <v>0.5</v>
          </cell>
        </row>
        <row r="300">
          <cell r="C300">
            <v>0.2</v>
          </cell>
        </row>
        <row r="301">
          <cell r="C301">
            <v>0.1</v>
          </cell>
        </row>
        <row r="304">
          <cell r="C304">
            <v>4.3</v>
          </cell>
        </row>
        <row r="305">
          <cell r="C305">
            <v>1.4</v>
          </cell>
        </row>
        <row r="308">
          <cell r="C308">
            <v>0.16239999999999999</v>
          </cell>
        </row>
        <row r="309">
          <cell r="C309">
            <v>1</v>
          </cell>
        </row>
        <row r="310">
          <cell r="C310">
            <v>2.8216999999999994</v>
          </cell>
        </row>
        <row r="311">
          <cell r="C311">
            <v>6.6786999999999992</v>
          </cell>
        </row>
        <row r="312">
          <cell r="C312">
            <v>0.1</v>
          </cell>
        </row>
        <row r="313">
          <cell r="C313">
            <v>3.0449999999999999</v>
          </cell>
        </row>
        <row r="314">
          <cell r="C314">
            <v>3.5</v>
          </cell>
        </row>
        <row r="315">
          <cell r="C315">
            <v>6</v>
          </cell>
        </row>
        <row r="316">
          <cell r="C316">
            <v>0.48719999999999991</v>
          </cell>
        </row>
        <row r="317">
          <cell r="C317">
            <v>0.16239999999999999</v>
          </cell>
        </row>
        <row r="321">
          <cell r="C321">
            <v>0.02</v>
          </cell>
          <cell r="D321">
            <v>0.02</v>
          </cell>
          <cell r="E321">
            <v>0.02</v>
          </cell>
          <cell r="F321">
            <v>0.02</v>
          </cell>
          <cell r="G321">
            <v>0.02</v>
          </cell>
          <cell r="H321">
            <v>0.01</v>
          </cell>
          <cell r="I321">
            <v>0.01</v>
          </cell>
          <cell r="J321">
            <v>0.01</v>
          </cell>
          <cell r="K321">
            <v>0.01</v>
          </cell>
          <cell r="L321">
            <v>0.01</v>
          </cell>
          <cell r="M321">
            <v>0.01</v>
          </cell>
          <cell r="N321">
            <v>0.01</v>
          </cell>
          <cell r="O321">
            <v>0.01</v>
          </cell>
          <cell r="P321">
            <v>0.01</v>
          </cell>
          <cell r="Q321">
            <v>0.01</v>
          </cell>
          <cell r="R321">
            <v>0.01</v>
          </cell>
          <cell r="S321">
            <v>0.01</v>
          </cell>
          <cell r="T321">
            <v>0.01</v>
          </cell>
          <cell r="U321">
            <v>0.01</v>
          </cell>
          <cell r="V321">
            <v>0.01</v>
          </cell>
          <cell r="W321">
            <v>0.01</v>
          </cell>
          <cell r="X321">
            <v>0.01</v>
          </cell>
          <cell r="Y321">
            <v>0.01</v>
          </cell>
          <cell r="Z321">
            <v>0.01</v>
          </cell>
          <cell r="AA321">
            <v>0.01</v>
          </cell>
          <cell r="AB321">
            <v>0.01</v>
          </cell>
          <cell r="AC321">
            <v>0.01</v>
          </cell>
          <cell r="AD321">
            <v>0.01</v>
          </cell>
          <cell r="AE321">
            <v>0.01</v>
          </cell>
          <cell r="AF321">
            <v>0.01</v>
          </cell>
          <cell r="AG321">
            <v>0.01</v>
          </cell>
          <cell r="AH321">
            <v>0.01</v>
          </cell>
          <cell r="AI321">
            <v>0.01</v>
          </cell>
          <cell r="AJ321">
            <v>0.01</v>
          </cell>
          <cell r="AK321">
            <v>0.01</v>
          </cell>
          <cell r="AL321">
            <v>0.01</v>
          </cell>
          <cell r="AM321">
            <v>0.01</v>
          </cell>
          <cell r="AN321">
            <v>0.01</v>
          </cell>
          <cell r="AO321">
            <v>0.01</v>
          </cell>
          <cell r="AP321">
            <v>0.01</v>
          </cell>
          <cell r="AQ321">
            <v>0.01</v>
          </cell>
          <cell r="AR321">
            <v>0.01</v>
          </cell>
        </row>
        <row r="323">
          <cell r="C323">
            <v>50000</v>
          </cell>
        </row>
        <row r="325">
          <cell r="C325">
            <v>120</v>
          </cell>
        </row>
        <row r="326">
          <cell r="C326">
            <v>200</v>
          </cell>
        </row>
        <row r="328">
          <cell r="C328">
            <v>1.536</v>
          </cell>
        </row>
        <row r="329">
          <cell r="C329">
            <v>0.154</v>
          </cell>
        </row>
        <row r="330">
          <cell r="C330">
            <v>0.06</v>
          </cell>
        </row>
        <row r="331">
          <cell r="C331">
            <v>1</v>
          </cell>
        </row>
        <row r="332">
          <cell r="C332">
            <v>1</v>
          </cell>
        </row>
        <row r="333">
          <cell r="C333">
            <v>2002</v>
          </cell>
        </row>
        <row r="334">
          <cell r="C334">
            <v>0.75</v>
          </cell>
        </row>
        <row r="336">
          <cell r="C336">
            <v>1200000</v>
          </cell>
        </row>
        <row r="337">
          <cell r="C337">
            <v>1</v>
          </cell>
        </row>
        <row r="340">
          <cell r="C340">
            <v>30</v>
          </cell>
        </row>
        <row r="341">
          <cell r="C341">
            <v>10</v>
          </cell>
        </row>
        <row r="342">
          <cell r="C342">
            <v>5.0000000000000001E-3</v>
          </cell>
        </row>
        <row r="343">
          <cell r="C343">
            <v>0</v>
          </cell>
        </row>
        <row r="348">
          <cell r="C348">
            <v>1</v>
          </cell>
        </row>
        <row r="350">
          <cell r="C350">
            <v>0.35</v>
          </cell>
        </row>
        <row r="351">
          <cell r="C351">
            <v>0.5</v>
          </cell>
        </row>
        <row r="353">
          <cell r="C353">
            <v>0.05</v>
          </cell>
        </row>
        <row r="354">
          <cell r="C354">
            <v>0.01</v>
          </cell>
        </row>
        <row r="355">
          <cell r="C355">
            <v>0.01</v>
          </cell>
        </row>
        <row r="358">
          <cell r="C358">
            <v>0.25</v>
          </cell>
        </row>
        <row r="362">
          <cell r="C362">
            <v>-3.4355888572042463E-2</v>
          </cell>
          <cell r="D362">
            <v>1.3963433099439384</v>
          </cell>
          <cell r="E362">
            <v>1.9067917649428257</v>
          </cell>
          <cell r="F362">
            <v>3.1530396305165329</v>
          </cell>
          <cell r="G362">
            <v>1.9402056166118602</v>
          </cell>
          <cell r="H362">
            <v>2.8217193074160329</v>
          </cell>
          <cell r="I362">
            <v>3.6516548553735322</v>
          </cell>
          <cell r="J362">
            <v>4.4680890033621194</v>
          </cell>
          <cell r="K362">
            <v>4.0375312989058818</v>
          </cell>
          <cell r="L362">
            <v>4.3568407151389188</v>
          </cell>
          <cell r="M362">
            <v>4.8494912297034523</v>
          </cell>
          <cell r="N362">
            <v>3.912729901163587</v>
          </cell>
          <cell r="O362">
            <v>4.9246080964757768</v>
          </cell>
          <cell r="P362">
            <v>5.1129325705592228</v>
          </cell>
          <cell r="Q362">
            <v>6.1880948890403031</v>
          </cell>
          <cell r="R362">
            <v>4.6470439151624277</v>
          </cell>
          <cell r="S362">
            <v>-0.64381742278131693</v>
          </cell>
          <cell r="T362">
            <v>2.3708994928807012</v>
          </cell>
          <cell r="U362">
            <v>4.0231402167257366</v>
          </cell>
          <cell r="V362">
            <v>5.0674031298555668</v>
          </cell>
          <cell r="W362">
            <v>4.5081087476573689</v>
          </cell>
          <cell r="X362">
            <v>4.9785102333966655</v>
          </cell>
          <cell r="Y362">
            <v>6.7446489966552834</v>
          </cell>
          <cell r="Z362">
            <v>10.628713102241987</v>
          </cell>
          <cell r="AA362">
            <v>13.307725414620515</v>
          </cell>
          <cell r="AB362">
            <v>15.142842079463746</v>
          </cell>
          <cell r="AC362">
            <v>18.452819636867009</v>
          </cell>
          <cell r="AD362">
            <v>19.863479841936886</v>
          </cell>
          <cell r="AE362">
            <v>22.363061366670546</v>
          </cell>
          <cell r="AF362">
            <v>26.800631896308232</v>
          </cell>
          <cell r="AG362">
            <v>26.37368356694488</v>
          </cell>
          <cell r="AH362">
            <v>29.222576485197834</v>
          </cell>
          <cell r="AI362">
            <v>34.534338153393051</v>
          </cell>
          <cell r="AJ362">
            <v>38.173629309370789</v>
          </cell>
          <cell r="AK362">
            <v>42.34426922604743</v>
          </cell>
          <cell r="AL362">
            <v>46.686056326530945</v>
          </cell>
          <cell r="AM362">
            <v>48.053572127019734</v>
          </cell>
          <cell r="AN362">
            <v>49.833554047812669</v>
          </cell>
          <cell r="AO362">
            <v>54.478592713188405</v>
          </cell>
          <cell r="AP362">
            <v>55.382738065783762</v>
          </cell>
          <cell r="AQ362">
            <v>-3.9468653093040382</v>
          </cell>
          <cell r="AR362" t="e">
            <v>#DIV/0!</v>
          </cell>
        </row>
        <row r="445">
          <cell r="C445">
            <v>37376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36981</v>
          </cell>
        </row>
        <row r="596">
          <cell r="C596">
            <v>2005</v>
          </cell>
          <cell r="D596">
            <v>2013</v>
          </cell>
          <cell r="E596">
            <v>2019</v>
          </cell>
        </row>
        <row r="601">
          <cell r="D601">
            <v>4</v>
          </cell>
          <cell r="E601">
            <v>2</v>
          </cell>
        </row>
        <row r="602">
          <cell r="C602">
            <v>5</v>
          </cell>
        </row>
        <row r="655">
          <cell r="C655">
            <v>0.18</v>
          </cell>
        </row>
        <row r="667">
          <cell r="C667">
            <v>0.34399999999999997</v>
          </cell>
        </row>
        <row r="673">
          <cell r="C673">
            <v>1</v>
          </cell>
          <cell r="D673">
            <v>0.95</v>
          </cell>
          <cell r="E673">
            <v>0.9</v>
          </cell>
          <cell r="F673">
            <v>0.9</v>
          </cell>
          <cell r="G673">
            <v>0.9</v>
          </cell>
          <cell r="H673">
            <v>0.9</v>
          </cell>
          <cell r="I673">
            <v>0.9</v>
          </cell>
          <cell r="J673">
            <v>0.9</v>
          </cell>
          <cell r="K673">
            <v>0.9</v>
          </cell>
          <cell r="L673">
            <v>0.9</v>
          </cell>
          <cell r="M673">
            <v>0.9</v>
          </cell>
          <cell r="N673">
            <v>0.9</v>
          </cell>
          <cell r="O673">
            <v>0.9</v>
          </cell>
          <cell r="P673">
            <v>0.9</v>
          </cell>
          <cell r="Q673">
            <v>0.9</v>
          </cell>
          <cell r="R673">
            <v>0.9</v>
          </cell>
          <cell r="S673">
            <v>0.9</v>
          </cell>
          <cell r="T673">
            <v>0.9</v>
          </cell>
          <cell r="U673">
            <v>0.9</v>
          </cell>
          <cell r="V673">
            <v>0.9</v>
          </cell>
          <cell r="W673">
            <v>0.9</v>
          </cell>
          <cell r="X673">
            <v>0.9</v>
          </cell>
          <cell r="Y673">
            <v>0.9</v>
          </cell>
          <cell r="Z673">
            <v>0.9</v>
          </cell>
          <cell r="AA673">
            <v>0.9</v>
          </cell>
          <cell r="AB673">
            <v>0.9</v>
          </cell>
          <cell r="AC673">
            <v>0.9</v>
          </cell>
          <cell r="AD673">
            <v>0.9</v>
          </cell>
          <cell r="AE673">
            <v>0.9</v>
          </cell>
          <cell r="AF673">
            <v>0.9</v>
          </cell>
          <cell r="AG673">
            <v>0.9</v>
          </cell>
          <cell r="AH673">
            <v>0.9</v>
          </cell>
          <cell r="AI673">
            <v>0.9</v>
          </cell>
          <cell r="AJ673">
            <v>0.9</v>
          </cell>
          <cell r="AK673">
            <v>0.9</v>
          </cell>
          <cell r="AL673">
            <v>0.9</v>
          </cell>
          <cell r="AM673">
            <v>0.9</v>
          </cell>
          <cell r="AN673">
            <v>0.9</v>
          </cell>
          <cell r="AO673">
            <v>0.9</v>
          </cell>
          <cell r="AP673">
            <v>0.9</v>
          </cell>
          <cell r="AQ673">
            <v>0.9</v>
          </cell>
          <cell r="AR673">
            <v>0.9</v>
          </cell>
        </row>
      </sheetData>
      <sheetData sheetId="5"/>
      <sheetData sheetId="6" refreshError="1">
        <row r="8">
          <cell r="C8" t="e">
            <v>#NAME?</v>
          </cell>
        </row>
        <row r="16">
          <cell r="C16" t="e">
            <v>#NAME?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I16" t="e">
            <v>#NAME?</v>
          </cell>
          <cell r="AJ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P16" t="e">
            <v>#NAME?</v>
          </cell>
          <cell r="AQ16" t="e">
            <v>#NAME?</v>
          </cell>
          <cell r="AR16" t="e">
            <v>#NAME?</v>
          </cell>
        </row>
        <row r="24">
          <cell r="C24" t="e">
            <v>#NAME?</v>
          </cell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</row>
        <row r="32">
          <cell r="C32" t="e">
            <v>#NAME?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e">
            <v>#NAME?</v>
          </cell>
          <cell r="N32" t="e">
            <v>#NAME?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  <cell r="V32" t="e">
            <v>#NAME?</v>
          </cell>
          <cell r="W32" t="e">
            <v>#NAME?</v>
          </cell>
          <cell r="X32" t="e">
            <v>#NAME?</v>
          </cell>
          <cell r="Y32" t="e">
            <v>#NAME?</v>
          </cell>
          <cell r="Z32" t="e">
            <v>#NAME?</v>
          </cell>
          <cell r="AA32" t="e">
            <v>#NAME?</v>
          </cell>
          <cell r="AB32" t="e">
            <v>#NAME?</v>
          </cell>
          <cell r="AC32" t="e">
            <v>#NAME?</v>
          </cell>
          <cell r="AD32" t="e">
            <v>#NAME?</v>
          </cell>
          <cell r="AE32" t="e">
            <v>#NAME?</v>
          </cell>
          <cell r="AF32" t="e">
            <v>#NAME?</v>
          </cell>
          <cell r="AG32" t="e">
            <v>#NAME?</v>
          </cell>
          <cell r="AH32" t="e">
            <v>#NAME?</v>
          </cell>
          <cell r="AI32" t="e">
            <v>#NAME?</v>
          </cell>
          <cell r="AJ32" t="e">
            <v>#NAME?</v>
          </cell>
          <cell r="AK32" t="e">
            <v>#NAME?</v>
          </cell>
          <cell r="AL32" t="e">
            <v>#NAME?</v>
          </cell>
          <cell r="AM32" t="e">
            <v>#NAME?</v>
          </cell>
          <cell r="AN32" t="e">
            <v>#NAME?</v>
          </cell>
          <cell r="AO32" t="e">
            <v>#NAME?</v>
          </cell>
          <cell r="AP32" t="e">
            <v>#NAME?</v>
          </cell>
          <cell r="AQ32" t="e">
            <v>#NAME?</v>
          </cell>
          <cell r="AR32" t="e">
            <v>#NAME?</v>
          </cell>
        </row>
        <row r="40">
          <cell r="C40">
            <v>21.186440677966104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  <cell r="Z40" t="e">
            <v>#NAME?</v>
          </cell>
          <cell r="AA40" t="e">
            <v>#NAME?</v>
          </cell>
          <cell r="AB40" t="e">
            <v>#NAME?</v>
          </cell>
          <cell r="AC40" t="e">
            <v>#NAME?</v>
          </cell>
          <cell r="AD40" t="e">
            <v>#NAME?</v>
          </cell>
          <cell r="AE40" t="e">
            <v>#NAME?</v>
          </cell>
          <cell r="AF40" t="e">
            <v>#NAME?</v>
          </cell>
          <cell r="AG40" t="e">
            <v>#NAME?</v>
          </cell>
          <cell r="AH40" t="e">
            <v>#NAME?</v>
          </cell>
          <cell r="AI40" t="e">
            <v>#NAME?</v>
          </cell>
          <cell r="AJ40" t="e">
            <v>#NAME?</v>
          </cell>
          <cell r="AK40" t="e">
            <v>#NAME?</v>
          </cell>
          <cell r="AL40" t="e">
            <v>#NAME?</v>
          </cell>
          <cell r="AM40" t="e">
            <v>#NAME?</v>
          </cell>
          <cell r="AN40" t="e">
            <v>#NAME?</v>
          </cell>
          <cell r="AO40" t="e">
            <v>#NAME?</v>
          </cell>
          <cell r="AP40" t="e">
            <v>#NAME?</v>
          </cell>
          <cell r="AQ40" t="e">
            <v>#NAME?</v>
          </cell>
          <cell r="AR40" t="e">
            <v>#NAME?</v>
          </cell>
        </row>
        <row r="55">
          <cell r="C55">
            <v>1</v>
          </cell>
          <cell r="D55" t="e">
            <v>#NAME?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  <cell r="T55" t="e">
            <v>#NAME?</v>
          </cell>
          <cell r="U55" t="e">
            <v>#NAME?</v>
          </cell>
          <cell r="V55" t="e">
            <v>#NAME?</v>
          </cell>
          <cell r="W55" t="e">
            <v>#NAME?</v>
          </cell>
          <cell r="X55" t="e">
            <v>#NAME?</v>
          </cell>
          <cell r="Y55" t="e">
            <v>#NAME?</v>
          </cell>
          <cell r="Z55" t="e">
            <v>#NAME?</v>
          </cell>
          <cell r="AA55" t="e">
            <v>#NAME?</v>
          </cell>
          <cell r="AB55" t="e">
            <v>#NAME?</v>
          </cell>
          <cell r="AC55" t="e">
            <v>#NAME?</v>
          </cell>
          <cell r="AD55" t="e">
            <v>#NAME?</v>
          </cell>
          <cell r="AE55" t="e">
            <v>#NAME?</v>
          </cell>
          <cell r="AF55" t="e">
            <v>#NAME?</v>
          </cell>
          <cell r="AG55" t="e">
            <v>#NAME?</v>
          </cell>
          <cell r="AH55" t="e">
            <v>#NAME?</v>
          </cell>
          <cell r="AI55" t="e">
            <v>#NAME?</v>
          </cell>
          <cell r="AJ55" t="e">
            <v>#NAME?</v>
          </cell>
          <cell r="AK55" t="e">
            <v>#NAME?</v>
          </cell>
          <cell r="AL55" t="e">
            <v>#NAME?</v>
          </cell>
          <cell r="AM55" t="e">
            <v>#NAME?</v>
          </cell>
          <cell r="AN55" t="e">
            <v>#NAME?</v>
          </cell>
          <cell r="AO55" t="e">
            <v>#NAME?</v>
          </cell>
          <cell r="AP55" t="e">
            <v>#NAME?</v>
          </cell>
          <cell r="AQ55" t="e">
            <v>#NAME?</v>
          </cell>
          <cell r="AR55" t="e">
            <v>#NAME?</v>
          </cell>
        </row>
        <row r="72">
          <cell r="C72">
            <v>1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  <cell r="T72" t="e">
            <v>#NAME?</v>
          </cell>
          <cell r="U72" t="e">
            <v>#NAME?</v>
          </cell>
          <cell r="V72" t="e">
            <v>#NAME?</v>
          </cell>
          <cell r="W72" t="e">
            <v>#NAME?</v>
          </cell>
          <cell r="X72" t="e">
            <v>#NAME?</v>
          </cell>
          <cell r="Y72" t="e">
            <v>#NAME?</v>
          </cell>
          <cell r="Z72" t="e">
            <v>#NAME?</v>
          </cell>
          <cell r="AA72" t="e">
            <v>#NAME?</v>
          </cell>
          <cell r="AB72" t="e">
            <v>#NAME?</v>
          </cell>
          <cell r="AC72" t="e">
            <v>#NAME?</v>
          </cell>
          <cell r="AD72" t="e">
            <v>#NAME?</v>
          </cell>
          <cell r="AE72" t="e">
            <v>#NAME?</v>
          </cell>
          <cell r="AF72" t="e">
            <v>#NAME?</v>
          </cell>
          <cell r="AG72" t="e">
            <v>#NAME?</v>
          </cell>
          <cell r="AH72" t="e">
            <v>#NAME?</v>
          </cell>
          <cell r="AI72" t="e">
            <v>#NAME?</v>
          </cell>
          <cell r="AJ72" t="e">
            <v>#NAME?</v>
          </cell>
          <cell r="AK72" t="e">
            <v>#NAME?</v>
          </cell>
          <cell r="AL72" t="e">
            <v>#NAME?</v>
          </cell>
          <cell r="AM72" t="e">
            <v>#NAME?</v>
          </cell>
          <cell r="AN72" t="e">
            <v>#NAME?</v>
          </cell>
          <cell r="AO72" t="e">
            <v>#NAME?</v>
          </cell>
          <cell r="AP72" t="e">
            <v>#NAME?</v>
          </cell>
          <cell r="AQ72" t="e">
            <v>#NAME?</v>
          </cell>
          <cell r="AR72">
            <v>0</v>
          </cell>
        </row>
        <row r="76">
          <cell r="C76">
            <v>1</v>
          </cell>
          <cell r="D76" t="e">
            <v>#NAME?</v>
          </cell>
          <cell r="E76" t="e">
            <v>#NAME?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  <cell r="K76" t="e">
            <v>#NAME?</v>
          </cell>
          <cell r="L76" t="e">
            <v>#NAME?</v>
          </cell>
          <cell r="M76" t="e">
            <v>#NAME?</v>
          </cell>
          <cell r="N76" t="e">
            <v>#NAME?</v>
          </cell>
          <cell r="O76" t="e">
            <v>#NAME?</v>
          </cell>
          <cell r="P76" t="e">
            <v>#NAME?</v>
          </cell>
          <cell r="Q76" t="e">
            <v>#NAME?</v>
          </cell>
          <cell r="R76" t="e">
            <v>#NAME?</v>
          </cell>
          <cell r="S76" t="e">
            <v>#NAME?</v>
          </cell>
          <cell r="T76" t="e">
            <v>#NAME?</v>
          </cell>
          <cell r="U76" t="e">
            <v>#NAME?</v>
          </cell>
          <cell r="V76" t="e">
            <v>#NAME?</v>
          </cell>
          <cell r="W76" t="e">
            <v>#NAME?</v>
          </cell>
          <cell r="X76" t="e">
            <v>#NAME?</v>
          </cell>
          <cell r="Y76" t="e">
            <v>#NAME?</v>
          </cell>
          <cell r="Z76" t="e">
            <v>#NAME?</v>
          </cell>
          <cell r="AA76" t="e">
            <v>#NAME?</v>
          </cell>
          <cell r="AB76" t="e">
            <v>#NAME?</v>
          </cell>
          <cell r="AC76" t="e">
            <v>#NAME?</v>
          </cell>
          <cell r="AD76" t="e">
            <v>#NAME?</v>
          </cell>
          <cell r="AE76" t="e">
            <v>#NAME?</v>
          </cell>
          <cell r="AF76" t="e">
            <v>#NAME?</v>
          </cell>
          <cell r="AG76" t="e">
            <v>#NAME?</v>
          </cell>
          <cell r="AH76" t="e">
            <v>#NAME?</v>
          </cell>
          <cell r="AI76" t="e">
            <v>#NAME?</v>
          </cell>
          <cell r="AJ76" t="e">
            <v>#NAME?</v>
          </cell>
          <cell r="AK76" t="e">
            <v>#NAME?</v>
          </cell>
          <cell r="AL76" t="e">
            <v>#NAME?</v>
          </cell>
          <cell r="AM76" t="e">
            <v>#NAME?</v>
          </cell>
          <cell r="AN76" t="e">
            <v>#NAME?</v>
          </cell>
          <cell r="AO76" t="e">
            <v>#NAME?</v>
          </cell>
          <cell r="AP76" t="e">
            <v>#NAME?</v>
          </cell>
          <cell r="AQ76" t="e">
            <v>#NAME?</v>
          </cell>
          <cell r="AR76" t="e">
            <v>#NAME?</v>
          </cell>
        </row>
      </sheetData>
      <sheetData sheetId="7" refreshError="1">
        <row r="10">
          <cell r="C10" t="e">
            <v>#NAME?</v>
          </cell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>
            <v>0</v>
          </cell>
        </row>
        <row r="11">
          <cell r="C11" t="e">
            <v>#NAME?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>
            <v>0</v>
          </cell>
        </row>
        <row r="20">
          <cell r="C20" t="e">
            <v>#NAME?</v>
          </cell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  <cell r="AE20" t="e">
            <v>#NAME?</v>
          </cell>
          <cell r="AF20" t="e">
            <v>#NAME?</v>
          </cell>
          <cell r="AG20" t="e">
            <v>#NAME?</v>
          </cell>
          <cell r="AH20" t="e">
            <v>#NAME?</v>
          </cell>
          <cell r="AI20" t="e">
            <v>#NAME?</v>
          </cell>
          <cell r="AJ20" t="e">
            <v>#NAME?</v>
          </cell>
          <cell r="AK20" t="e">
            <v>#NAME?</v>
          </cell>
          <cell r="AL20" t="e">
            <v>#NAME?</v>
          </cell>
          <cell r="AM20" t="e">
            <v>#NAME?</v>
          </cell>
          <cell r="AN20" t="e">
            <v>#NAME?</v>
          </cell>
          <cell r="AO20" t="e">
            <v>#NAME?</v>
          </cell>
          <cell r="AP20" t="e">
            <v>#NAME?</v>
          </cell>
          <cell r="AQ20" t="e">
            <v>#NAME?</v>
          </cell>
          <cell r="AR20">
            <v>0</v>
          </cell>
        </row>
        <row r="21">
          <cell r="C21" t="e">
            <v>#NAME?</v>
          </cell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T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  <cell r="AE21" t="e">
            <v>#NAME?</v>
          </cell>
          <cell r="AF21" t="e">
            <v>#NAME?</v>
          </cell>
          <cell r="AG21" t="e">
            <v>#NAME?</v>
          </cell>
          <cell r="AH21" t="e">
            <v>#NAME?</v>
          </cell>
          <cell r="AI21" t="e">
            <v>#NAME?</v>
          </cell>
          <cell r="AJ21" t="e">
            <v>#NAME?</v>
          </cell>
          <cell r="AK21" t="e">
            <v>#NAME?</v>
          </cell>
          <cell r="AL21" t="e">
            <v>#NAME?</v>
          </cell>
          <cell r="AM21" t="e">
            <v>#NAME?</v>
          </cell>
          <cell r="AN21" t="e">
            <v>#NAME?</v>
          </cell>
          <cell r="AO21" t="e">
            <v>#NAME?</v>
          </cell>
          <cell r="AP21" t="e">
            <v>#NAME?</v>
          </cell>
          <cell r="AQ21" t="e">
            <v>#NAME?</v>
          </cell>
          <cell r="AR21">
            <v>0</v>
          </cell>
        </row>
        <row r="22">
          <cell r="C22" t="e">
            <v>#NAME?</v>
          </cell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>
            <v>0</v>
          </cell>
        </row>
        <row r="23">
          <cell r="C23" t="e">
            <v>#NAME?</v>
          </cell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>
            <v>0</v>
          </cell>
        </row>
        <row r="24">
          <cell r="C24" t="e">
            <v>#NAME?</v>
          </cell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>
            <v>0</v>
          </cell>
        </row>
        <row r="25">
          <cell r="C25" t="e">
            <v>#NAME?</v>
          </cell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>
            <v>0</v>
          </cell>
        </row>
        <row r="27">
          <cell r="C27" t="e">
            <v>#NAME?</v>
          </cell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>
            <v>0</v>
          </cell>
        </row>
        <row r="28">
          <cell r="C28" t="e">
            <v>#NAME?</v>
          </cell>
          <cell r="D28" t="e">
            <v>#NAME?</v>
          </cell>
          <cell r="E28" t="e">
            <v>#NAME?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  <cell r="O28" t="e">
            <v>#NAME?</v>
          </cell>
          <cell r="P28" t="e">
            <v>#NAME?</v>
          </cell>
          <cell r="Q28" t="e">
            <v>#NAME?</v>
          </cell>
          <cell r="R28" t="e">
            <v>#NAME?</v>
          </cell>
          <cell r="S28" t="e">
            <v>#NAME?</v>
          </cell>
          <cell r="T28" t="e">
            <v>#NAME?</v>
          </cell>
          <cell r="U28" t="e">
            <v>#NAME?</v>
          </cell>
          <cell r="V28" t="e">
            <v>#NAME?</v>
          </cell>
          <cell r="W28" t="e">
            <v>#NAME?</v>
          </cell>
          <cell r="X28" t="e">
            <v>#NAME?</v>
          </cell>
          <cell r="Y28" t="e">
            <v>#NAME?</v>
          </cell>
          <cell r="Z28" t="e">
            <v>#NAME?</v>
          </cell>
          <cell r="AA28" t="e">
            <v>#NAME?</v>
          </cell>
          <cell r="AB28" t="e">
            <v>#NAME?</v>
          </cell>
          <cell r="AC28" t="e">
            <v>#NAME?</v>
          </cell>
          <cell r="AD28" t="e">
            <v>#NAME?</v>
          </cell>
          <cell r="AE28" t="e">
            <v>#NAME?</v>
          </cell>
          <cell r="AF28" t="e">
            <v>#NAME?</v>
          </cell>
          <cell r="AG28" t="e">
            <v>#NAME?</v>
          </cell>
          <cell r="AH28" t="e">
            <v>#NAME?</v>
          </cell>
          <cell r="AI28" t="e">
            <v>#NAME?</v>
          </cell>
          <cell r="AJ28" t="e">
            <v>#NAME?</v>
          </cell>
          <cell r="AK28" t="e">
            <v>#NAME?</v>
          </cell>
          <cell r="AL28" t="e">
            <v>#NAME?</v>
          </cell>
          <cell r="AM28" t="e">
            <v>#NAME?</v>
          </cell>
          <cell r="AN28" t="e">
            <v>#NAME?</v>
          </cell>
          <cell r="AO28" t="e">
            <v>#NAME?</v>
          </cell>
          <cell r="AP28" t="e">
            <v>#NAME?</v>
          </cell>
          <cell r="AQ28" t="e">
            <v>#NAME?</v>
          </cell>
          <cell r="AR28">
            <v>0</v>
          </cell>
        </row>
        <row r="29">
          <cell r="C29" t="e">
            <v>#NAME?</v>
          </cell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>
            <v>0</v>
          </cell>
        </row>
        <row r="30">
          <cell r="C30" t="e">
            <v>#NAME?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>
            <v>0</v>
          </cell>
        </row>
        <row r="31">
          <cell r="C31" t="e">
            <v>#NAME?</v>
          </cell>
          <cell r="D31" t="e">
            <v>#NAME?</v>
          </cell>
          <cell r="E31" t="e">
            <v>#NAME?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>
            <v>0</v>
          </cell>
        </row>
        <row r="32">
          <cell r="C32" t="e">
            <v>#NAME?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e">
            <v>#NAME?</v>
          </cell>
          <cell r="N32" t="e">
            <v>#NAME?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  <cell r="V32" t="e">
            <v>#NAME?</v>
          </cell>
          <cell r="W32" t="e">
            <v>#NAME?</v>
          </cell>
          <cell r="X32" t="e">
            <v>#NAME?</v>
          </cell>
          <cell r="Y32" t="e">
            <v>#NAME?</v>
          </cell>
          <cell r="Z32" t="e">
            <v>#NAME?</v>
          </cell>
          <cell r="AA32" t="e">
            <v>#NAME?</v>
          </cell>
          <cell r="AB32" t="e">
            <v>#NAME?</v>
          </cell>
          <cell r="AC32" t="e">
            <v>#NAME?</v>
          </cell>
          <cell r="AD32" t="e">
            <v>#NAME?</v>
          </cell>
          <cell r="AE32" t="e">
            <v>#NAME?</v>
          </cell>
          <cell r="AF32" t="e">
            <v>#NAME?</v>
          </cell>
          <cell r="AG32" t="e">
            <v>#NAME?</v>
          </cell>
          <cell r="AH32" t="e">
            <v>#NAME?</v>
          </cell>
          <cell r="AI32" t="e">
            <v>#NAME?</v>
          </cell>
          <cell r="AJ32" t="e">
            <v>#NAME?</v>
          </cell>
          <cell r="AK32" t="e">
            <v>#NAME?</v>
          </cell>
          <cell r="AL32" t="e">
            <v>#NAME?</v>
          </cell>
          <cell r="AM32" t="e">
            <v>#NAME?</v>
          </cell>
          <cell r="AN32" t="e">
            <v>#NAME?</v>
          </cell>
          <cell r="AO32" t="e">
            <v>#NAME?</v>
          </cell>
          <cell r="AP32" t="e">
            <v>#NAME?</v>
          </cell>
          <cell r="AQ32" t="e">
            <v>#NAME?</v>
          </cell>
          <cell r="AR32">
            <v>0</v>
          </cell>
        </row>
        <row r="36">
          <cell r="C36" t="e">
            <v>#NAME?</v>
          </cell>
          <cell r="D36" t="e">
            <v>#NAME?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  <cell r="AR36">
            <v>0</v>
          </cell>
        </row>
        <row r="37">
          <cell r="C37" t="e">
            <v>#NAME?</v>
          </cell>
          <cell r="D37" t="e">
            <v>#NAME?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  <cell r="Z37" t="e">
            <v>#NAME?</v>
          </cell>
          <cell r="AA37" t="e">
            <v>#NAME?</v>
          </cell>
          <cell r="AB37" t="e">
            <v>#NAME?</v>
          </cell>
          <cell r="AC37" t="e">
            <v>#NAME?</v>
          </cell>
          <cell r="AD37" t="e">
            <v>#NAME?</v>
          </cell>
          <cell r="AE37" t="e">
            <v>#NAME?</v>
          </cell>
          <cell r="AF37" t="e">
            <v>#NAME?</v>
          </cell>
          <cell r="AG37" t="e">
            <v>#NAME?</v>
          </cell>
          <cell r="AH37" t="e">
            <v>#NAME?</v>
          </cell>
          <cell r="AI37" t="e">
            <v>#NAME?</v>
          </cell>
          <cell r="AJ37" t="e">
            <v>#NAME?</v>
          </cell>
          <cell r="AK37" t="e">
            <v>#NAME?</v>
          </cell>
          <cell r="AL37" t="e">
            <v>#NAME?</v>
          </cell>
          <cell r="AM37" t="e">
            <v>#NAME?</v>
          </cell>
          <cell r="AN37" t="e">
            <v>#NAME?</v>
          </cell>
          <cell r="AO37" t="e">
            <v>#NAME?</v>
          </cell>
          <cell r="AP37" t="e">
            <v>#NAME?</v>
          </cell>
          <cell r="AQ37" t="e">
            <v>#NAME?</v>
          </cell>
          <cell r="AR37">
            <v>0</v>
          </cell>
        </row>
        <row r="38">
          <cell r="C38" t="e">
            <v>#NAME?</v>
          </cell>
          <cell r="D38" t="e">
            <v>#NAME?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e">
            <v>#NAME?</v>
          </cell>
          <cell r="N38" t="e">
            <v>#NAME?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  <cell r="V38" t="e">
            <v>#NAME?</v>
          </cell>
          <cell r="W38" t="e">
            <v>#NAME?</v>
          </cell>
          <cell r="X38" t="e">
            <v>#NAME?</v>
          </cell>
          <cell r="Y38" t="e">
            <v>#NAME?</v>
          </cell>
          <cell r="Z38" t="e">
            <v>#NAME?</v>
          </cell>
          <cell r="AA38" t="e">
            <v>#NAME?</v>
          </cell>
          <cell r="AB38" t="e">
            <v>#NAME?</v>
          </cell>
          <cell r="AC38" t="e">
            <v>#NAME?</v>
          </cell>
          <cell r="AD38" t="e">
            <v>#NAME?</v>
          </cell>
          <cell r="AE38" t="e">
            <v>#NAME?</v>
          </cell>
          <cell r="AF38" t="e">
            <v>#NAME?</v>
          </cell>
          <cell r="AG38" t="e">
            <v>#NAME?</v>
          </cell>
          <cell r="AH38" t="e">
            <v>#NAME?</v>
          </cell>
          <cell r="AI38" t="e">
            <v>#NAME?</v>
          </cell>
          <cell r="AJ38" t="e">
            <v>#NAME?</v>
          </cell>
          <cell r="AK38" t="e">
            <v>#NAME?</v>
          </cell>
          <cell r="AL38" t="e">
            <v>#NAME?</v>
          </cell>
          <cell r="AM38" t="e">
            <v>#NAME?</v>
          </cell>
          <cell r="AN38" t="e">
            <v>#NAME?</v>
          </cell>
          <cell r="AO38" t="e">
            <v>#NAME?</v>
          </cell>
          <cell r="AP38" t="e">
            <v>#NAME?</v>
          </cell>
          <cell r="AQ38" t="e">
            <v>#NAME?</v>
          </cell>
          <cell r="AR38">
            <v>0</v>
          </cell>
        </row>
        <row r="41"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  <cell r="Z41" t="e">
            <v>#NAME?</v>
          </cell>
          <cell r="AA41" t="e">
            <v>#NAME?</v>
          </cell>
          <cell r="AB41" t="e">
            <v>#NAME?</v>
          </cell>
          <cell r="AC41" t="e">
            <v>#NAME?</v>
          </cell>
          <cell r="AD41" t="e">
            <v>#NAME?</v>
          </cell>
          <cell r="AE41" t="e">
            <v>#NAME?</v>
          </cell>
          <cell r="AF41" t="e">
            <v>#NAME?</v>
          </cell>
          <cell r="AG41" t="e">
            <v>#NAME?</v>
          </cell>
          <cell r="AH41" t="e">
            <v>#NAME?</v>
          </cell>
          <cell r="AI41" t="e">
            <v>#NAME?</v>
          </cell>
          <cell r="AJ41" t="e">
            <v>#NAME?</v>
          </cell>
          <cell r="AK41" t="e">
            <v>#NAME?</v>
          </cell>
          <cell r="AL41" t="e">
            <v>#NAME?</v>
          </cell>
          <cell r="AM41" t="e">
            <v>#NAME?</v>
          </cell>
          <cell r="AN41" t="e">
            <v>#NAME?</v>
          </cell>
          <cell r="AO41" t="e">
            <v>#NAME?</v>
          </cell>
          <cell r="AP41" t="e">
            <v>#NAME?</v>
          </cell>
          <cell r="AQ41" t="e">
            <v>#NAME?</v>
          </cell>
          <cell r="AR41">
            <v>0</v>
          </cell>
        </row>
        <row r="46">
          <cell r="C46" t="e">
            <v>#NAME?</v>
          </cell>
          <cell r="D46" t="e">
            <v>#NAME?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  <cell r="Z46" t="e">
            <v>#NAME?</v>
          </cell>
          <cell r="AA46" t="e">
            <v>#NAME?</v>
          </cell>
          <cell r="AB46" t="e">
            <v>#NAME?</v>
          </cell>
          <cell r="AC46" t="e">
            <v>#NAME?</v>
          </cell>
          <cell r="AD46" t="e">
            <v>#NAME?</v>
          </cell>
          <cell r="AE46" t="e">
            <v>#NAME?</v>
          </cell>
          <cell r="AF46" t="e">
            <v>#NAME?</v>
          </cell>
          <cell r="AG46" t="e">
            <v>#NAME?</v>
          </cell>
          <cell r="AH46" t="e">
            <v>#NAME?</v>
          </cell>
          <cell r="AI46" t="e">
            <v>#NAME?</v>
          </cell>
          <cell r="AJ46" t="e">
            <v>#NAME?</v>
          </cell>
          <cell r="AK46" t="e">
            <v>#NAME?</v>
          </cell>
          <cell r="AL46" t="e">
            <v>#NAME?</v>
          </cell>
          <cell r="AM46" t="e">
            <v>#NAME?</v>
          </cell>
          <cell r="AN46" t="e">
            <v>#NAME?</v>
          </cell>
          <cell r="AO46" t="e">
            <v>#NAME?</v>
          </cell>
          <cell r="AP46" t="e">
            <v>#NAME?</v>
          </cell>
          <cell r="AQ46" t="e">
            <v>#NAME?</v>
          </cell>
          <cell r="AR46" t="e">
            <v>#NAME?</v>
          </cell>
        </row>
        <row r="67">
          <cell r="C67">
            <v>7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  <cell r="I67" t="e">
            <v>#NAME?</v>
          </cell>
          <cell r="J67" t="e">
            <v>#NAME?</v>
          </cell>
          <cell r="K67" t="e">
            <v>#NAME?</v>
          </cell>
          <cell r="L67" t="e">
            <v>#NAME?</v>
          </cell>
          <cell r="M67" t="e">
            <v>#NAME?</v>
          </cell>
          <cell r="N67" t="e">
            <v>#NAME?</v>
          </cell>
          <cell r="O67" t="e">
            <v>#NAME?</v>
          </cell>
          <cell r="P67" t="e">
            <v>#NAME?</v>
          </cell>
          <cell r="Q67" t="e">
            <v>#NAME?</v>
          </cell>
          <cell r="R67" t="e">
            <v>#NAME?</v>
          </cell>
          <cell r="S67" t="e">
            <v>#NAME?</v>
          </cell>
          <cell r="T67" t="e">
            <v>#NAME?</v>
          </cell>
          <cell r="U67" t="e">
            <v>#NAME?</v>
          </cell>
          <cell r="V67" t="e">
            <v>#NAME?</v>
          </cell>
          <cell r="W67" t="e">
            <v>#NAME?</v>
          </cell>
          <cell r="X67" t="e">
            <v>#NAME?</v>
          </cell>
          <cell r="Y67" t="e">
            <v>#NAME?</v>
          </cell>
          <cell r="Z67" t="e">
            <v>#NAME?</v>
          </cell>
          <cell r="AA67" t="e">
            <v>#NAME?</v>
          </cell>
          <cell r="AB67" t="e">
            <v>#NAME?</v>
          </cell>
          <cell r="AC67" t="e">
            <v>#NAME?</v>
          </cell>
          <cell r="AD67" t="e">
            <v>#NAME?</v>
          </cell>
          <cell r="AE67" t="e">
            <v>#NAME?</v>
          </cell>
          <cell r="AF67" t="e">
            <v>#NAME?</v>
          </cell>
          <cell r="AG67" t="e">
            <v>#NAME?</v>
          </cell>
          <cell r="AH67" t="e">
            <v>#NAME?</v>
          </cell>
          <cell r="AI67" t="e">
            <v>#NAME?</v>
          </cell>
          <cell r="AJ67" t="e">
            <v>#NAME?</v>
          </cell>
          <cell r="AK67" t="e">
            <v>#NAME?</v>
          </cell>
          <cell r="AL67" t="e">
            <v>#NAME?</v>
          </cell>
          <cell r="AM67" t="e">
            <v>#NAME?</v>
          </cell>
          <cell r="AN67" t="e">
            <v>#NAME?</v>
          </cell>
          <cell r="AO67" t="e">
            <v>#NAME?</v>
          </cell>
          <cell r="AP67" t="e">
            <v>#NAME?</v>
          </cell>
          <cell r="AQ67" t="e">
            <v>#NAME?</v>
          </cell>
          <cell r="AR67" t="e">
            <v>#NAME?</v>
          </cell>
        </row>
        <row r="68">
          <cell r="C68">
            <v>4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  <cell r="T68" t="e">
            <v>#NAME?</v>
          </cell>
          <cell r="U68" t="e">
            <v>#NAME?</v>
          </cell>
          <cell r="V68" t="e">
            <v>#NAME?</v>
          </cell>
          <cell r="W68" t="e">
            <v>#NAME?</v>
          </cell>
          <cell r="X68" t="e">
            <v>#NAME?</v>
          </cell>
          <cell r="Y68" t="e">
            <v>#NAME?</v>
          </cell>
          <cell r="Z68" t="e">
            <v>#NAME?</v>
          </cell>
          <cell r="AA68" t="e">
            <v>#NAME?</v>
          </cell>
          <cell r="AB68" t="e">
            <v>#NAME?</v>
          </cell>
          <cell r="AC68" t="e">
            <v>#NAME?</v>
          </cell>
          <cell r="AD68" t="e">
            <v>#NAME?</v>
          </cell>
          <cell r="AE68" t="e">
            <v>#NAME?</v>
          </cell>
          <cell r="AF68" t="e">
            <v>#NAME?</v>
          </cell>
          <cell r="AG68" t="e">
            <v>#NAME?</v>
          </cell>
          <cell r="AH68" t="e">
            <v>#NAME?</v>
          </cell>
          <cell r="AI68" t="e">
            <v>#NAME?</v>
          </cell>
          <cell r="AJ68" t="e">
            <v>#NAME?</v>
          </cell>
          <cell r="AK68" t="e">
            <v>#NAME?</v>
          </cell>
          <cell r="AL68" t="e">
            <v>#NAME?</v>
          </cell>
          <cell r="AM68" t="e">
            <v>#NAME?</v>
          </cell>
          <cell r="AN68" t="e">
            <v>#NAME?</v>
          </cell>
          <cell r="AO68" t="e">
            <v>#NAME?</v>
          </cell>
          <cell r="AP68" t="e">
            <v>#NAME?</v>
          </cell>
          <cell r="AQ68" t="e">
            <v>#NAME?</v>
          </cell>
          <cell r="AR68" t="e">
            <v>#NAME?</v>
          </cell>
        </row>
        <row r="69">
          <cell r="C69">
            <v>53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  <cell r="T69" t="e">
            <v>#NAME?</v>
          </cell>
          <cell r="U69" t="e">
            <v>#NAME?</v>
          </cell>
          <cell r="V69" t="e">
            <v>#NAME?</v>
          </cell>
          <cell r="W69" t="e">
            <v>#NAME?</v>
          </cell>
          <cell r="X69" t="e">
            <v>#NAME?</v>
          </cell>
          <cell r="Y69" t="e">
            <v>#NAME?</v>
          </cell>
          <cell r="Z69" t="e">
            <v>#NAME?</v>
          </cell>
          <cell r="AA69" t="e">
            <v>#NAME?</v>
          </cell>
          <cell r="AB69" t="e">
            <v>#NAME?</v>
          </cell>
          <cell r="AC69" t="e">
            <v>#NAME?</v>
          </cell>
          <cell r="AD69" t="e">
            <v>#NAME?</v>
          </cell>
          <cell r="AE69" t="e">
            <v>#NAME?</v>
          </cell>
          <cell r="AF69" t="e">
            <v>#NAME?</v>
          </cell>
          <cell r="AG69" t="e">
            <v>#NAME?</v>
          </cell>
          <cell r="AH69" t="e">
            <v>#NAME?</v>
          </cell>
          <cell r="AI69" t="e">
            <v>#NAME?</v>
          </cell>
          <cell r="AJ69" t="e">
            <v>#NAME?</v>
          </cell>
          <cell r="AK69" t="e">
            <v>#NAME?</v>
          </cell>
          <cell r="AL69" t="e">
            <v>#NAME?</v>
          </cell>
          <cell r="AM69" t="e">
            <v>#NAME?</v>
          </cell>
          <cell r="AN69" t="e">
            <v>#NAME?</v>
          </cell>
          <cell r="AO69" t="e">
            <v>#NAME?</v>
          </cell>
          <cell r="AP69" t="e">
            <v>#NAME?</v>
          </cell>
          <cell r="AQ69" t="e">
            <v>#NAME?</v>
          </cell>
          <cell r="AR69" t="e">
            <v>#NAME?</v>
          </cell>
        </row>
        <row r="70">
          <cell r="C70">
            <v>1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  <cell r="I70" t="e">
            <v>#NAME?</v>
          </cell>
          <cell r="J70" t="e">
            <v>#NAME?</v>
          </cell>
          <cell r="K70" t="e">
            <v>#NAME?</v>
          </cell>
          <cell r="L70" t="e">
            <v>#NAME?</v>
          </cell>
          <cell r="M70" t="e">
            <v>#NAME?</v>
          </cell>
          <cell r="N70" t="e">
            <v>#NAME?</v>
          </cell>
          <cell r="O70" t="e">
            <v>#NAME?</v>
          </cell>
          <cell r="P70" t="e">
            <v>#NAME?</v>
          </cell>
          <cell r="Q70" t="e">
            <v>#NAME?</v>
          </cell>
          <cell r="R70" t="e">
            <v>#NAME?</v>
          </cell>
          <cell r="S70" t="e">
            <v>#NAME?</v>
          </cell>
          <cell r="T70" t="e">
            <v>#NAME?</v>
          </cell>
          <cell r="U70" t="e">
            <v>#NAME?</v>
          </cell>
          <cell r="V70" t="e">
            <v>#NAME?</v>
          </cell>
          <cell r="W70" t="e">
            <v>#NAME?</v>
          </cell>
          <cell r="X70" t="e">
            <v>#NAME?</v>
          </cell>
          <cell r="Y70" t="e">
            <v>#NAME?</v>
          </cell>
          <cell r="Z70" t="e">
            <v>#NAME?</v>
          </cell>
          <cell r="AA70" t="e">
            <v>#NAME?</v>
          </cell>
          <cell r="AB70" t="e">
            <v>#NAME?</v>
          </cell>
          <cell r="AC70" t="e">
            <v>#NAME?</v>
          </cell>
          <cell r="AD70" t="e">
            <v>#NAME?</v>
          </cell>
          <cell r="AE70" t="e">
            <v>#NAME?</v>
          </cell>
          <cell r="AF70" t="e">
            <v>#NAME?</v>
          </cell>
          <cell r="AG70" t="e">
            <v>#NAME?</v>
          </cell>
          <cell r="AH70" t="e">
            <v>#NAME?</v>
          </cell>
          <cell r="AI70" t="e">
            <v>#NAME?</v>
          </cell>
          <cell r="AJ70" t="e">
            <v>#NAME?</v>
          </cell>
          <cell r="AK70" t="e">
            <v>#NAME?</v>
          </cell>
          <cell r="AL70" t="e">
            <v>#NAME?</v>
          </cell>
          <cell r="AM70" t="e">
            <v>#NAME?</v>
          </cell>
          <cell r="AN70" t="e">
            <v>#NAME?</v>
          </cell>
          <cell r="AO70" t="e">
            <v>#NAME?</v>
          </cell>
          <cell r="AP70" t="e">
            <v>#NAME?</v>
          </cell>
          <cell r="AQ70" t="e">
            <v>#NAME?</v>
          </cell>
          <cell r="AR70" t="e">
            <v>#NAME?</v>
          </cell>
        </row>
        <row r="71">
          <cell r="C71">
            <v>18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  <cell r="T71" t="e">
            <v>#NAME?</v>
          </cell>
          <cell r="U71" t="e">
            <v>#NAME?</v>
          </cell>
          <cell r="V71" t="e">
            <v>#NAME?</v>
          </cell>
          <cell r="W71" t="e">
            <v>#NAME?</v>
          </cell>
          <cell r="X71" t="e">
            <v>#NAME?</v>
          </cell>
          <cell r="Y71" t="e">
            <v>#NAME?</v>
          </cell>
          <cell r="Z71" t="e">
            <v>#NAME?</v>
          </cell>
          <cell r="AA71" t="e">
            <v>#NAME?</v>
          </cell>
          <cell r="AB71" t="e">
            <v>#NAME?</v>
          </cell>
          <cell r="AC71" t="e">
            <v>#NAME?</v>
          </cell>
          <cell r="AD71" t="e">
            <v>#NAME?</v>
          </cell>
          <cell r="AE71" t="e">
            <v>#NAME?</v>
          </cell>
          <cell r="AF71" t="e">
            <v>#NAME?</v>
          </cell>
          <cell r="AG71" t="e">
            <v>#NAME?</v>
          </cell>
          <cell r="AH71" t="e">
            <v>#NAME?</v>
          </cell>
          <cell r="AI71" t="e">
            <v>#NAME?</v>
          </cell>
          <cell r="AJ71" t="e">
            <v>#NAME?</v>
          </cell>
          <cell r="AK71" t="e">
            <v>#NAME?</v>
          </cell>
          <cell r="AL71" t="e">
            <v>#NAME?</v>
          </cell>
          <cell r="AM71" t="e">
            <v>#NAME?</v>
          </cell>
          <cell r="AN71" t="e">
            <v>#NAME?</v>
          </cell>
          <cell r="AO71" t="e">
            <v>#NAME?</v>
          </cell>
          <cell r="AP71" t="e">
            <v>#NAME?</v>
          </cell>
          <cell r="AQ71" t="e">
            <v>#NAME?</v>
          </cell>
          <cell r="AR71" t="e">
            <v>#NAME?</v>
          </cell>
        </row>
        <row r="72">
          <cell r="C72">
            <v>48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  <cell r="T72" t="e">
            <v>#NAME?</v>
          </cell>
          <cell r="U72" t="e">
            <v>#NAME?</v>
          </cell>
          <cell r="V72" t="e">
            <v>#NAME?</v>
          </cell>
          <cell r="W72" t="e">
            <v>#NAME?</v>
          </cell>
          <cell r="X72" t="e">
            <v>#NAME?</v>
          </cell>
          <cell r="Y72" t="e">
            <v>#NAME?</v>
          </cell>
          <cell r="Z72" t="e">
            <v>#NAME?</v>
          </cell>
          <cell r="AA72" t="e">
            <v>#NAME?</v>
          </cell>
          <cell r="AB72" t="e">
            <v>#NAME?</v>
          </cell>
          <cell r="AC72" t="e">
            <v>#NAME?</v>
          </cell>
          <cell r="AD72" t="e">
            <v>#NAME?</v>
          </cell>
          <cell r="AE72" t="e">
            <v>#NAME?</v>
          </cell>
          <cell r="AF72" t="e">
            <v>#NAME?</v>
          </cell>
          <cell r="AG72" t="e">
            <v>#NAME?</v>
          </cell>
          <cell r="AH72" t="e">
            <v>#NAME?</v>
          </cell>
          <cell r="AI72" t="e">
            <v>#NAME?</v>
          </cell>
          <cell r="AJ72" t="e">
            <v>#NAME?</v>
          </cell>
          <cell r="AK72" t="e">
            <v>#NAME?</v>
          </cell>
          <cell r="AL72" t="e">
            <v>#NAME?</v>
          </cell>
          <cell r="AM72" t="e">
            <v>#NAME?</v>
          </cell>
          <cell r="AN72" t="e">
            <v>#NAME?</v>
          </cell>
          <cell r="AO72" t="e">
            <v>#NAME?</v>
          </cell>
          <cell r="AP72" t="e">
            <v>#NAME?</v>
          </cell>
          <cell r="AQ72" t="e">
            <v>#NAME?</v>
          </cell>
          <cell r="AR72" t="e">
            <v>#NAME?</v>
          </cell>
        </row>
        <row r="73">
          <cell r="C73">
            <v>42</v>
          </cell>
          <cell r="D73" t="e">
            <v>#NAME?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  <cell r="T73" t="e">
            <v>#NAME?</v>
          </cell>
          <cell r="U73" t="e">
            <v>#NAME?</v>
          </cell>
          <cell r="V73" t="e">
            <v>#NAME?</v>
          </cell>
          <cell r="W73" t="e">
            <v>#NAME?</v>
          </cell>
          <cell r="X73" t="e">
            <v>#NAME?</v>
          </cell>
          <cell r="Y73" t="e">
            <v>#NAME?</v>
          </cell>
          <cell r="Z73" t="e">
            <v>#NAME?</v>
          </cell>
          <cell r="AA73" t="e">
            <v>#NAME?</v>
          </cell>
          <cell r="AB73" t="e">
            <v>#NAME?</v>
          </cell>
          <cell r="AC73" t="e">
            <v>#NAME?</v>
          </cell>
          <cell r="AD73" t="e">
            <v>#NAME?</v>
          </cell>
          <cell r="AE73" t="e">
            <v>#NAME?</v>
          </cell>
          <cell r="AF73" t="e">
            <v>#NAME?</v>
          </cell>
          <cell r="AG73" t="e">
            <v>#NAME?</v>
          </cell>
          <cell r="AH73" t="e">
            <v>#NAME?</v>
          </cell>
          <cell r="AI73" t="e">
            <v>#NAME?</v>
          </cell>
          <cell r="AJ73" t="e">
            <v>#NAME?</v>
          </cell>
          <cell r="AK73" t="e">
            <v>#NAME?</v>
          </cell>
          <cell r="AL73" t="e">
            <v>#NAME?</v>
          </cell>
          <cell r="AM73" t="e">
            <v>#NAME?</v>
          </cell>
          <cell r="AN73" t="e">
            <v>#NAME?</v>
          </cell>
          <cell r="AO73" t="e">
            <v>#NAME?</v>
          </cell>
          <cell r="AP73" t="e">
            <v>#NAME?</v>
          </cell>
          <cell r="AQ73" t="e">
            <v>#NAME?</v>
          </cell>
          <cell r="AR73" t="e">
            <v>#NAME?</v>
          </cell>
        </row>
        <row r="74">
          <cell r="C74">
            <v>94</v>
          </cell>
          <cell r="D74" t="e">
            <v>#NAME?</v>
          </cell>
          <cell r="E74" t="e">
            <v>#NAME?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  <cell r="K74" t="e">
            <v>#NAME?</v>
          </cell>
          <cell r="L74" t="e">
            <v>#NAME?</v>
          </cell>
          <cell r="M74" t="e">
            <v>#NAME?</v>
          </cell>
          <cell r="N74" t="e">
            <v>#NAME?</v>
          </cell>
          <cell r="O74" t="e">
            <v>#NAME?</v>
          </cell>
          <cell r="P74" t="e">
            <v>#NAME?</v>
          </cell>
          <cell r="Q74" t="e">
            <v>#NAME?</v>
          </cell>
          <cell r="R74" t="e">
            <v>#NAME?</v>
          </cell>
          <cell r="S74" t="e">
            <v>#NAME?</v>
          </cell>
          <cell r="T74" t="e">
            <v>#NAME?</v>
          </cell>
          <cell r="U74" t="e">
            <v>#NAME?</v>
          </cell>
          <cell r="V74" t="e">
            <v>#NAME?</v>
          </cell>
          <cell r="W74" t="e">
            <v>#NAME?</v>
          </cell>
          <cell r="X74" t="e">
            <v>#NAME?</v>
          </cell>
          <cell r="Y74" t="e">
            <v>#NAME?</v>
          </cell>
          <cell r="Z74" t="e">
            <v>#NAME?</v>
          </cell>
          <cell r="AA74" t="e">
            <v>#NAME?</v>
          </cell>
          <cell r="AB74" t="e">
            <v>#NAME?</v>
          </cell>
          <cell r="AC74" t="e">
            <v>#NAME?</v>
          </cell>
          <cell r="AD74" t="e">
            <v>#NAME?</v>
          </cell>
          <cell r="AE74" t="e">
            <v>#NAME?</v>
          </cell>
          <cell r="AF74" t="e">
            <v>#NAME?</v>
          </cell>
          <cell r="AG74" t="e">
            <v>#NAME?</v>
          </cell>
          <cell r="AH74" t="e">
            <v>#NAME?</v>
          </cell>
          <cell r="AI74" t="e">
            <v>#NAME?</v>
          </cell>
          <cell r="AJ74" t="e">
            <v>#NAME?</v>
          </cell>
          <cell r="AK74" t="e">
            <v>#NAME?</v>
          </cell>
          <cell r="AL74" t="e">
            <v>#NAME?</v>
          </cell>
          <cell r="AM74" t="e">
            <v>#NAME?</v>
          </cell>
          <cell r="AN74" t="e">
            <v>#NAME?</v>
          </cell>
          <cell r="AO74" t="e">
            <v>#NAME?</v>
          </cell>
          <cell r="AP74" t="e">
            <v>#NAME?</v>
          </cell>
          <cell r="AQ74" t="e">
            <v>#NAME?</v>
          </cell>
          <cell r="AR74" t="e">
            <v>#NAME?</v>
          </cell>
        </row>
        <row r="75">
          <cell r="C75">
            <v>12</v>
          </cell>
          <cell r="D75" t="e">
            <v>#NAME?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  <cell r="T75" t="e">
            <v>#NAME?</v>
          </cell>
          <cell r="U75" t="e">
            <v>#NAME?</v>
          </cell>
          <cell r="V75" t="e">
            <v>#NAME?</v>
          </cell>
          <cell r="W75" t="e">
            <v>#NAME?</v>
          </cell>
          <cell r="X75" t="e">
            <v>#NAME?</v>
          </cell>
          <cell r="Y75" t="e">
            <v>#NAME?</v>
          </cell>
          <cell r="Z75" t="e">
            <v>#NAME?</v>
          </cell>
          <cell r="AA75" t="e">
            <v>#NAME?</v>
          </cell>
          <cell r="AB75" t="e">
            <v>#NAME?</v>
          </cell>
          <cell r="AC75" t="e">
            <v>#NAME?</v>
          </cell>
          <cell r="AD75" t="e">
            <v>#NAME?</v>
          </cell>
          <cell r="AE75" t="e">
            <v>#NAME?</v>
          </cell>
          <cell r="AF75" t="e">
            <v>#NAME?</v>
          </cell>
          <cell r="AG75" t="e">
            <v>#NAME?</v>
          </cell>
          <cell r="AH75" t="e">
            <v>#NAME?</v>
          </cell>
          <cell r="AI75" t="e">
            <v>#NAME?</v>
          </cell>
          <cell r="AJ75" t="e">
            <v>#NAME?</v>
          </cell>
          <cell r="AK75" t="e">
            <v>#NAME?</v>
          </cell>
          <cell r="AL75" t="e">
            <v>#NAME?</v>
          </cell>
          <cell r="AM75" t="e">
            <v>#NAME?</v>
          </cell>
          <cell r="AN75" t="e">
            <v>#NAME?</v>
          </cell>
          <cell r="AO75" t="e">
            <v>#NAME?</v>
          </cell>
          <cell r="AP75" t="e">
            <v>#NAME?</v>
          </cell>
          <cell r="AQ75" t="e">
            <v>#NAME?</v>
          </cell>
          <cell r="AR75" t="e">
            <v>#NAME?</v>
          </cell>
        </row>
      </sheetData>
      <sheetData sheetId="8" refreshError="1">
        <row r="99">
          <cell r="C99" t="e">
            <v>#NAME?</v>
          </cell>
          <cell r="D99" t="e">
            <v>#NAME?</v>
          </cell>
          <cell r="E99" t="e">
            <v>#NAME?</v>
          </cell>
          <cell r="F99" t="e">
            <v>#NAME?</v>
          </cell>
          <cell r="G99" t="e">
            <v>#NAME?</v>
          </cell>
          <cell r="H99" t="e">
            <v>#NAME?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e">
            <v>#NAME?</v>
          </cell>
          <cell r="N99" t="e">
            <v>#NAME?</v>
          </cell>
          <cell r="O99" t="e">
            <v>#NAME?</v>
          </cell>
          <cell r="P99" t="e">
            <v>#NAME?</v>
          </cell>
          <cell r="Q99" t="e">
            <v>#NAME?</v>
          </cell>
          <cell r="R99" t="e">
            <v>#NAME?</v>
          </cell>
          <cell r="S99" t="e">
            <v>#NAME?</v>
          </cell>
          <cell r="T99" t="e">
            <v>#NAME?</v>
          </cell>
          <cell r="U99" t="e">
            <v>#NAME?</v>
          </cell>
          <cell r="V99" t="e">
            <v>#NAME?</v>
          </cell>
          <cell r="W99" t="e">
            <v>#NAME?</v>
          </cell>
          <cell r="X99" t="e">
            <v>#NAME?</v>
          </cell>
          <cell r="Y99" t="e">
            <v>#NAME?</v>
          </cell>
          <cell r="Z99" t="e">
            <v>#NAME?</v>
          </cell>
          <cell r="AA99" t="e">
            <v>#NAME?</v>
          </cell>
          <cell r="AB99" t="e">
            <v>#NAME?</v>
          </cell>
          <cell r="AC99" t="e">
            <v>#NAME?</v>
          </cell>
          <cell r="AD99" t="e">
            <v>#NAME?</v>
          </cell>
          <cell r="AE99" t="e">
            <v>#NAME?</v>
          </cell>
          <cell r="AF99" t="e">
            <v>#NAME?</v>
          </cell>
          <cell r="AG99" t="e">
            <v>#NAME?</v>
          </cell>
          <cell r="AH99" t="e">
            <v>#NAME?</v>
          </cell>
          <cell r="AI99" t="e">
            <v>#NAME?</v>
          </cell>
          <cell r="AJ99" t="e">
            <v>#NAME?</v>
          </cell>
          <cell r="AK99" t="e">
            <v>#NAME?</v>
          </cell>
          <cell r="AL99" t="e">
            <v>#NAME?</v>
          </cell>
          <cell r="AM99" t="e">
            <v>#NAME?</v>
          </cell>
          <cell r="AN99" t="e">
            <v>#NAME?</v>
          </cell>
          <cell r="AO99" t="e">
            <v>#NAME?</v>
          </cell>
          <cell r="AP99" t="e">
            <v>#NAME?</v>
          </cell>
          <cell r="AQ99" t="e">
            <v>#NAME?</v>
          </cell>
          <cell r="AR99" t="e">
            <v>#NAME?</v>
          </cell>
        </row>
      </sheetData>
      <sheetData sheetId="9" refreshError="1"/>
      <sheetData sheetId="10" refreshError="1"/>
      <sheetData sheetId="11" refreshError="1"/>
      <sheetData sheetId="12" refreshError="1">
        <row r="533">
          <cell r="C533" t="e">
            <v>#NAME?</v>
          </cell>
        </row>
        <row r="534">
          <cell r="C534" t="e">
            <v>#NAME?</v>
          </cell>
          <cell r="D534" t="e">
            <v>#NAME?</v>
          </cell>
          <cell r="E534" t="e">
            <v>#NAME?</v>
          </cell>
          <cell r="F534" t="e">
            <v>#NAME?</v>
          </cell>
          <cell r="G534" t="e">
            <v>#NAME?</v>
          </cell>
          <cell r="H534" t="e">
            <v>#NAME?</v>
          </cell>
          <cell r="I534" t="e">
            <v>#NAME?</v>
          </cell>
          <cell r="J534" t="e">
            <v>#NAME?</v>
          </cell>
          <cell r="K534" t="e">
            <v>#NAME?</v>
          </cell>
          <cell r="L534" t="e">
            <v>#NAME?</v>
          </cell>
          <cell r="M534" t="e">
            <v>#NAME?</v>
          </cell>
          <cell r="N534" t="e">
            <v>#NAME?</v>
          </cell>
          <cell r="O534" t="e">
            <v>#NAME?</v>
          </cell>
          <cell r="P534" t="e">
            <v>#NAME?</v>
          </cell>
          <cell r="Q534" t="e">
            <v>#NAME?</v>
          </cell>
          <cell r="R534" t="e">
            <v>#NAME?</v>
          </cell>
          <cell r="S534" t="e">
            <v>#NAME?</v>
          </cell>
          <cell r="T534" t="e">
            <v>#NAME?</v>
          </cell>
          <cell r="U534" t="e">
            <v>#NAME?</v>
          </cell>
          <cell r="V534" t="e">
            <v>#NAME?</v>
          </cell>
          <cell r="W534" t="e">
            <v>#NAME?</v>
          </cell>
          <cell r="X534" t="e">
            <v>#NAME?</v>
          </cell>
          <cell r="Y534" t="e">
            <v>#NAME?</v>
          </cell>
          <cell r="Z534" t="e">
            <v>#NAME?</v>
          </cell>
          <cell r="AA534" t="e">
            <v>#NAME?</v>
          </cell>
          <cell r="AB534" t="e">
            <v>#NAME?</v>
          </cell>
          <cell r="AC534" t="e">
            <v>#NAME?</v>
          </cell>
          <cell r="AD534" t="e">
            <v>#NAME?</v>
          </cell>
          <cell r="AE534" t="e">
            <v>#NAME?</v>
          </cell>
          <cell r="AF534" t="e">
            <v>#NAME?</v>
          </cell>
          <cell r="AG534" t="e">
            <v>#NAME?</v>
          </cell>
          <cell r="AH534" t="e">
            <v>#NAME?</v>
          </cell>
          <cell r="AI534" t="e">
            <v>#NAME?</v>
          </cell>
          <cell r="AJ534" t="e">
            <v>#NAME?</v>
          </cell>
          <cell r="AK534" t="e">
            <v>#NAME?</v>
          </cell>
          <cell r="AL534" t="e">
            <v>#NAME?</v>
          </cell>
          <cell r="AM534" t="e">
            <v>#NAME?</v>
          </cell>
          <cell r="AN534" t="e">
            <v>#NAME?</v>
          </cell>
          <cell r="AO534" t="e">
            <v>#NAME?</v>
          </cell>
          <cell r="AP534" t="e">
            <v>#NAME?</v>
          </cell>
          <cell r="AQ534" t="e">
            <v>#NAME?</v>
          </cell>
          <cell r="AR534" t="e">
            <v>#NAME?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Key D&amp;R"/>
      <sheetName val="Table of Contents"/>
      <sheetName val="Checks"/>
      <sheetName val="Inp"/>
      <sheetName val="Time Inp"/>
      <sheetName val="T&amp;Esc"/>
      <sheetName val="Area"/>
      <sheetName val="Traf &amp; Op"/>
      <sheetName val="CapEx"/>
      <sheetName val="Fin IRR"/>
      <sheetName val="Virtual Debt"/>
      <sheetName val="Airside Fees"/>
      <sheetName val="Rev"/>
      <sheetName val="OpEx"/>
      <sheetName val="WC"/>
      <sheetName val="LCs"/>
      <sheetName val="SandU"/>
      <sheetName val="Loans AB"/>
      <sheetName val="Annual SandU"/>
      <sheetName val="Dep"/>
      <sheetName val="Taxes"/>
      <sheetName val="IS"/>
      <sheetName val="Div"/>
      <sheetName val="Cash Flow"/>
      <sheetName val="Return"/>
      <sheetName val="BS"/>
      <sheetName val="Additional Financing"/>
      <sheetName val="EBL"/>
      <sheetName val="XIRR"/>
      <sheetName val="Differences Check"/>
      <sheetName val="Difference"/>
      <sheetName val="Govmt"/>
      <sheetName val="Projection London"/>
      <sheetName val="DOLARES"/>
      <sheetName val="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9">
          <cell r="B39">
            <v>0</v>
          </cell>
        </row>
        <row r="45">
          <cell r="B45">
            <v>36892</v>
          </cell>
        </row>
        <row r="61">
          <cell r="B61">
            <v>187</v>
          </cell>
        </row>
        <row r="62">
          <cell r="B62">
            <v>8500</v>
          </cell>
        </row>
        <row r="87">
          <cell r="B87">
            <v>0.1</v>
          </cell>
        </row>
        <row r="93">
          <cell r="B93">
            <v>0.1</v>
          </cell>
        </row>
        <row r="98">
          <cell r="B98">
            <v>42115</v>
          </cell>
        </row>
        <row r="125">
          <cell r="B125">
            <v>4.5</v>
          </cell>
        </row>
        <row r="131">
          <cell r="B131">
            <v>1.0975686454617586</v>
          </cell>
        </row>
        <row r="132">
          <cell r="B132">
            <v>0.55411232586418879</v>
          </cell>
        </row>
        <row r="143">
          <cell r="B143">
            <v>1.598400939992852</v>
          </cell>
        </row>
        <row r="144">
          <cell r="B144">
            <v>0.1</v>
          </cell>
        </row>
        <row r="146">
          <cell r="B146">
            <v>1.7049610026590425</v>
          </cell>
        </row>
        <row r="147">
          <cell r="B147">
            <v>0.1</v>
          </cell>
        </row>
        <row r="149">
          <cell r="B149">
            <v>9.3240054832916393</v>
          </cell>
        </row>
        <row r="150">
          <cell r="B150">
            <v>0.2</v>
          </cell>
        </row>
        <row r="151">
          <cell r="B151">
            <v>0.2</v>
          </cell>
        </row>
        <row r="153">
          <cell r="B153">
            <v>0.10656006266619016</v>
          </cell>
        </row>
        <row r="155">
          <cell r="B155">
            <v>639.3603759971412</v>
          </cell>
        </row>
        <row r="158">
          <cell r="B158">
            <v>0.04</v>
          </cell>
        </row>
        <row r="160">
          <cell r="B160">
            <v>5.3280031333095073</v>
          </cell>
        </row>
        <row r="161">
          <cell r="B161">
            <v>0.12</v>
          </cell>
        </row>
        <row r="163">
          <cell r="B163">
            <v>1</v>
          </cell>
        </row>
        <row r="164">
          <cell r="B164">
            <v>0</v>
          </cell>
        </row>
        <row r="169">
          <cell r="B169">
            <v>71</v>
          </cell>
        </row>
        <row r="170">
          <cell r="B170">
            <v>655.63620000000003</v>
          </cell>
        </row>
        <row r="171">
          <cell r="B171">
            <v>71</v>
          </cell>
        </row>
        <row r="172">
          <cell r="B172">
            <v>1311.2724000000001</v>
          </cell>
        </row>
        <row r="174">
          <cell r="B174">
            <v>10</v>
          </cell>
        </row>
        <row r="175">
          <cell r="B175">
            <v>1.6990291262135921</v>
          </cell>
        </row>
        <row r="177">
          <cell r="B177">
            <v>1200</v>
          </cell>
        </row>
        <row r="179">
          <cell r="B179">
            <v>120</v>
          </cell>
        </row>
        <row r="181">
          <cell r="B181">
            <v>960</v>
          </cell>
        </row>
        <row r="617">
          <cell r="B617">
            <v>0.55000000000000004</v>
          </cell>
        </row>
        <row r="623">
          <cell r="B623">
            <v>1088.4294496007001</v>
          </cell>
        </row>
        <row r="624">
          <cell r="B624">
            <v>761.90061472048899</v>
          </cell>
        </row>
        <row r="639">
          <cell r="B639">
            <v>1</v>
          </cell>
        </row>
        <row r="643">
          <cell r="B643">
            <v>1</v>
          </cell>
        </row>
      </sheetData>
      <sheetData sheetId="5" refreshError="1">
        <row r="187">
          <cell r="B187">
            <v>0</v>
          </cell>
        </row>
        <row r="188">
          <cell r="B188">
            <v>0</v>
          </cell>
          <cell r="C188">
            <v>15</v>
          </cell>
          <cell r="D188">
            <v>15</v>
          </cell>
          <cell r="E188">
            <v>15</v>
          </cell>
          <cell r="F188">
            <v>15</v>
          </cell>
          <cell r="G188">
            <v>15</v>
          </cell>
          <cell r="H188">
            <v>15</v>
          </cell>
          <cell r="I188">
            <v>20</v>
          </cell>
          <cell r="J188">
            <v>20</v>
          </cell>
          <cell r="K188">
            <v>20</v>
          </cell>
          <cell r="L188">
            <v>20</v>
          </cell>
          <cell r="M188">
            <v>20</v>
          </cell>
          <cell r="N188">
            <v>20</v>
          </cell>
          <cell r="O188">
            <v>20</v>
          </cell>
          <cell r="P188">
            <v>20</v>
          </cell>
          <cell r="Q188">
            <v>20</v>
          </cell>
          <cell r="R188">
            <v>20</v>
          </cell>
          <cell r="S188">
            <v>20</v>
          </cell>
          <cell r="T188">
            <v>20</v>
          </cell>
          <cell r="U188">
            <v>20</v>
          </cell>
          <cell r="V188">
            <v>20</v>
          </cell>
          <cell r="W188">
            <v>20</v>
          </cell>
          <cell r="X188">
            <v>20</v>
          </cell>
          <cell r="Y188">
            <v>20</v>
          </cell>
        </row>
        <row r="200">
          <cell r="C200">
            <v>0.1</v>
          </cell>
          <cell r="D200">
            <v>0.05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</row>
        <row r="206">
          <cell r="B206">
            <v>0</v>
          </cell>
          <cell r="C206">
            <v>0.75</v>
          </cell>
          <cell r="D206">
            <v>1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</row>
        <row r="207">
          <cell r="B207">
            <v>0</v>
          </cell>
          <cell r="C207">
            <v>0.5</v>
          </cell>
          <cell r="D207">
            <v>0.75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</row>
        <row r="208">
          <cell r="B208">
            <v>0</v>
          </cell>
          <cell r="C208">
            <v>0.5</v>
          </cell>
          <cell r="D208">
            <v>1</v>
          </cell>
          <cell r="E208">
            <v>1</v>
          </cell>
          <cell r="F208">
            <v>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</row>
        <row r="226">
          <cell r="C226">
            <v>1235</v>
          </cell>
          <cell r="D226">
            <v>1235</v>
          </cell>
          <cell r="E226">
            <v>1235</v>
          </cell>
          <cell r="F226">
            <v>1235</v>
          </cell>
          <cell r="G226">
            <v>1235</v>
          </cell>
          <cell r="H226">
            <v>1235</v>
          </cell>
          <cell r="I226">
            <v>1235</v>
          </cell>
          <cell r="J226">
            <v>1235</v>
          </cell>
          <cell r="K226">
            <v>1235</v>
          </cell>
          <cell r="L226">
            <v>1235</v>
          </cell>
          <cell r="M226">
            <v>1235</v>
          </cell>
          <cell r="N226">
            <v>1235</v>
          </cell>
          <cell r="O226">
            <v>1235</v>
          </cell>
          <cell r="P226">
            <v>1235</v>
          </cell>
          <cell r="Q226">
            <v>1235</v>
          </cell>
          <cell r="R226">
            <v>1235</v>
          </cell>
          <cell r="S226">
            <v>1235</v>
          </cell>
          <cell r="T226">
            <v>1235</v>
          </cell>
          <cell r="U226">
            <v>1235</v>
          </cell>
          <cell r="V226">
            <v>1235</v>
          </cell>
          <cell r="W226">
            <v>1235</v>
          </cell>
          <cell r="X226">
            <v>1235</v>
          </cell>
          <cell r="Y226">
            <v>1235</v>
          </cell>
        </row>
        <row r="227">
          <cell r="C227">
            <v>9.7114285714285722E-2</v>
          </cell>
          <cell r="D227">
            <v>0.12</v>
          </cell>
          <cell r="E227">
            <v>0.14000000000000001</v>
          </cell>
          <cell r="F227">
            <v>0.18</v>
          </cell>
          <cell r="G227">
            <v>0.2</v>
          </cell>
          <cell r="H227">
            <v>0.22</v>
          </cell>
          <cell r="I227">
            <v>0.24</v>
          </cell>
          <cell r="J227">
            <v>0.27</v>
          </cell>
          <cell r="K227">
            <v>0.3</v>
          </cell>
          <cell r="L227">
            <v>0.33</v>
          </cell>
          <cell r="M227">
            <v>0.36</v>
          </cell>
          <cell r="N227">
            <v>0.39</v>
          </cell>
          <cell r="O227">
            <v>0.41</v>
          </cell>
          <cell r="P227">
            <v>0.43</v>
          </cell>
          <cell r="Q227">
            <v>0.45</v>
          </cell>
          <cell r="R227">
            <v>0.46</v>
          </cell>
          <cell r="S227">
            <v>0.47</v>
          </cell>
          <cell r="T227">
            <v>0.48</v>
          </cell>
          <cell r="U227">
            <v>0.49</v>
          </cell>
          <cell r="V227">
            <v>0.49</v>
          </cell>
          <cell r="W227">
            <v>0.49</v>
          </cell>
          <cell r="X227">
            <v>0.49</v>
          </cell>
          <cell r="Y227">
            <v>0.49</v>
          </cell>
        </row>
        <row r="229">
          <cell r="C229">
            <v>35</v>
          </cell>
          <cell r="D229">
            <v>35</v>
          </cell>
          <cell r="E229">
            <v>35</v>
          </cell>
          <cell r="F229">
            <v>55</v>
          </cell>
          <cell r="G229">
            <v>55</v>
          </cell>
          <cell r="H229">
            <v>55</v>
          </cell>
          <cell r="I229">
            <v>55</v>
          </cell>
          <cell r="J229">
            <v>55</v>
          </cell>
          <cell r="K229">
            <v>55</v>
          </cell>
          <cell r="L229">
            <v>55</v>
          </cell>
          <cell r="M229">
            <v>55</v>
          </cell>
          <cell r="N229">
            <v>55</v>
          </cell>
          <cell r="O229">
            <v>55</v>
          </cell>
          <cell r="P229">
            <v>55</v>
          </cell>
          <cell r="Q229">
            <v>55</v>
          </cell>
          <cell r="R229">
            <v>55</v>
          </cell>
          <cell r="S229">
            <v>55</v>
          </cell>
          <cell r="T229">
            <v>55</v>
          </cell>
          <cell r="U229">
            <v>55</v>
          </cell>
          <cell r="V229">
            <v>55</v>
          </cell>
          <cell r="W229">
            <v>55</v>
          </cell>
          <cell r="X229">
            <v>55</v>
          </cell>
          <cell r="Y229">
            <v>55</v>
          </cell>
        </row>
        <row r="230">
          <cell r="C230">
            <v>1</v>
          </cell>
          <cell r="D230">
            <v>1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</row>
        <row r="232">
          <cell r="C232">
            <v>300</v>
          </cell>
          <cell r="D232">
            <v>300</v>
          </cell>
          <cell r="E232">
            <v>300</v>
          </cell>
          <cell r="F232">
            <v>350</v>
          </cell>
          <cell r="G232">
            <v>375</v>
          </cell>
          <cell r="H232">
            <v>375</v>
          </cell>
          <cell r="I232">
            <v>375</v>
          </cell>
          <cell r="J232">
            <v>375</v>
          </cell>
          <cell r="K232">
            <v>375</v>
          </cell>
          <cell r="L232">
            <v>375</v>
          </cell>
          <cell r="M232">
            <v>375</v>
          </cell>
          <cell r="N232">
            <v>375</v>
          </cell>
          <cell r="O232">
            <v>375</v>
          </cell>
          <cell r="P232">
            <v>375</v>
          </cell>
          <cell r="Q232">
            <v>375</v>
          </cell>
          <cell r="R232">
            <v>375</v>
          </cell>
          <cell r="S232">
            <v>375</v>
          </cell>
          <cell r="T232">
            <v>375</v>
          </cell>
          <cell r="U232">
            <v>375</v>
          </cell>
          <cell r="V232">
            <v>375</v>
          </cell>
          <cell r="W232">
            <v>375</v>
          </cell>
          <cell r="X232">
            <v>375</v>
          </cell>
          <cell r="Y232">
            <v>375</v>
          </cell>
        </row>
        <row r="233">
          <cell r="C233">
            <v>1</v>
          </cell>
          <cell r="D233">
            <v>1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</row>
        <row r="235">
          <cell r="C235">
            <v>130</v>
          </cell>
          <cell r="D235">
            <v>130</v>
          </cell>
          <cell r="E235">
            <v>130</v>
          </cell>
          <cell r="F235">
            <v>130</v>
          </cell>
          <cell r="G235">
            <v>130</v>
          </cell>
          <cell r="H235">
            <v>130</v>
          </cell>
          <cell r="I235">
            <v>130</v>
          </cell>
          <cell r="J235">
            <v>130</v>
          </cell>
          <cell r="K235">
            <v>130</v>
          </cell>
          <cell r="L235">
            <v>130</v>
          </cell>
          <cell r="M235">
            <v>130</v>
          </cell>
          <cell r="N235">
            <v>130</v>
          </cell>
          <cell r="O235">
            <v>130</v>
          </cell>
          <cell r="P235">
            <v>130</v>
          </cell>
          <cell r="Q235">
            <v>130</v>
          </cell>
          <cell r="R235">
            <v>130</v>
          </cell>
          <cell r="S235">
            <v>130</v>
          </cell>
          <cell r="T235">
            <v>130</v>
          </cell>
          <cell r="U235">
            <v>130</v>
          </cell>
          <cell r="V235">
            <v>130</v>
          </cell>
          <cell r="W235">
            <v>130</v>
          </cell>
          <cell r="X235">
            <v>130</v>
          </cell>
          <cell r="Y235">
            <v>130</v>
          </cell>
        </row>
        <row r="236">
          <cell r="C236">
            <v>0.8</v>
          </cell>
          <cell r="D236">
            <v>0.85</v>
          </cell>
          <cell r="E236">
            <v>0.9</v>
          </cell>
          <cell r="F236">
            <v>0.95</v>
          </cell>
          <cell r="G236">
            <v>0.95</v>
          </cell>
          <cell r="H236">
            <v>0.95</v>
          </cell>
          <cell r="I236">
            <v>0.95</v>
          </cell>
          <cell r="J236">
            <v>0.95</v>
          </cell>
          <cell r="K236">
            <v>0.95</v>
          </cell>
          <cell r="L236">
            <v>0.95</v>
          </cell>
          <cell r="M236">
            <v>0.95</v>
          </cell>
          <cell r="N236">
            <v>0.95</v>
          </cell>
          <cell r="O236">
            <v>0.95</v>
          </cell>
          <cell r="P236">
            <v>0.95</v>
          </cell>
          <cell r="Q236">
            <v>0.95</v>
          </cell>
          <cell r="R236">
            <v>0.95</v>
          </cell>
          <cell r="S236">
            <v>0.95</v>
          </cell>
          <cell r="T236">
            <v>0.95</v>
          </cell>
          <cell r="U236">
            <v>0.95</v>
          </cell>
          <cell r="V236">
            <v>0.95</v>
          </cell>
          <cell r="W236">
            <v>0.95</v>
          </cell>
          <cell r="X236">
            <v>0.95</v>
          </cell>
          <cell r="Y236">
            <v>0.95</v>
          </cell>
        </row>
        <row r="242">
          <cell r="C242">
            <v>0</v>
          </cell>
          <cell r="D242">
            <v>96217.689863013715</v>
          </cell>
          <cell r="E242">
            <v>330968.973</v>
          </cell>
          <cell r="F242">
            <v>387441.656028</v>
          </cell>
          <cell r="G242">
            <v>399064.90570884006</v>
          </cell>
          <cell r="H242">
            <v>411036.8528801052</v>
          </cell>
          <cell r="I242">
            <v>423367.95846650843</v>
          </cell>
          <cell r="J242">
            <v>436068.99722050363</v>
          </cell>
          <cell r="K242">
            <v>449151.06713711884</v>
          </cell>
          <cell r="L242">
            <v>462625.5991512324</v>
          </cell>
          <cell r="M242">
            <v>476504.36712576938</v>
          </cell>
          <cell r="N242">
            <v>490799.49813954253</v>
          </cell>
          <cell r="O242">
            <v>505523.4830837287</v>
          </cell>
          <cell r="P242">
            <v>520689.18757624069</v>
          </cell>
          <cell r="Q242">
            <v>536309.86320352799</v>
          </cell>
          <cell r="R242">
            <v>552399.15909963381</v>
          </cell>
          <cell r="S242">
            <v>568971.13387262286</v>
          </cell>
          <cell r="T242">
            <v>586040.26788880152</v>
          </cell>
          <cell r="U242">
            <v>603621.47592546558</v>
          </cell>
          <cell r="V242">
            <v>413918.95673804055</v>
          </cell>
          <cell r="W242">
            <v>0</v>
          </cell>
          <cell r="X242">
            <v>0</v>
          </cell>
          <cell r="Y242">
            <v>0</v>
          </cell>
        </row>
        <row r="249">
          <cell r="C249">
            <v>1090</v>
          </cell>
          <cell r="D249">
            <v>1263.5</v>
          </cell>
          <cell r="E249">
            <v>1437</v>
          </cell>
          <cell r="F249">
            <v>1437</v>
          </cell>
          <cell r="G249">
            <v>1437</v>
          </cell>
          <cell r="H249">
            <v>1437</v>
          </cell>
          <cell r="I249">
            <v>1437</v>
          </cell>
          <cell r="J249">
            <v>1437</v>
          </cell>
          <cell r="K249">
            <v>1437</v>
          </cell>
          <cell r="L249">
            <v>1437</v>
          </cell>
          <cell r="M249">
            <v>1437</v>
          </cell>
          <cell r="N249">
            <v>1437</v>
          </cell>
          <cell r="O249">
            <v>1437</v>
          </cell>
          <cell r="P249">
            <v>3345</v>
          </cell>
          <cell r="Q249">
            <v>3345</v>
          </cell>
          <cell r="R249">
            <v>3345</v>
          </cell>
          <cell r="S249">
            <v>3345</v>
          </cell>
          <cell r="T249">
            <v>3345</v>
          </cell>
          <cell r="U249">
            <v>3345</v>
          </cell>
          <cell r="V249">
            <v>3345</v>
          </cell>
          <cell r="W249">
            <v>3345</v>
          </cell>
          <cell r="X249">
            <v>3345</v>
          </cell>
          <cell r="Y249">
            <v>3345</v>
          </cell>
        </row>
        <row r="250">
          <cell r="C250">
            <v>1791</v>
          </cell>
          <cell r="D250">
            <v>2137.5</v>
          </cell>
          <cell r="E250">
            <v>2484</v>
          </cell>
          <cell r="F250">
            <v>2484</v>
          </cell>
          <cell r="G250">
            <v>2484</v>
          </cell>
          <cell r="H250">
            <v>2897</v>
          </cell>
          <cell r="I250">
            <v>2897</v>
          </cell>
          <cell r="J250">
            <v>2897</v>
          </cell>
          <cell r="K250">
            <v>2897</v>
          </cell>
          <cell r="L250">
            <v>4014</v>
          </cell>
          <cell r="M250">
            <v>4014</v>
          </cell>
          <cell r="N250">
            <v>4014</v>
          </cell>
          <cell r="O250">
            <v>4014</v>
          </cell>
          <cell r="P250">
            <v>4838</v>
          </cell>
          <cell r="Q250">
            <v>4838</v>
          </cell>
          <cell r="R250">
            <v>4838</v>
          </cell>
          <cell r="S250">
            <v>4838</v>
          </cell>
          <cell r="T250">
            <v>4838</v>
          </cell>
          <cell r="U250">
            <v>4838</v>
          </cell>
          <cell r="V250">
            <v>4838</v>
          </cell>
          <cell r="W250">
            <v>4838</v>
          </cell>
          <cell r="X250">
            <v>4838</v>
          </cell>
          <cell r="Y250">
            <v>4838</v>
          </cell>
        </row>
        <row r="251">
          <cell r="C251">
            <v>5204</v>
          </cell>
          <cell r="D251">
            <v>5204</v>
          </cell>
          <cell r="E251">
            <v>5204</v>
          </cell>
          <cell r="F251">
            <v>5204</v>
          </cell>
          <cell r="G251">
            <v>5204</v>
          </cell>
          <cell r="H251">
            <v>5204</v>
          </cell>
          <cell r="I251">
            <v>5204</v>
          </cell>
          <cell r="J251">
            <v>5204</v>
          </cell>
          <cell r="K251">
            <v>5204</v>
          </cell>
          <cell r="L251">
            <v>5204</v>
          </cell>
          <cell r="M251">
            <v>5204</v>
          </cell>
          <cell r="N251">
            <v>5204</v>
          </cell>
          <cell r="O251">
            <v>5204</v>
          </cell>
          <cell r="P251">
            <v>10586</v>
          </cell>
          <cell r="Q251">
            <v>10586</v>
          </cell>
          <cell r="R251">
            <v>10586</v>
          </cell>
          <cell r="S251">
            <v>10586</v>
          </cell>
          <cell r="T251">
            <v>10586</v>
          </cell>
          <cell r="U251">
            <v>10586</v>
          </cell>
          <cell r="V251">
            <v>10586</v>
          </cell>
          <cell r="W251">
            <v>10586</v>
          </cell>
          <cell r="X251">
            <v>10586</v>
          </cell>
          <cell r="Y251">
            <v>10586</v>
          </cell>
        </row>
        <row r="252">
          <cell r="C252">
            <v>1992</v>
          </cell>
          <cell r="D252">
            <v>2607.5</v>
          </cell>
          <cell r="E252">
            <v>3223</v>
          </cell>
          <cell r="F252">
            <v>3223</v>
          </cell>
          <cell r="G252">
            <v>3223</v>
          </cell>
          <cell r="H252">
            <v>4109</v>
          </cell>
          <cell r="I252">
            <v>4109</v>
          </cell>
          <cell r="J252">
            <v>4109</v>
          </cell>
          <cell r="K252">
            <v>4109</v>
          </cell>
          <cell r="L252">
            <v>5859</v>
          </cell>
          <cell r="M252">
            <v>5859</v>
          </cell>
          <cell r="N252">
            <v>5859</v>
          </cell>
          <cell r="O252">
            <v>5859</v>
          </cell>
          <cell r="P252">
            <v>8873</v>
          </cell>
          <cell r="Q252">
            <v>8873</v>
          </cell>
          <cell r="R252">
            <v>8873</v>
          </cell>
          <cell r="S252">
            <v>8873</v>
          </cell>
          <cell r="T252">
            <v>8873</v>
          </cell>
          <cell r="U252">
            <v>8873</v>
          </cell>
          <cell r="V252">
            <v>8873</v>
          </cell>
          <cell r="W252">
            <v>8873</v>
          </cell>
          <cell r="X252">
            <v>8873</v>
          </cell>
          <cell r="Y252">
            <v>8873</v>
          </cell>
        </row>
        <row r="253">
          <cell r="C253">
            <v>1692</v>
          </cell>
          <cell r="D253">
            <v>2609</v>
          </cell>
          <cell r="E253">
            <v>3526</v>
          </cell>
          <cell r="F253">
            <v>3526</v>
          </cell>
          <cell r="G253">
            <v>3526</v>
          </cell>
          <cell r="H253">
            <v>3857</v>
          </cell>
          <cell r="I253">
            <v>3857</v>
          </cell>
          <cell r="J253">
            <v>3857</v>
          </cell>
          <cell r="K253">
            <v>3857</v>
          </cell>
          <cell r="L253">
            <v>3857</v>
          </cell>
          <cell r="M253">
            <v>3857</v>
          </cell>
          <cell r="N253">
            <v>3857</v>
          </cell>
          <cell r="O253">
            <v>3857</v>
          </cell>
          <cell r="P253">
            <v>6133</v>
          </cell>
          <cell r="Q253">
            <v>6133</v>
          </cell>
          <cell r="R253">
            <v>6133</v>
          </cell>
          <cell r="S253">
            <v>6133</v>
          </cell>
          <cell r="T253">
            <v>6133</v>
          </cell>
          <cell r="U253">
            <v>6133</v>
          </cell>
          <cell r="V253">
            <v>6133</v>
          </cell>
          <cell r="W253">
            <v>6133</v>
          </cell>
          <cell r="X253">
            <v>6133</v>
          </cell>
          <cell r="Y253">
            <v>6133</v>
          </cell>
        </row>
        <row r="266">
          <cell r="C266">
            <v>2452</v>
          </cell>
          <cell r="D266">
            <v>2452</v>
          </cell>
          <cell r="E266">
            <v>2452</v>
          </cell>
          <cell r="F266">
            <v>2452</v>
          </cell>
          <cell r="G266">
            <v>2452</v>
          </cell>
          <cell r="H266">
            <v>3625</v>
          </cell>
          <cell r="I266">
            <v>3625</v>
          </cell>
          <cell r="J266">
            <v>3625</v>
          </cell>
          <cell r="K266">
            <v>3625</v>
          </cell>
          <cell r="L266">
            <v>5109</v>
          </cell>
          <cell r="M266">
            <v>5109</v>
          </cell>
          <cell r="N266">
            <v>5109</v>
          </cell>
          <cell r="O266">
            <v>5109</v>
          </cell>
          <cell r="P266">
            <v>5994</v>
          </cell>
          <cell r="Q266">
            <v>5994</v>
          </cell>
          <cell r="R266">
            <v>5994</v>
          </cell>
          <cell r="S266">
            <v>5994</v>
          </cell>
          <cell r="T266">
            <v>5994</v>
          </cell>
          <cell r="U266">
            <v>5994</v>
          </cell>
          <cell r="V266">
            <v>5994</v>
          </cell>
          <cell r="W266">
            <v>5994</v>
          </cell>
          <cell r="X266">
            <v>5994</v>
          </cell>
          <cell r="Y266">
            <v>5994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</row>
      </sheetData>
      <sheetData sheetId="6" refreshError="1"/>
      <sheetData sheetId="7" refreshError="1">
        <row r="27">
          <cell r="B27">
            <v>0</v>
          </cell>
        </row>
        <row r="97">
          <cell r="B97">
            <v>0</v>
          </cell>
          <cell r="C97">
            <v>0.10525984648294953</v>
          </cell>
          <cell r="D97">
            <v>0.15111760256644324</v>
          </cell>
          <cell r="E97">
            <v>0.18358800730609881</v>
          </cell>
          <cell r="F97">
            <v>0.18358800730609881</v>
          </cell>
          <cell r="G97">
            <v>0.18358800730609881</v>
          </cell>
          <cell r="H97">
            <v>0.16380402089599494</v>
          </cell>
          <cell r="I97">
            <v>0.16380402089599494</v>
          </cell>
          <cell r="J97">
            <v>0.16380402089599494</v>
          </cell>
          <cell r="K97">
            <v>0.16380402089599494</v>
          </cell>
          <cell r="L97">
            <v>0.14306854106410169</v>
          </cell>
          <cell r="M97">
            <v>0.14306854106410169</v>
          </cell>
          <cell r="N97">
            <v>0.14306854106410169</v>
          </cell>
          <cell r="O97">
            <v>0.14306854106410169</v>
          </cell>
          <cell r="P97">
            <v>0.10313021514591134</v>
          </cell>
          <cell r="Q97">
            <v>0.10313021514591134</v>
          </cell>
          <cell r="R97">
            <v>0.10313021514591134</v>
          </cell>
          <cell r="S97">
            <v>0.10313021514591134</v>
          </cell>
          <cell r="T97">
            <v>0.10313021514591134</v>
          </cell>
          <cell r="U97">
            <v>0.10313021514591134</v>
          </cell>
          <cell r="V97">
            <v>0.10313021514591134</v>
          </cell>
          <cell r="W97">
            <v>0.10313021514591134</v>
          </cell>
          <cell r="X97">
            <v>0.10313021514591134</v>
          </cell>
          <cell r="Y97">
            <v>0.10313021514591134</v>
          </cell>
        </row>
        <row r="101">
          <cell r="B101">
            <v>0</v>
          </cell>
          <cell r="C101">
            <v>1221.2891950244293</v>
          </cell>
          <cell r="D101">
            <v>2121.3852376432824</v>
          </cell>
          <cell r="E101">
            <v>2991.5215283885927</v>
          </cell>
          <cell r="F101">
            <v>2991.5215283885927</v>
          </cell>
          <cell r="G101">
            <v>2991.5215283885927</v>
          </cell>
          <cell r="H101">
            <v>2986.8500933386895</v>
          </cell>
          <cell r="I101">
            <v>2986.8500933386895</v>
          </cell>
          <cell r="J101">
            <v>2986.8500933386895</v>
          </cell>
          <cell r="K101">
            <v>2986.8500933386895</v>
          </cell>
          <cell r="L101">
            <v>3044.0953768361092</v>
          </cell>
          <cell r="M101">
            <v>3044.0953768361092</v>
          </cell>
          <cell r="N101">
            <v>3044.0953768361092</v>
          </cell>
          <cell r="O101">
            <v>3044.0953768361092</v>
          </cell>
          <cell r="P101">
            <v>3219.5534979450249</v>
          </cell>
          <cell r="Q101">
            <v>3219.5534979450249</v>
          </cell>
          <cell r="R101">
            <v>3219.5534979450249</v>
          </cell>
          <cell r="S101">
            <v>3219.5534979450249</v>
          </cell>
          <cell r="T101">
            <v>3219.5534979450249</v>
          </cell>
          <cell r="U101">
            <v>3219.5534979450249</v>
          </cell>
          <cell r="V101">
            <v>3219.5534979450249</v>
          </cell>
          <cell r="W101">
            <v>3219.5534979450249</v>
          </cell>
          <cell r="X101">
            <v>3219.5534979450249</v>
          </cell>
          <cell r="Y101">
            <v>3219.5534979450249</v>
          </cell>
        </row>
        <row r="102">
          <cell r="B102">
            <v>0</v>
          </cell>
          <cell r="C102">
            <v>159.6999476486971</v>
          </cell>
          <cell r="D102">
            <v>277.39958133959777</v>
          </cell>
          <cell r="E102">
            <v>391.18157551868973</v>
          </cell>
          <cell r="F102">
            <v>391.18157551868973</v>
          </cell>
          <cell r="G102">
            <v>391.18157551868973</v>
          </cell>
          <cell r="H102">
            <v>390.57072271171069</v>
          </cell>
          <cell r="I102">
            <v>390.57072271171069</v>
          </cell>
          <cell r="J102">
            <v>390.57072271171069</v>
          </cell>
          <cell r="K102">
            <v>390.57072271171069</v>
          </cell>
          <cell r="L102">
            <v>398.05631155906792</v>
          </cell>
          <cell r="M102">
            <v>398.05631155906792</v>
          </cell>
          <cell r="N102">
            <v>398.05631155906792</v>
          </cell>
          <cell r="O102">
            <v>398.05631155906792</v>
          </cell>
          <cell r="P102">
            <v>420.99981492402821</v>
          </cell>
          <cell r="Q102">
            <v>420.99981492402821</v>
          </cell>
          <cell r="R102">
            <v>420.99981492402821</v>
          </cell>
          <cell r="S102">
            <v>420.99981492402821</v>
          </cell>
          <cell r="T102">
            <v>420.99981492402821</v>
          </cell>
          <cell r="U102">
            <v>420.99981492402821</v>
          </cell>
          <cell r="V102">
            <v>420.99981492402821</v>
          </cell>
          <cell r="W102">
            <v>420.99981492402821</v>
          </cell>
          <cell r="X102">
            <v>420.99981492402821</v>
          </cell>
          <cell r="Y102">
            <v>420.99981492402821</v>
          </cell>
        </row>
        <row r="106">
          <cell r="B106">
            <v>0</v>
          </cell>
          <cell r="C106">
            <v>71.080323519940336</v>
          </cell>
          <cell r="D106">
            <v>123.46686568294237</v>
          </cell>
          <cell r="E106">
            <v>174.10971858346306</v>
          </cell>
          <cell r="F106">
            <v>174.10971858346306</v>
          </cell>
          <cell r="G106">
            <v>174.10971858346306</v>
          </cell>
          <cell r="H106">
            <v>173.83783612024118</v>
          </cell>
          <cell r="I106">
            <v>173.83783612024118</v>
          </cell>
          <cell r="J106">
            <v>173.83783612024118</v>
          </cell>
          <cell r="K106">
            <v>173.83783612024118</v>
          </cell>
          <cell r="L106">
            <v>177.16957219681058</v>
          </cell>
          <cell r="M106">
            <v>177.16957219681058</v>
          </cell>
          <cell r="N106">
            <v>177.16957219681058</v>
          </cell>
          <cell r="O106">
            <v>177.16957219681058</v>
          </cell>
          <cell r="P106">
            <v>187.38142051531892</v>
          </cell>
          <cell r="Q106">
            <v>187.38142051531892</v>
          </cell>
          <cell r="R106">
            <v>187.38142051531892</v>
          </cell>
          <cell r="S106">
            <v>187.38142051531892</v>
          </cell>
          <cell r="T106">
            <v>187.38142051531892</v>
          </cell>
          <cell r="U106">
            <v>187.38142051531892</v>
          </cell>
          <cell r="V106">
            <v>187.38142051531892</v>
          </cell>
          <cell r="W106">
            <v>187.38142051531892</v>
          </cell>
          <cell r="X106">
            <v>187.38142051531892</v>
          </cell>
          <cell r="Y106">
            <v>187.38142051531892</v>
          </cell>
        </row>
      </sheetData>
      <sheetData sheetId="8" refreshError="1">
        <row r="39">
          <cell r="B39">
            <v>0</v>
          </cell>
        </row>
        <row r="83">
          <cell r="B83">
            <v>0</v>
          </cell>
          <cell r="C83">
            <v>1094707</v>
          </cell>
          <cell r="D83">
            <v>1162325</v>
          </cell>
          <cell r="E83">
            <v>1234120</v>
          </cell>
          <cell r="F83">
            <v>1310758</v>
          </cell>
          <cell r="G83">
            <v>1392155</v>
          </cell>
          <cell r="H83">
            <v>1478607</v>
          </cell>
          <cell r="I83">
            <v>1570427</v>
          </cell>
          <cell r="J83">
            <v>1667949</v>
          </cell>
          <cell r="K83">
            <v>1768026</v>
          </cell>
          <cell r="L83">
            <v>1874108</v>
          </cell>
          <cell r="M83">
            <v>1949072</v>
          </cell>
          <cell r="N83">
            <v>2027035</v>
          </cell>
          <cell r="O83">
            <v>2108116</v>
          </cell>
          <cell r="P83">
            <v>2192441</v>
          </cell>
          <cell r="Q83">
            <v>2280139</v>
          </cell>
          <cell r="R83">
            <v>2371345</v>
          </cell>
          <cell r="S83">
            <v>2466199</v>
          </cell>
          <cell r="T83">
            <v>2564847</v>
          </cell>
          <cell r="U83">
            <v>2667441</v>
          </cell>
          <cell r="V83">
            <v>2774138.7648000056</v>
          </cell>
          <cell r="W83">
            <v>0</v>
          </cell>
          <cell r="X83">
            <v>0</v>
          </cell>
          <cell r="Y83">
            <v>0</v>
          </cell>
        </row>
        <row r="115">
          <cell r="B115">
            <v>0</v>
          </cell>
          <cell r="C115">
            <v>1193743.9357533497</v>
          </cell>
          <cell r="D115">
            <v>1267086.171758564</v>
          </cell>
          <cell r="E115">
            <v>1344947.2566792953</v>
          </cell>
          <cell r="F115">
            <v>1417486.2880393504</v>
          </cell>
          <cell r="G115">
            <v>1493940.0396824875</v>
          </cell>
          <cell r="H115">
            <v>1574474.4141710955</v>
          </cell>
          <cell r="I115">
            <v>1659355.1473761373</v>
          </cell>
          <cell r="J115">
            <v>1757379.1308851736</v>
          </cell>
          <cell r="K115">
            <v>1857583.9045444184</v>
          </cell>
          <cell r="L115">
            <v>1963513.6475754501</v>
          </cell>
          <cell r="M115">
            <v>2036968.1197889382</v>
          </cell>
          <cell r="N115">
            <v>2113175.7670444888</v>
          </cell>
          <cell r="O115">
            <v>2192243.4867737498</v>
          </cell>
          <cell r="P115">
            <v>2274274.7742552618</v>
          </cell>
          <cell r="Q115">
            <v>2359385.0362101244</v>
          </cell>
          <cell r="R115">
            <v>2447688.5437390581</v>
          </cell>
          <cell r="S115">
            <v>2539304.6825752272</v>
          </cell>
          <cell r="T115">
            <v>2634357.2321296446</v>
          </cell>
          <cell r="U115">
            <v>2732975.9068327444</v>
          </cell>
          <cell r="V115">
            <v>2835295.915135568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73174.079481692985</v>
          </cell>
          <cell r="D116">
            <v>77083.357864851525</v>
          </cell>
          <cell r="E116">
            <v>81201.264536390241</v>
          </cell>
          <cell r="F116">
            <v>85566.241659112769</v>
          </cell>
          <cell r="G116">
            <v>90166.053279774656</v>
          </cell>
          <cell r="H116">
            <v>95012.968300559965</v>
          </cell>
          <cell r="I116">
            <v>100120.23960680301</v>
          </cell>
          <cell r="J116">
            <v>105502.02734124009</v>
          </cell>
          <cell r="K116">
            <v>110952.81300646573</v>
          </cell>
          <cell r="L116">
            <v>116685.57583026151</v>
          </cell>
          <cell r="M116">
            <v>120399.05210736388</v>
          </cell>
          <cell r="N116">
            <v>124230.75701366333</v>
          </cell>
          <cell r="O116">
            <v>128184.92093672647</v>
          </cell>
          <cell r="P116">
            <v>132265.10562818745</v>
          </cell>
          <cell r="Q116">
            <v>136474.65609052646</v>
          </cell>
          <cell r="R116">
            <v>140817.98688736145</v>
          </cell>
          <cell r="S116">
            <v>145299.85131647976</v>
          </cell>
          <cell r="T116">
            <v>149924.2753883843</v>
          </cell>
          <cell r="U116">
            <v>154695.63079888478</v>
          </cell>
          <cell r="V116">
            <v>159618.83508372094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286318.81557907187</v>
          </cell>
          <cell r="D117">
            <v>296027.00764970831</v>
          </cell>
          <cell r="E117">
            <v>306080.16662780498</v>
          </cell>
          <cell r="F117">
            <v>316491.08383815311</v>
          </cell>
          <cell r="G117">
            <v>327273.04682413879</v>
          </cell>
          <cell r="H117">
            <v>336219.15643454378</v>
          </cell>
          <cell r="I117">
            <v>345409.82263080392</v>
          </cell>
          <cell r="J117">
            <v>353129.14539774024</v>
          </cell>
          <cell r="K117">
            <v>361020.9602487121</v>
          </cell>
          <cell r="L117">
            <v>369089.14206245774</v>
          </cell>
          <cell r="M117">
            <v>377337.65436158766</v>
          </cell>
          <cell r="N117">
            <v>385770.48977051908</v>
          </cell>
          <cell r="O117">
            <v>394391.79265468125</v>
          </cell>
          <cell r="P117">
            <v>403205.74564230803</v>
          </cell>
          <cell r="Q117">
            <v>412216.69856593315</v>
          </cell>
          <cell r="R117">
            <v>421429.01946538116</v>
          </cell>
          <cell r="S117">
            <v>430847.23298582633</v>
          </cell>
          <cell r="T117">
            <v>440475.90909157041</v>
          </cell>
          <cell r="U117">
            <v>450319.79559271073</v>
          </cell>
          <cell r="V117">
            <v>460383.67619443015</v>
          </cell>
          <cell r="W117">
            <v>0</v>
          </cell>
          <cell r="X117">
            <v>0</v>
          </cell>
          <cell r="Y117">
            <v>0</v>
          </cell>
        </row>
        <row r="121">
          <cell r="B121">
            <v>0</v>
          </cell>
          <cell r="C121">
            <v>270790.31201194541</v>
          </cell>
          <cell r="D121">
            <v>236740.77593309357</v>
          </cell>
          <cell r="E121">
            <v>197468.69464049092</v>
          </cell>
          <cell r="F121">
            <v>207892.1193368673</v>
          </cell>
          <cell r="G121">
            <v>218867.9923547488</v>
          </cell>
          <cell r="H121">
            <v>230380.20839828666</v>
          </cell>
          <cell r="I121">
            <v>242502.2260322326</v>
          </cell>
          <cell r="J121">
            <v>255873.63929000223</v>
          </cell>
          <cell r="K121">
            <v>269515.80406957498</v>
          </cell>
          <cell r="L121">
            <v>283895.81453594303</v>
          </cell>
          <cell r="M121">
            <v>294044.83547048958</v>
          </cell>
          <cell r="N121">
            <v>304564.62198557757</v>
          </cell>
          <cell r="O121">
            <v>315473.74361168896</v>
          </cell>
          <cell r="P121">
            <v>326781.16241255583</v>
          </cell>
          <cell r="Q121">
            <v>338505.55399648519</v>
          </cell>
          <cell r="R121">
            <v>350662.28915069555</v>
          </cell>
          <cell r="S121">
            <v>363267.53302434564</v>
          </cell>
          <cell r="T121">
            <v>376337.13096525945</v>
          </cell>
          <cell r="U121">
            <v>389887.83226407692</v>
          </cell>
          <cell r="V121">
            <v>403939.85081923165</v>
          </cell>
          <cell r="W121">
            <v>0</v>
          </cell>
          <cell r="X121">
            <v>0</v>
          </cell>
          <cell r="Y121">
            <v>0</v>
          </cell>
        </row>
        <row r="122">
          <cell r="B122">
            <v>0</v>
          </cell>
          <cell r="C122">
            <v>656272.36918227584</v>
          </cell>
          <cell r="D122">
            <v>759024.20196752402</v>
          </cell>
          <cell r="E122">
            <v>858754.71749879199</v>
          </cell>
          <cell r="F122">
            <v>905219.64165057766</v>
          </cell>
          <cell r="G122">
            <v>954198.67246761685</v>
          </cell>
          <cell r="H122">
            <v>1005827.5947824621</v>
          </cell>
          <cell r="I122">
            <v>1060250.0587289892</v>
          </cell>
          <cell r="J122">
            <v>1123177.2981813629</v>
          </cell>
          <cell r="K122">
            <v>1187487.7352288719</v>
          </cell>
          <cell r="L122">
            <v>1255480.8771670426</v>
          </cell>
          <cell r="M122">
            <v>1302322.0630933098</v>
          </cell>
          <cell r="N122">
            <v>1350911.0068249176</v>
          </cell>
          <cell r="O122">
            <v>1401312.3996389373</v>
          </cell>
          <cell r="P122">
            <v>1453594.80253342</v>
          </cell>
          <cell r="Q122">
            <v>1507828.1611803307</v>
          </cell>
          <cell r="R122">
            <v>1564084.6849023879</v>
          </cell>
          <cell r="S122">
            <v>1622439.8393158976</v>
          </cell>
          <cell r="T122">
            <v>1682971.8760852688</v>
          </cell>
          <cell r="U122">
            <v>1745762.8048267837</v>
          </cell>
          <cell r="V122">
            <v>1810896.4350645563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626174.14961989317</v>
          </cell>
          <cell r="D123">
            <v>644431.55937250622</v>
          </cell>
          <cell r="E123">
            <v>676005.27570420771</v>
          </cell>
          <cell r="F123">
            <v>706431.85254917131</v>
          </cell>
          <cell r="G123">
            <v>738312.47496403533</v>
          </cell>
          <cell r="H123">
            <v>769498.73572545056</v>
          </cell>
          <cell r="I123">
            <v>802132.92485252232</v>
          </cell>
          <cell r="J123">
            <v>836959.36615278886</v>
          </cell>
          <cell r="K123">
            <v>872554.13850114925</v>
          </cell>
          <cell r="L123">
            <v>909911.67376518378</v>
          </cell>
          <cell r="M123">
            <v>938337.92769409041</v>
          </cell>
          <cell r="N123">
            <v>967701.38501817593</v>
          </cell>
          <cell r="O123">
            <v>998034.05711453117</v>
          </cell>
          <cell r="P123">
            <v>1029369.6605797814</v>
          </cell>
          <cell r="Q123">
            <v>1061742.675689768</v>
          </cell>
          <cell r="R123">
            <v>1095188.5760387175</v>
          </cell>
          <cell r="S123">
            <v>1129744.3945372899</v>
          </cell>
          <cell r="T123">
            <v>1165448.4095590711</v>
          </cell>
          <cell r="U123">
            <v>1202340.696133479</v>
          </cell>
          <cell r="V123">
            <v>1240462.1405299313</v>
          </cell>
          <cell r="W123">
            <v>0</v>
          </cell>
          <cell r="X123">
            <v>0</v>
          </cell>
          <cell r="Y123">
            <v>0</v>
          </cell>
        </row>
        <row r="128">
          <cell r="B128">
            <v>0</v>
          </cell>
          <cell r="C128">
            <v>114527.52623162876</v>
          </cell>
          <cell r="D128">
            <v>118410.80305988333</v>
          </cell>
          <cell r="E128">
            <v>122432.066651122</v>
          </cell>
          <cell r="F128">
            <v>126596.43353526125</v>
          </cell>
          <cell r="G128">
            <v>130909.21872965552</v>
          </cell>
          <cell r="H128">
            <v>134487.66257381751</v>
          </cell>
          <cell r="I128">
            <v>138163.92905232156</v>
          </cell>
          <cell r="J128">
            <v>141251.65815909611</v>
          </cell>
          <cell r="K128">
            <v>144408.38409948486</v>
          </cell>
          <cell r="L128">
            <v>147635.6568249831</v>
          </cell>
          <cell r="M128">
            <v>150935.06174463508</v>
          </cell>
          <cell r="N128">
            <v>154308.19590820765</v>
          </cell>
          <cell r="O128">
            <v>157756.71706187251</v>
          </cell>
          <cell r="P128">
            <v>161282.29825692321</v>
          </cell>
          <cell r="Q128">
            <v>164886.67942637327</v>
          </cell>
          <cell r="R128">
            <v>168571.60778615248</v>
          </cell>
          <cell r="S128">
            <v>172338.89319433054</v>
          </cell>
          <cell r="T128">
            <v>176190.36363662817</v>
          </cell>
          <cell r="U128">
            <v>180127.91823708429</v>
          </cell>
          <cell r="V128">
            <v>184153.47047777206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760150.80914102553</v>
          </cell>
          <cell r="D129">
            <v>806501.71777404926</v>
          </cell>
          <cell r="E129">
            <v>855689.11272941134</v>
          </cell>
          <cell r="F129">
            <v>901831.51781907782</v>
          </cell>
          <cell r="G129">
            <v>950463.65577735729</v>
          </cell>
          <cell r="H129">
            <v>1001692.4294829932</v>
          </cell>
          <cell r="I129">
            <v>1055685.2321897643</v>
          </cell>
          <cell r="J129">
            <v>1117728.6949358482</v>
          </cell>
          <cell r="K129">
            <v>1181122.0305305305</v>
          </cell>
          <cell r="L129">
            <v>1248119.5340434269</v>
          </cell>
          <cell r="M129">
            <v>1294420.3031377813</v>
          </cell>
          <cell r="N129">
            <v>1342443.9144348912</v>
          </cell>
          <cell r="O129">
            <v>1392257.0446262858</v>
          </cell>
          <cell r="P129">
            <v>1443923.9279300694</v>
          </cell>
          <cell r="Q129">
            <v>1497515.8153803905</v>
          </cell>
          <cell r="R129">
            <v>1553103.9183758516</v>
          </cell>
          <cell r="S129">
            <v>1610762.7203350242</v>
          </cell>
          <cell r="T129">
            <v>1670568.9045108173</v>
          </cell>
          <cell r="U129">
            <v>1732602.9225789774</v>
          </cell>
          <cell r="V129">
            <v>1796948.8501315732</v>
          </cell>
          <cell r="W129">
            <v>0</v>
          </cell>
          <cell r="X129">
            <v>0</v>
          </cell>
          <cell r="Y129">
            <v>0</v>
          </cell>
        </row>
        <row r="131">
          <cell r="B131">
            <v>0</v>
          </cell>
          <cell r="C131">
            <v>261617.40618002441</v>
          </cell>
          <cell r="D131">
            <v>275632.18135593948</v>
          </cell>
          <cell r="E131">
            <v>290442.31983930414</v>
          </cell>
          <cell r="F131">
            <v>304580.65041430783</v>
          </cell>
          <cell r="G131">
            <v>319434.17565037409</v>
          </cell>
          <cell r="H131">
            <v>334477.89647938439</v>
          </cell>
          <cell r="I131">
            <v>350273.76370514202</v>
          </cell>
          <cell r="J131">
            <v>367714.46008339722</v>
          </cell>
          <cell r="K131">
            <v>385535.74769481074</v>
          </cell>
          <cell r="L131">
            <v>404302.16902647127</v>
          </cell>
          <cell r="M131">
            <v>417939.48937484215</v>
          </cell>
          <cell r="N131">
            <v>432053.60105135257</v>
          </cell>
          <cell r="O131">
            <v>446662.20932024182</v>
          </cell>
          <cell r="P131">
            <v>461782.41839309444</v>
          </cell>
          <cell r="Q131">
            <v>477433.12848658103</v>
          </cell>
          <cell r="R131">
            <v>493633.23446030827</v>
          </cell>
          <cell r="S131">
            <v>510402.48833021265</v>
          </cell>
          <cell r="T131">
            <v>527761.20340059686</v>
          </cell>
          <cell r="U131">
            <v>545730.67954292207</v>
          </cell>
          <cell r="V131">
            <v>564333.13158150099</v>
          </cell>
          <cell r="W131">
            <v>0</v>
          </cell>
          <cell r="X131">
            <v>0</v>
          </cell>
          <cell r="Y131">
            <v>0</v>
          </cell>
        </row>
        <row r="133">
          <cell r="B133">
            <v>0</v>
          </cell>
          <cell r="C133">
            <v>261617.40618002441</v>
          </cell>
          <cell r="D133">
            <v>275632.18135593948</v>
          </cell>
          <cell r="E133">
            <v>290442.31983930414</v>
          </cell>
          <cell r="F133">
            <v>304580.65041430783</v>
          </cell>
          <cell r="G133">
            <v>319434.17565037409</v>
          </cell>
          <cell r="H133">
            <v>334477.89647938439</v>
          </cell>
          <cell r="I133">
            <v>350273.76370514202</v>
          </cell>
          <cell r="J133">
            <v>367714.46008339722</v>
          </cell>
          <cell r="K133">
            <v>385535.74769481074</v>
          </cell>
          <cell r="L133">
            <v>404302.16902647127</v>
          </cell>
          <cell r="M133">
            <v>417939.48937484215</v>
          </cell>
          <cell r="N133">
            <v>432053.60105135257</v>
          </cell>
          <cell r="O133">
            <v>446662.20932024182</v>
          </cell>
          <cell r="P133">
            <v>461782.41839309444</v>
          </cell>
          <cell r="Q133">
            <v>477433.12848658103</v>
          </cell>
          <cell r="R133">
            <v>493633.23446030827</v>
          </cell>
          <cell r="S133">
            <v>510402.48833021265</v>
          </cell>
          <cell r="T133">
            <v>527761.20340059686</v>
          </cell>
          <cell r="U133">
            <v>545730.67954292207</v>
          </cell>
          <cell r="V133">
            <v>564333.13158150099</v>
          </cell>
          <cell r="W133">
            <v>0</v>
          </cell>
          <cell r="X133">
            <v>0</v>
          </cell>
          <cell r="Y133">
            <v>0</v>
          </cell>
        </row>
        <row r="135">
          <cell r="B135">
            <v>0</v>
          </cell>
          <cell r="C135">
            <v>155323.68308141147</v>
          </cell>
          <cell r="D135">
            <v>164019.6537273124</v>
          </cell>
          <cell r="E135">
            <v>173222.86878434906</v>
          </cell>
          <cell r="F135">
            <v>181954.36135366163</v>
          </cell>
          <cell r="G135">
            <v>191137.91397864011</v>
          </cell>
          <cell r="H135">
            <v>200570.65389061996</v>
          </cell>
          <cell r="I135">
            <v>210488.52096137442</v>
          </cell>
          <cell r="J135">
            <v>221601.03036241542</v>
          </cell>
          <cell r="K135">
            <v>232955.76777995966</v>
          </cell>
          <cell r="L135">
            <v>244928.83654681698</v>
          </cell>
          <cell r="M135">
            <v>253470.48262578898</v>
          </cell>
          <cell r="N135">
            <v>262317.70138286712</v>
          </cell>
          <cell r="O135">
            <v>271482.02003651578</v>
          </cell>
          <cell r="P135">
            <v>280974.56255257572</v>
          </cell>
          <cell r="Q135">
            <v>290807.63908665843</v>
          </cell>
          <cell r="R135">
            <v>300993.5550091801</v>
          </cell>
          <cell r="S135">
            <v>311545.17668775335</v>
          </cell>
          <cell r="T135">
            <v>322475.74166095996</v>
          </cell>
          <cell r="U135">
            <v>333799.13332243403</v>
          </cell>
          <cell r="V135">
            <v>345529.84264137194</v>
          </cell>
          <cell r="W135">
            <v>0</v>
          </cell>
          <cell r="X135">
            <v>0</v>
          </cell>
          <cell r="Y135">
            <v>0</v>
          </cell>
        </row>
        <row r="140">
          <cell r="B140">
            <v>0</v>
          </cell>
          <cell r="C140">
            <v>137542.23220278235</v>
          </cell>
          <cell r="D140">
            <v>143602.1613485725</v>
          </cell>
          <cell r="E140">
            <v>149942.39272519786</v>
          </cell>
          <cell r="F140">
            <v>156621.1888653246</v>
          </cell>
          <cell r="G140">
            <v>163609.5473304175</v>
          </cell>
          <cell r="H140">
            <v>170848.91829094852</v>
          </cell>
          <cell r="I140">
            <v>178424.00873809023</v>
          </cell>
          <cell r="J140">
            <v>186727.45692263325</v>
          </cell>
          <cell r="K140">
            <v>195098.45416003928</v>
          </cell>
          <cell r="L140">
            <v>203869.714145698</v>
          </cell>
          <cell r="M140">
            <v>209469.0211073735</v>
          </cell>
          <cell r="N140">
            <v>215233.40456550292</v>
          </cell>
          <cell r="O140">
            <v>221169.54007430671</v>
          </cell>
          <cell r="P140">
            <v>227280.61538746461</v>
          </cell>
          <cell r="Q140">
            <v>233573.22404055891</v>
          </cell>
          <cell r="R140">
            <v>240052.83414848286</v>
          </cell>
          <cell r="S140">
            <v>246725.4221099873</v>
          </cell>
          <cell r="T140">
            <v>253596.38236135323</v>
          </cell>
          <cell r="U140">
            <v>260671.65162626893</v>
          </cell>
          <cell r="V140">
            <v>267958.27416276518</v>
          </cell>
          <cell r="W140">
            <v>0</v>
          </cell>
          <cell r="X140">
            <v>0</v>
          </cell>
          <cell r="Y140">
            <v>0</v>
          </cell>
        </row>
        <row r="145">
          <cell r="B145">
            <v>0</v>
          </cell>
          <cell r="C145">
            <v>14980.322256018499</v>
          </cell>
          <cell r="D145">
            <v>15658.444232627504</v>
          </cell>
          <cell r="E145">
            <v>16369.678553589314</v>
          </cell>
          <cell r="F145">
            <v>17120.13778067231</v>
          </cell>
          <cell r="G145">
            <v>17907.065369452041</v>
          </cell>
          <cell r="H145">
            <v>18717.959348101136</v>
          </cell>
          <cell r="I145">
            <v>19568.339697621308</v>
          </cell>
          <cell r="J145">
            <v>20534.290823096959</v>
          </cell>
          <cell r="K145">
            <v>21517.832407903858</v>
          </cell>
          <cell r="L145">
            <v>22552.740531711057</v>
          </cell>
          <cell r="M145">
            <v>23277.61379494677</v>
          </cell>
          <cell r="N145">
            <v>24026.783161809093</v>
          </cell>
          <cell r="O145">
            <v>24801.37600548107</v>
          </cell>
          <cell r="P145">
            <v>25601.870239995154</v>
          </cell>
          <cell r="Q145">
            <v>26429.45539541114</v>
          </cell>
          <cell r="R145">
            <v>27284.998113673795</v>
          </cell>
          <cell r="S145">
            <v>28169.394161586846</v>
          </cell>
          <cell r="T145">
            <v>29083.582117089023</v>
          </cell>
          <cell r="U145">
            <v>30028.532362207494</v>
          </cell>
          <cell r="V145">
            <v>31005.40335146432</v>
          </cell>
          <cell r="W145">
            <v>0</v>
          </cell>
          <cell r="X145">
            <v>0</v>
          </cell>
          <cell r="Y145">
            <v>0</v>
          </cell>
        </row>
      </sheetData>
      <sheetData sheetId="9" refreshError="1">
        <row r="14">
          <cell r="B14">
            <v>0</v>
          </cell>
        </row>
        <row r="109">
          <cell r="D109">
            <v>0.38882001410755634</v>
          </cell>
        </row>
      </sheetData>
      <sheetData sheetId="10" refreshError="1"/>
      <sheetData sheetId="11" refreshError="1">
        <row r="187">
          <cell r="B187">
            <v>0</v>
          </cell>
        </row>
        <row r="986">
          <cell r="B986">
            <v>0</v>
          </cell>
          <cell r="C986">
            <v>374.02171001906686</v>
          </cell>
          <cell r="D986">
            <v>10186.386991553547</v>
          </cell>
          <cell r="E986">
            <v>18140.271141588495</v>
          </cell>
          <cell r="F986">
            <v>26040.387259955834</v>
          </cell>
          <cell r="G986">
            <v>26076.928839418699</v>
          </cell>
          <cell r="H986">
            <v>24323.468476794635</v>
          </cell>
          <cell r="I986">
            <v>25144.488574948613</v>
          </cell>
          <cell r="J986">
            <v>16800.872581407366</v>
          </cell>
          <cell r="K986">
            <v>16983.400711192975</v>
          </cell>
          <cell r="L986">
            <v>11400.268274203891</v>
          </cell>
          <cell r="M986">
            <v>8297.8355194068827</v>
          </cell>
          <cell r="N986">
            <v>8085.441955994258</v>
          </cell>
          <cell r="O986">
            <v>6226.457193086906</v>
          </cell>
          <cell r="P986">
            <v>8403.4473284342839</v>
          </cell>
          <cell r="Q986">
            <v>7559.289592346071</v>
          </cell>
          <cell r="R986">
            <v>7637.1265050190295</v>
          </cell>
          <cell r="S986">
            <v>5736.5889820261018</v>
          </cell>
          <cell r="T986">
            <v>4652.8078365690089</v>
          </cell>
          <cell r="U986">
            <v>4949.9641583065331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</row>
      </sheetData>
      <sheetData sheetId="12" refreshError="1">
        <row r="11">
          <cell r="B11">
            <v>44196</v>
          </cell>
        </row>
        <row r="35">
          <cell r="B35">
            <v>0</v>
          </cell>
          <cell r="C35">
            <v>0.13944999999999999</v>
          </cell>
          <cell r="D35">
            <v>4.2699249999999997</v>
          </cell>
          <cell r="E35">
            <v>7.8146499999999994</v>
          </cell>
          <cell r="F35">
            <v>10.91395</v>
          </cell>
          <cell r="G35">
            <v>10.446200000000001</v>
          </cell>
          <cell r="H35">
            <v>10.055175</v>
          </cell>
          <cell r="I35">
            <v>9.5430250000000001</v>
          </cell>
          <cell r="J35">
            <v>5.3326250000000002</v>
          </cell>
          <cell r="K35">
            <v>5.0892999999999997</v>
          </cell>
          <cell r="L35">
            <v>2.2261249999999997</v>
          </cell>
          <cell r="M35">
            <v>7.1724999999999997E-2</v>
          </cell>
          <cell r="N35">
            <v>7.3874999999999996E-2</v>
          </cell>
          <cell r="O35">
            <v>7.6100000000000001E-2</v>
          </cell>
          <cell r="P35">
            <v>0.32087500000000002</v>
          </cell>
          <cell r="Q35">
            <v>0.26642500000000002</v>
          </cell>
          <cell r="R35">
            <v>0.21804999999999999</v>
          </cell>
          <cell r="S35">
            <v>8.5650000000000004E-2</v>
          </cell>
          <cell r="T35">
            <v>8.8224999999999998E-2</v>
          </cell>
          <cell r="U35">
            <v>9.0874999999999997E-2</v>
          </cell>
          <cell r="V35">
            <v>9.3600000000000003E-2</v>
          </cell>
          <cell r="W35">
            <v>9.6424999999999997E-2</v>
          </cell>
          <cell r="X35">
            <v>9.9324999999999997E-2</v>
          </cell>
          <cell r="Y35">
            <v>0.1023</v>
          </cell>
        </row>
        <row r="42">
          <cell r="B42">
            <v>0</v>
          </cell>
          <cell r="C42">
            <v>0.64359999999999995</v>
          </cell>
          <cell r="D42">
            <v>0.54710000000000003</v>
          </cell>
          <cell r="E42">
            <v>0.46500000000000002</v>
          </cell>
          <cell r="F42">
            <v>0.39529999999999998</v>
          </cell>
          <cell r="G42">
            <v>0.33600000000000002</v>
          </cell>
          <cell r="H42">
            <v>0.28560000000000002</v>
          </cell>
          <cell r="I42">
            <v>0.29420000000000002</v>
          </cell>
          <cell r="J42">
            <v>0.30299999999999999</v>
          </cell>
          <cell r="K42">
            <v>0.31209999999999999</v>
          </cell>
          <cell r="L42">
            <v>0.32150000000000001</v>
          </cell>
          <cell r="M42">
            <v>0.33110000000000001</v>
          </cell>
          <cell r="N42">
            <v>0.34100000000000003</v>
          </cell>
          <cell r="O42">
            <v>0.3513</v>
          </cell>
          <cell r="P42">
            <v>0.36180000000000001</v>
          </cell>
          <cell r="Q42">
            <v>0.37269999999999998</v>
          </cell>
          <cell r="R42">
            <v>0.38390000000000002</v>
          </cell>
          <cell r="S42">
            <v>0.39539999999999997</v>
          </cell>
          <cell r="T42">
            <v>0.4073</v>
          </cell>
          <cell r="U42">
            <v>0.41949999999999998</v>
          </cell>
          <cell r="V42">
            <v>0.43209999999999998</v>
          </cell>
          <cell r="W42">
            <v>0.4451</v>
          </cell>
          <cell r="X42">
            <v>0.45850000000000002</v>
          </cell>
          <cell r="Y42">
            <v>0.4723</v>
          </cell>
        </row>
        <row r="63">
          <cell r="B63">
            <v>0</v>
          </cell>
          <cell r="C63">
            <v>0.42909999999999998</v>
          </cell>
          <cell r="D63">
            <v>0.36470000000000002</v>
          </cell>
          <cell r="E63">
            <v>0.31</v>
          </cell>
          <cell r="F63">
            <v>0.26350000000000001</v>
          </cell>
          <cell r="G63">
            <v>0.224</v>
          </cell>
          <cell r="H63">
            <v>0.19040000000000001</v>
          </cell>
          <cell r="I63">
            <v>0.1961</v>
          </cell>
          <cell r="J63">
            <v>0.20200000000000001</v>
          </cell>
          <cell r="K63">
            <v>0.20810000000000001</v>
          </cell>
          <cell r="L63">
            <v>0.21429999999999999</v>
          </cell>
          <cell r="M63">
            <v>0.22070000000000001</v>
          </cell>
          <cell r="N63">
            <v>0.2273</v>
          </cell>
          <cell r="O63">
            <v>0.2341</v>
          </cell>
          <cell r="P63">
            <v>0.24110000000000001</v>
          </cell>
          <cell r="Q63">
            <v>0.24829999999999999</v>
          </cell>
          <cell r="R63">
            <v>0.25569999999999998</v>
          </cell>
          <cell r="S63">
            <v>0.26340000000000002</v>
          </cell>
          <cell r="T63">
            <v>0.27129999999999999</v>
          </cell>
          <cell r="U63">
            <v>0.27939999999999998</v>
          </cell>
          <cell r="V63">
            <v>0.2878</v>
          </cell>
          <cell r="W63">
            <v>0.29649999999999999</v>
          </cell>
          <cell r="X63">
            <v>0.3054</v>
          </cell>
          <cell r="Y63">
            <v>0.31459999999999999</v>
          </cell>
        </row>
        <row r="84">
          <cell r="B84">
            <v>0</v>
          </cell>
          <cell r="C84">
            <v>5.4000000000000003E-3</v>
          </cell>
          <cell r="D84">
            <v>4.5999999999999999E-3</v>
          </cell>
          <cell r="E84">
            <v>3.8999999999999998E-3</v>
          </cell>
          <cell r="F84">
            <v>3.3E-3</v>
          </cell>
          <cell r="G84">
            <v>2.8E-3</v>
          </cell>
          <cell r="H84">
            <v>2.3999999999999998E-3</v>
          </cell>
          <cell r="I84">
            <v>2.5000000000000001E-3</v>
          </cell>
          <cell r="J84">
            <v>2.5999999999999999E-3</v>
          </cell>
          <cell r="K84">
            <v>2.7000000000000001E-3</v>
          </cell>
          <cell r="L84">
            <v>2.8E-3</v>
          </cell>
          <cell r="M84">
            <v>2.8999999999999998E-3</v>
          </cell>
          <cell r="N84">
            <v>3.0000000000000001E-3</v>
          </cell>
          <cell r="O84">
            <v>3.0999999999999999E-3</v>
          </cell>
          <cell r="P84">
            <v>3.2000000000000002E-3</v>
          </cell>
          <cell r="Q84">
            <v>3.3E-3</v>
          </cell>
          <cell r="R84">
            <v>3.3999999999999998E-3</v>
          </cell>
          <cell r="S84">
            <v>3.5000000000000001E-3</v>
          </cell>
          <cell r="T84">
            <v>3.5999999999999999E-3</v>
          </cell>
          <cell r="U84">
            <v>3.7000000000000002E-3</v>
          </cell>
          <cell r="V84">
            <v>3.8E-3</v>
          </cell>
          <cell r="W84">
            <v>3.8999999999999998E-3</v>
          </cell>
          <cell r="X84">
            <v>4.0000000000000001E-3</v>
          </cell>
          <cell r="Y84">
            <v>4.1000000000000003E-3</v>
          </cell>
        </row>
        <row r="105">
          <cell r="B105">
            <v>0</v>
          </cell>
          <cell r="C105">
            <v>23.016999999999999</v>
          </cell>
          <cell r="D105">
            <v>19.564499999999999</v>
          </cell>
          <cell r="E105">
            <v>16.629799999999999</v>
          </cell>
          <cell r="F105">
            <v>14.135300000000001</v>
          </cell>
          <cell r="G105">
            <v>12.0162</v>
          </cell>
          <cell r="H105">
            <v>10.213800000000001</v>
          </cell>
          <cell r="I105">
            <v>10.520200000000001</v>
          </cell>
          <cell r="J105">
            <v>10.835800000000001</v>
          </cell>
          <cell r="K105">
            <v>11.161799999999999</v>
          </cell>
          <cell r="L105">
            <v>11.496700000000001</v>
          </cell>
          <cell r="M105">
            <v>11.8416</v>
          </cell>
          <cell r="N105">
            <v>12.1968</v>
          </cell>
          <cell r="O105">
            <v>12.563700000000001</v>
          </cell>
          <cell r="P105">
            <v>12.9406</v>
          </cell>
          <cell r="Q105">
            <v>13.328799999999999</v>
          </cell>
          <cell r="R105">
            <v>13.7287</v>
          </cell>
          <cell r="S105">
            <v>14.1417</v>
          </cell>
          <cell r="T105">
            <v>14.566000000000001</v>
          </cell>
          <cell r="U105">
            <v>15.003</v>
          </cell>
          <cell r="V105">
            <v>15.453099999999999</v>
          </cell>
          <cell r="W105">
            <v>15.917999999999999</v>
          </cell>
          <cell r="X105">
            <v>16.395499999999998</v>
          </cell>
          <cell r="Y105">
            <v>16.8874</v>
          </cell>
        </row>
        <row r="119">
          <cell r="B119">
            <v>0</v>
          </cell>
          <cell r="C119">
            <v>1.7813000000000001</v>
          </cell>
          <cell r="D119">
            <v>1.4832000000000001</v>
          </cell>
          <cell r="E119">
            <v>29.6861</v>
          </cell>
          <cell r="F119">
            <v>35.798999999999999</v>
          </cell>
          <cell r="G119">
            <v>35.9131</v>
          </cell>
          <cell r="H119">
            <v>35.967599999999997</v>
          </cell>
          <cell r="I119">
            <v>36.011600000000001</v>
          </cell>
          <cell r="J119">
            <v>29.909300000000002</v>
          </cell>
          <cell r="K119">
            <v>29.962499999999999</v>
          </cell>
          <cell r="L119">
            <v>30.029599999999999</v>
          </cell>
          <cell r="M119">
            <v>30.073799999999999</v>
          </cell>
          <cell r="N119">
            <v>30.131699999999999</v>
          </cell>
          <cell r="O119">
            <v>30.191500000000001</v>
          </cell>
          <cell r="P119">
            <v>30.299499999999998</v>
          </cell>
          <cell r="Q119">
            <v>30.318200000000001</v>
          </cell>
          <cell r="R119">
            <v>30.383500000000002</v>
          </cell>
          <cell r="S119">
            <v>30.450900000000001</v>
          </cell>
          <cell r="T119">
            <v>2.3767</v>
          </cell>
          <cell r="U119">
            <v>2.448</v>
          </cell>
          <cell r="V119">
            <v>2.5213999999999999</v>
          </cell>
          <cell r="W119">
            <v>-0.61739999999999995</v>
          </cell>
          <cell r="X119">
            <v>0</v>
          </cell>
          <cell r="Y119">
            <v>0</v>
          </cell>
        </row>
        <row r="126">
          <cell r="B126">
            <v>0</v>
          </cell>
          <cell r="C126">
            <v>2.4136000000000002</v>
          </cell>
          <cell r="D126">
            <v>2.0516000000000001</v>
          </cell>
          <cell r="E126">
            <v>1.7439</v>
          </cell>
          <cell r="F126">
            <v>1.4823</v>
          </cell>
          <cell r="G126">
            <v>1.2601</v>
          </cell>
          <cell r="H126">
            <v>1.0710999999999999</v>
          </cell>
          <cell r="I126">
            <v>1.1032</v>
          </cell>
          <cell r="J126">
            <v>1.1363000000000001</v>
          </cell>
          <cell r="K126">
            <v>1.1705000000000001</v>
          </cell>
          <cell r="L126">
            <v>1.2056</v>
          </cell>
          <cell r="M126">
            <v>1.2418</v>
          </cell>
          <cell r="N126">
            <v>1.2790999999999999</v>
          </cell>
          <cell r="O126">
            <v>1.3176000000000001</v>
          </cell>
          <cell r="P126">
            <v>1.3571</v>
          </cell>
          <cell r="Q126">
            <v>1.3977999999999999</v>
          </cell>
          <cell r="R126">
            <v>1.4397</v>
          </cell>
          <cell r="S126">
            <v>1.4830000000000001</v>
          </cell>
          <cell r="T126">
            <v>1.5275000000000001</v>
          </cell>
          <cell r="U126">
            <v>1.5732999999999999</v>
          </cell>
          <cell r="V126">
            <v>1.6205000000000001</v>
          </cell>
          <cell r="W126">
            <v>1.6693</v>
          </cell>
          <cell r="X126">
            <v>1.7194</v>
          </cell>
          <cell r="Y126">
            <v>1.7709999999999999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7">
          <cell r="B147">
            <v>0</v>
          </cell>
          <cell r="C147">
            <v>5.3600000000000002E-2</v>
          </cell>
          <cell r="D147">
            <v>4.5600000000000002E-2</v>
          </cell>
          <cell r="E147">
            <v>3.8800000000000001E-2</v>
          </cell>
          <cell r="F147">
            <v>3.3000000000000002E-2</v>
          </cell>
          <cell r="G147">
            <v>2.81E-2</v>
          </cell>
          <cell r="H147">
            <v>2.3900000000000001E-2</v>
          </cell>
          <cell r="I147">
            <v>2.46E-2</v>
          </cell>
          <cell r="J147">
            <v>2.53E-2</v>
          </cell>
          <cell r="K147">
            <v>2.6100000000000002E-2</v>
          </cell>
          <cell r="L147">
            <v>2.69E-2</v>
          </cell>
          <cell r="M147">
            <v>2.7699999999999999E-2</v>
          </cell>
          <cell r="N147">
            <v>2.8500000000000001E-2</v>
          </cell>
          <cell r="O147">
            <v>2.9399999999999999E-2</v>
          </cell>
          <cell r="P147">
            <v>3.0300000000000001E-2</v>
          </cell>
          <cell r="Q147">
            <v>3.1199999999999999E-2</v>
          </cell>
          <cell r="R147">
            <v>3.2099999999999997E-2</v>
          </cell>
          <cell r="S147">
            <v>3.3099999999999997E-2</v>
          </cell>
          <cell r="T147">
            <v>3.4099999999999998E-2</v>
          </cell>
          <cell r="U147">
            <v>3.5099999999999999E-2</v>
          </cell>
          <cell r="V147">
            <v>3.6200000000000003E-2</v>
          </cell>
          <cell r="W147">
            <v>3.73E-2</v>
          </cell>
          <cell r="X147">
            <v>3.8399999999999997E-2</v>
          </cell>
          <cell r="Y147">
            <v>3.9600000000000003E-2</v>
          </cell>
        </row>
        <row r="168">
          <cell r="B168">
            <v>0</v>
          </cell>
          <cell r="C168">
            <v>1.0699999999999999E-2</v>
          </cell>
          <cell r="D168">
            <v>9.1000000000000004E-3</v>
          </cell>
          <cell r="E168">
            <v>7.7000000000000002E-3</v>
          </cell>
          <cell r="F168">
            <v>6.4999999999999997E-3</v>
          </cell>
          <cell r="G168">
            <v>5.4999999999999997E-3</v>
          </cell>
          <cell r="H168">
            <v>4.7000000000000002E-3</v>
          </cell>
          <cell r="I168">
            <v>4.7999999999999996E-3</v>
          </cell>
          <cell r="J168">
            <v>4.8999999999999998E-3</v>
          </cell>
          <cell r="K168">
            <v>5.0000000000000001E-3</v>
          </cell>
          <cell r="L168">
            <v>5.1999999999999998E-3</v>
          </cell>
          <cell r="M168">
            <v>5.4000000000000003E-3</v>
          </cell>
          <cell r="N168">
            <v>5.5999999999999999E-3</v>
          </cell>
          <cell r="O168">
            <v>5.7999999999999996E-3</v>
          </cell>
          <cell r="P168">
            <v>6.0000000000000001E-3</v>
          </cell>
          <cell r="Q168">
            <v>6.1999999999999998E-3</v>
          </cell>
          <cell r="R168">
            <v>6.4000000000000003E-3</v>
          </cell>
          <cell r="S168">
            <v>6.6E-3</v>
          </cell>
          <cell r="T168">
            <v>6.7999999999999996E-3</v>
          </cell>
          <cell r="U168">
            <v>7.0000000000000001E-3</v>
          </cell>
          <cell r="V168">
            <v>7.1999999999999998E-3</v>
          </cell>
          <cell r="W168">
            <v>7.4000000000000003E-3</v>
          </cell>
          <cell r="X168">
            <v>7.6E-3</v>
          </cell>
          <cell r="Y168">
            <v>7.7999999999999996E-3</v>
          </cell>
        </row>
        <row r="203">
          <cell r="B203">
            <v>0</v>
          </cell>
          <cell r="C203">
            <v>3.1968018799857041</v>
          </cell>
          <cell r="D203">
            <v>3.2927059363852753</v>
          </cell>
          <cell r="E203">
            <v>3.3914871144768335</v>
          </cell>
          <cell r="F203">
            <v>3.4932317279111387</v>
          </cell>
          <cell r="G203">
            <v>3.5980286797484724</v>
          </cell>
          <cell r="H203">
            <v>3.7059695401409263</v>
          </cell>
          <cell r="I203">
            <v>3.8171486263451544</v>
          </cell>
          <cell r="J203">
            <v>3.9316630851355092</v>
          </cell>
          <cell r="K203">
            <v>4.0496129776895744</v>
          </cell>
          <cell r="L203">
            <v>4.1711013670202615</v>
          </cell>
          <cell r="M203">
            <v>4.2962344080308688</v>
          </cell>
          <cell r="N203">
            <v>4.4251214402717958</v>
          </cell>
          <cell r="O203">
            <v>4.5578750834799484</v>
          </cell>
          <cell r="P203">
            <v>4.6946113359843471</v>
          </cell>
          <cell r="Q203">
            <v>4.8354496760638774</v>
          </cell>
          <cell r="R203">
            <v>4.9805131663457942</v>
          </cell>
          <cell r="S203">
            <v>5.1299285613361674</v>
          </cell>
          <cell r="T203">
            <v>5.2838264181762522</v>
          </cell>
          <cell r="U203">
            <v>5.4423412107215396</v>
          </cell>
          <cell r="V203">
            <v>5.6056114470431861</v>
          </cell>
          <cell r="W203">
            <v>5.7737797904544816</v>
          </cell>
          <cell r="X203">
            <v>5.9469931841681154</v>
          </cell>
          <cell r="Y203">
            <v>6.1254029796931588</v>
          </cell>
        </row>
      </sheetData>
      <sheetData sheetId="13" refreshError="1"/>
      <sheetData sheetId="14" refreshError="1">
        <row r="27">
          <cell r="B27">
            <v>0</v>
          </cell>
          <cell r="C27">
            <v>8260.2133551105308</v>
          </cell>
          <cell r="D27">
            <v>7020.5441147802285</v>
          </cell>
          <cell r="E27">
            <v>7559.7934164609087</v>
          </cell>
          <cell r="F27">
            <v>6464.7264706559081</v>
          </cell>
          <cell r="G27">
            <v>6657.3260991485859</v>
          </cell>
          <cell r="H27">
            <v>6969.228074660934</v>
          </cell>
          <cell r="I27">
            <v>8747.2155264643425</v>
          </cell>
          <cell r="J27">
            <v>9002.817132258273</v>
          </cell>
          <cell r="K27">
            <v>9266.086786226022</v>
          </cell>
          <cell r="L27">
            <v>9827.8647882272016</v>
          </cell>
          <cell r="M27">
            <v>10115.885871874018</v>
          </cell>
          <cell r="N27">
            <v>10412.54758803024</v>
          </cell>
          <cell r="O27">
            <v>10718.109155671145</v>
          </cell>
          <cell r="P27">
            <v>12106.518133204099</v>
          </cell>
          <cell r="Q27">
            <v>12462.898817200223</v>
          </cell>
          <cell r="R27">
            <v>12829.970921716229</v>
          </cell>
          <cell r="S27">
            <v>13208.055189367715</v>
          </cell>
          <cell r="T27">
            <v>13597.481985048747</v>
          </cell>
          <cell r="U27">
            <v>13998.591584600208</v>
          </cell>
          <cell r="V27">
            <v>14411.734472138216</v>
          </cell>
          <cell r="W27">
            <v>0</v>
          </cell>
          <cell r="X27">
            <v>0</v>
          </cell>
          <cell r="Y27">
            <v>0</v>
          </cell>
        </row>
      </sheetData>
      <sheetData sheetId="15" refreshError="1"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</sheetData>
      <sheetData sheetId="16" refreshError="1">
        <row r="14">
          <cell r="B14">
            <v>0</v>
          </cell>
          <cell r="C14">
            <v>13.578432912510461</v>
          </cell>
          <cell r="D14">
            <v>14.073927393478574</v>
          </cell>
          <cell r="E14">
            <v>15.15494837913981</v>
          </cell>
          <cell r="F14">
            <v>12.959692223165868</v>
          </cell>
          <cell r="G14">
            <v>13.345792380518381</v>
          </cell>
          <cell r="H14">
            <v>13.971055278304577</v>
          </cell>
          <cell r="I14">
            <v>14.378984427064673</v>
          </cell>
          <cell r="J14">
            <v>14.799151450287573</v>
          </cell>
          <cell r="K14">
            <v>15.23192348420716</v>
          </cell>
          <cell r="L14">
            <v>16.155394172428277</v>
          </cell>
          <cell r="M14">
            <v>16.628853488012084</v>
          </cell>
          <cell r="N14">
            <v>17.116516583063408</v>
          </cell>
          <cell r="O14">
            <v>17.618809570966267</v>
          </cell>
          <cell r="P14">
            <v>19.901125698417697</v>
          </cell>
          <cell r="Q14">
            <v>20.486956959781189</v>
          </cell>
          <cell r="R14">
            <v>21.090363158985582</v>
          </cell>
          <cell r="S14">
            <v>21.711871544166108</v>
          </cell>
          <cell r="T14">
            <v>22.35202518090205</v>
          </cell>
          <cell r="U14">
            <v>23.011383426740068</v>
          </cell>
          <cell r="V14">
            <v>23.690522419953233</v>
          </cell>
          <cell r="W14">
            <v>0</v>
          </cell>
          <cell r="X14">
            <v>0</v>
          </cell>
          <cell r="Y14">
            <v>0</v>
          </cell>
        </row>
        <row r="21">
          <cell r="B21">
            <v>0</v>
          </cell>
          <cell r="C21">
            <v>10.183824684382847</v>
          </cell>
          <cell r="D21">
            <v>10.555445545108931</v>
          </cell>
          <cell r="E21">
            <v>11.366211284354856</v>
          </cell>
          <cell r="F21">
            <v>9.7197691673744018</v>
          </cell>
          <cell r="G21">
            <v>10.009344285388785</v>
          </cell>
          <cell r="H21">
            <v>10.478291458728433</v>
          </cell>
          <cell r="I21">
            <v>10.784238320298504</v>
          </cell>
          <cell r="J21">
            <v>11.099363587715679</v>
          </cell>
          <cell r="K21">
            <v>11.42394261315537</v>
          </cell>
          <cell r="L21">
            <v>12.116545629321209</v>
          </cell>
          <cell r="M21">
            <v>12.471640116009064</v>
          </cell>
          <cell r="N21">
            <v>12.837387437297558</v>
          </cell>
          <cell r="O21">
            <v>13.214107178224699</v>
          </cell>
          <cell r="P21">
            <v>14.925844273813272</v>
          </cell>
          <cell r="Q21">
            <v>15.365217719835892</v>
          </cell>
          <cell r="R21">
            <v>15.817772369239188</v>
          </cell>
          <cell r="S21">
            <v>16.283903658124579</v>
          </cell>
          <cell r="T21">
            <v>16.764018885676538</v>
          </cell>
          <cell r="U21">
            <v>17.258537570055054</v>
          </cell>
          <cell r="V21">
            <v>17.767891814964923</v>
          </cell>
          <cell r="W21">
            <v>0</v>
          </cell>
          <cell r="X21">
            <v>0</v>
          </cell>
          <cell r="Y2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ontr%-a (3b)"/>
      <sheetName val="Staff (6)"/>
      <sheetName val="Equip-a (7)"/>
      <sheetName val="Qty&amp;Hrs (2)"/>
      <sheetName val="4 Week Sched"/>
      <sheetName val="Daily Report"/>
      <sheetName val="WEEK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E2">
            <v>37620</v>
          </cell>
        </row>
        <row r="14">
          <cell r="A14" t="str">
            <v xml:space="preserve">PP </v>
          </cell>
          <cell r="B14" t="str">
            <v>(1) PERU PLAZA</v>
          </cell>
        </row>
        <row r="15">
          <cell r="A15" t="str">
            <v xml:space="preserve">C1 </v>
          </cell>
          <cell r="B15" t="str">
            <v>(2) NORTH CONCOURSE</v>
          </cell>
        </row>
        <row r="16">
          <cell r="A16" t="str">
            <v xml:space="preserve">ST </v>
          </cell>
          <cell r="B16" t="str">
            <v>(5) SOUTH TERMINAL</v>
          </cell>
        </row>
        <row r="17">
          <cell r="A17" t="str">
            <v xml:space="preserve">SE </v>
          </cell>
          <cell r="B17" t="str">
            <v>(6) NEW 10 KV S.E.</v>
          </cell>
        </row>
        <row r="18">
          <cell r="A18" t="str">
            <v xml:space="preserve">NT </v>
          </cell>
          <cell r="B18" t="str">
            <v>(4) NORTH TERMINAL</v>
          </cell>
        </row>
        <row r="19">
          <cell r="A19" t="str">
            <v xml:space="preserve">C2 </v>
          </cell>
          <cell r="B19" t="str">
            <v>(3) SOUTH CONCOURSE</v>
          </cell>
        </row>
        <row r="45">
          <cell r="A45">
            <v>0</v>
          </cell>
          <cell r="B45" t="str">
            <v>(0) GROUND LEVEL</v>
          </cell>
        </row>
        <row r="46">
          <cell r="A46">
            <v>1</v>
          </cell>
          <cell r="B46" t="str">
            <v>(1) 1ST LEVEL</v>
          </cell>
        </row>
        <row r="47">
          <cell r="A47">
            <v>2</v>
          </cell>
          <cell r="B47" t="str">
            <v>(2) 2ND LEVEL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ensitivity Summary Page"/>
      <sheetName val="Graphs"/>
      <sheetName val="Summary"/>
      <sheetName val="Summary Calcs"/>
      <sheetName val="Input"/>
      <sheetName val="Inputs-NonAeroRevs"/>
      <sheetName val=" Time &amp; Esc"/>
      <sheetName val="Fcst"/>
      <sheetName val="2&amp;3 AeroRevs"/>
      <sheetName val="4. Non_AeroRevs"/>
      <sheetName val="5. Govt Revs"/>
      <sheetName val="6. OpEx"/>
      <sheetName val="7 &amp; 8A. SandU"/>
      <sheetName val="8b-8e. Debt"/>
      <sheetName val="9&amp;11. WC&amp;Tax"/>
      <sheetName val="10. Assets"/>
      <sheetName val="CF Waterfall"/>
      <sheetName val="$ CF Waterfall"/>
      <sheetName val="CashF"/>
      <sheetName val="P&amp;L"/>
      <sheetName val="Bal"/>
      <sheetName val="$Fin's"/>
      <sheetName val="GAAP $Fin's"/>
      <sheetName val="$ Control Acs"/>
      <sheetName val="$ Fin's Checks"/>
      <sheetName val="Sponsors Return"/>
      <sheetName val="Combo Sheet"/>
      <sheetName val="Exhibit B Phase I"/>
      <sheetName val="Exhibit B Phase II"/>
      <sheetName val="Exhibit C"/>
      <sheetName val="Exhibit H-1"/>
      <sheetName val="Exhibit H-2"/>
      <sheetName val="Monthly Stat 2003"/>
      <sheetName val="Exhibit B - Annual check"/>
      <sheetName val="Monthly Stat 2004"/>
      <sheetName val="Monthly % 2003"/>
      <sheetName val="Monthly % 2004"/>
      <sheetName val="Exhibit C S(Workoff) U(CF)"/>
      <sheetName val="Exhibit C S(CF) U(CF)"/>
      <sheetName val="Module2"/>
      <sheetName val="Introduction"/>
      <sheetName val="Module1"/>
      <sheetName val="Module3"/>
      <sheetName val="Output Page"/>
      <sheetName val="Semi-output"/>
      <sheetName val="IRR sponsor"/>
      <sheetName val="Ind.TC"/>
      <sheetName val="A.F SOL"/>
      <sheetName val="A.F $"/>
      <sheetName val="EEFF"/>
      <sheetName val="Supuestos"/>
    </sheetNames>
    <sheetDataSet>
      <sheetData sheetId="0" refreshError="1"/>
      <sheetData sheetId="1" refreshError="1">
        <row r="8">
          <cell r="C8">
            <v>2</v>
          </cell>
        </row>
        <row r="137">
          <cell r="B137">
            <v>2</v>
          </cell>
        </row>
        <row r="140">
          <cell r="B140">
            <v>1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F2" t="str">
            <v>S/.</v>
          </cell>
        </row>
        <row r="9">
          <cell r="C9">
            <v>40</v>
          </cell>
        </row>
        <row r="10">
          <cell r="C10">
            <v>36951</v>
          </cell>
        </row>
        <row r="11">
          <cell r="C11">
            <v>51560</v>
          </cell>
        </row>
        <row r="12">
          <cell r="C12">
            <v>36935</v>
          </cell>
        </row>
        <row r="14">
          <cell r="C14">
            <v>38352</v>
          </cell>
        </row>
        <row r="15">
          <cell r="C15">
            <v>36951</v>
          </cell>
        </row>
        <row r="16">
          <cell r="C16">
            <v>58</v>
          </cell>
        </row>
        <row r="17">
          <cell r="C17">
            <v>36951</v>
          </cell>
        </row>
        <row r="18">
          <cell r="C18">
            <v>38717</v>
          </cell>
        </row>
        <row r="24">
          <cell r="C24">
            <v>37256</v>
          </cell>
          <cell r="D24">
            <v>37621</v>
          </cell>
          <cell r="E24">
            <v>37986</v>
          </cell>
          <cell r="F24">
            <v>38352</v>
          </cell>
          <cell r="G24">
            <v>38717</v>
          </cell>
          <cell r="H24">
            <v>39082</v>
          </cell>
          <cell r="I24">
            <v>39447</v>
          </cell>
          <cell r="J24">
            <v>39813</v>
          </cell>
          <cell r="K24">
            <v>40178</v>
          </cell>
          <cell r="L24">
            <v>40543</v>
          </cell>
          <cell r="M24">
            <v>40908</v>
          </cell>
          <cell r="N24">
            <v>41274</v>
          </cell>
          <cell r="O24">
            <v>41639</v>
          </cell>
          <cell r="P24">
            <v>42004</v>
          </cell>
          <cell r="Q24">
            <v>42369</v>
          </cell>
          <cell r="R24">
            <v>42735</v>
          </cell>
          <cell r="S24">
            <v>43100</v>
          </cell>
          <cell r="T24">
            <v>43465</v>
          </cell>
          <cell r="U24">
            <v>43830</v>
          </cell>
          <cell r="V24">
            <v>44196</v>
          </cell>
          <cell r="W24">
            <v>44561</v>
          </cell>
          <cell r="X24">
            <v>44926</v>
          </cell>
          <cell r="Y24">
            <v>45291</v>
          </cell>
          <cell r="Z24">
            <v>45657</v>
          </cell>
          <cell r="AA24">
            <v>46022</v>
          </cell>
          <cell r="AB24">
            <v>46387</v>
          </cell>
          <cell r="AC24">
            <v>46752</v>
          </cell>
          <cell r="AD24">
            <v>47118</v>
          </cell>
          <cell r="AE24">
            <v>47483</v>
          </cell>
          <cell r="AF24">
            <v>47848</v>
          </cell>
          <cell r="AG24">
            <v>48213</v>
          </cell>
          <cell r="AH24">
            <v>48579</v>
          </cell>
          <cell r="AI24">
            <v>48944</v>
          </cell>
          <cell r="AJ24">
            <v>49309</v>
          </cell>
          <cell r="AK24">
            <v>49674</v>
          </cell>
          <cell r="AL24">
            <v>50040</v>
          </cell>
          <cell r="AM24">
            <v>50405</v>
          </cell>
          <cell r="AN24">
            <v>50770</v>
          </cell>
          <cell r="AO24">
            <v>51135</v>
          </cell>
          <cell r="AP24">
            <v>51501</v>
          </cell>
          <cell r="AQ24">
            <v>51560</v>
          </cell>
        </row>
        <row r="25">
          <cell r="C25">
            <v>0.83333333333333337</v>
          </cell>
          <cell r="D25">
            <v>1.8333333333333335</v>
          </cell>
          <cell r="E25">
            <v>2.8333333333333335</v>
          </cell>
          <cell r="F25">
            <v>3.8333333333333335</v>
          </cell>
          <cell r="G25">
            <v>4.8333333333333339</v>
          </cell>
          <cell r="H25">
            <v>5.8333333333333339</v>
          </cell>
          <cell r="I25">
            <v>6.8333333333333339</v>
          </cell>
          <cell r="J25">
            <v>7.8333333333333339</v>
          </cell>
          <cell r="K25">
            <v>8.8333333333333339</v>
          </cell>
          <cell r="L25">
            <v>9.8333333333333339</v>
          </cell>
          <cell r="M25">
            <v>10.833333333333334</v>
          </cell>
          <cell r="N25">
            <v>11.833333333333334</v>
          </cell>
          <cell r="O25">
            <v>12.833333333333334</v>
          </cell>
          <cell r="P25">
            <v>13.833333333333334</v>
          </cell>
          <cell r="Q25">
            <v>14.833333333333334</v>
          </cell>
          <cell r="R25">
            <v>15.833333333333334</v>
          </cell>
          <cell r="S25">
            <v>16.833333333333336</v>
          </cell>
          <cell r="T25">
            <v>17.833333333333336</v>
          </cell>
          <cell r="U25">
            <v>18.833333333333336</v>
          </cell>
          <cell r="V25">
            <v>19.833333333333336</v>
          </cell>
          <cell r="W25">
            <v>20.833333333333336</v>
          </cell>
          <cell r="X25">
            <v>21.833333333333336</v>
          </cell>
          <cell r="Y25">
            <v>22.833333333333336</v>
          </cell>
          <cell r="Z25">
            <v>23.833333333333336</v>
          </cell>
          <cell r="AA25">
            <v>24.833333333333336</v>
          </cell>
          <cell r="AB25">
            <v>25.833333333333336</v>
          </cell>
          <cell r="AC25">
            <v>26.833333333333336</v>
          </cell>
          <cell r="AD25">
            <v>27.833333333333336</v>
          </cell>
          <cell r="AE25">
            <v>28.833333333333336</v>
          </cell>
          <cell r="AF25">
            <v>29.833333333333336</v>
          </cell>
          <cell r="AG25">
            <v>30.833333333333336</v>
          </cell>
          <cell r="AH25">
            <v>31.833333333333336</v>
          </cell>
          <cell r="AI25">
            <v>32.833333333333336</v>
          </cell>
          <cell r="AJ25">
            <v>33.833333333333336</v>
          </cell>
          <cell r="AK25">
            <v>34.833333333333336</v>
          </cell>
          <cell r="AL25">
            <v>35.833333333333336</v>
          </cell>
          <cell r="AM25">
            <v>36.833333333333336</v>
          </cell>
          <cell r="AN25">
            <v>37.833333333333336</v>
          </cell>
          <cell r="AO25">
            <v>38.833333333333336</v>
          </cell>
          <cell r="AP25">
            <v>39.833333333333336</v>
          </cell>
          <cell r="AQ25">
            <v>40</v>
          </cell>
        </row>
        <row r="27">
          <cell r="C27">
            <v>0.83333333333333337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</v>
          </cell>
          <cell r="AP28">
            <v>1</v>
          </cell>
          <cell r="AQ28">
            <v>0.16666666666666666</v>
          </cell>
        </row>
        <row r="31">
          <cell r="C31">
            <v>2.351E-2</v>
          </cell>
          <cell r="D31">
            <v>2.2869999999999998E-2</v>
          </cell>
          <cell r="E31">
            <v>2.4329999999999997E-2</v>
          </cell>
          <cell r="F31">
            <v>2.1560000000000003E-2</v>
          </cell>
          <cell r="G31">
            <v>2.1070000000000002E-2</v>
          </cell>
          <cell r="H31">
            <v>2.147E-2</v>
          </cell>
          <cell r="I31">
            <v>1.9539999999999998E-2</v>
          </cell>
          <cell r="J31">
            <v>1.7809999999999999E-2</v>
          </cell>
          <cell r="K31">
            <v>1.796E-2</v>
          </cell>
          <cell r="L31">
            <v>1.8239999999999999E-2</v>
          </cell>
          <cell r="M31">
            <v>1.932E-2</v>
          </cell>
          <cell r="N31">
            <v>2.068E-2</v>
          </cell>
          <cell r="O31">
            <v>2.2000000000000002E-2</v>
          </cell>
          <cell r="P31">
            <v>2.2949999999999998E-2</v>
          </cell>
          <cell r="Q31">
            <v>2.3719999999999998E-2</v>
          </cell>
          <cell r="R31">
            <v>2.3980000000000001E-2</v>
          </cell>
          <cell r="S31">
            <v>2.419E-2</v>
          </cell>
          <cell r="T31">
            <v>2.436E-2</v>
          </cell>
          <cell r="U31">
            <v>2.443E-2</v>
          </cell>
          <cell r="V31">
            <v>2.4620000000000003E-2</v>
          </cell>
          <cell r="W31">
            <v>2.4700000000000003E-2</v>
          </cell>
          <cell r="X31">
            <v>2.4750000000000001E-2</v>
          </cell>
          <cell r="Y31">
            <v>2.4780000000000003E-2</v>
          </cell>
          <cell r="Z31">
            <v>2.495E-2</v>
          </cell>
          <cell r="AA31">
            <v>2.495E-2</v>
          </cell>
          <cell r="AB31">
            <v>2.495E-2</v>
          </cell>
          <cell r="AC31">
            <v>2.495E-2</v>
          </cell>
          <cell r="AD31">
            <v>2.495E-2</v>
          </cell>
          <cell r="AE31">
            <v>2.495E-2</v>
          </cell>
          <cell r="AF31">
            <v>2.495E-2</v>
          </cell>
          <cell r="AG31">
            <v>2.495E-2</v>
          </cell>
          <cell r="AH31">
            <v>2.495E-2</v>
          </cell>
          <cell r="AI31">
            <v>2.495E-2</v>
          </cell>
          <cell r="AJ31">
            <v>2.495E-2</v>
          </cell>
          <cell r="AK31">
            <v>2.495E-2</v>
          </cell>
          <cell r="AL31">
            <v>2.495E-2</v>
          </cell>
          <cell r="AM31">
            <v>2.495E-2</v>
          </cell>
          <cell r="AN31">
            <v>2.495E-2</v>
          </cell>
          <cell r="AO31">
            <v>2.495E-2</v>
          </cell>
          <cell r="AP31">
            <v>2.495E-2</v>
          </cell>
          <cell r="AQ31">
            <v>2.495E-2</v>
          </cell>
        </row>
        <row r="33">
          <cell r="C33">
            <v>1.4E-2</v>
          </cell>
          <cell r="D33">
            <v>0.02</v>
          </cell>
          <cell r="E33">
            <v>2.5000000000000001E-2</v>
          </cell>
          <cell r="F33">
            <v>0.03</v>
          </cell>
          <cell r="G33">
            <v>0.03</v>
          </cell>
          <cell r="H33">
            <v>0.03</v>
          </cell>
          <cell r="I33">
            <v>0.03</v>
          </cell>
          <cell r="J33">
            <v>0.03</v>
          </cell>
          <cell r="K33">
            <v>0.03</v>
          </cell>
          <cell r="L33">
            <v>0.03</v>
          </cell>
          <cell r="M33">
            <v>0.03</v>
          </cell>
          <cell r="N33">
            <v>0.03</v>
          </cell>
          <cell r="O33">
            <v>0.03</v>
          </cell>
          <cell r="P33">
            <v>0.03</v>
          </cell>
          <cell r="Q33">
            <v>0.03</v>
          </cell>
          <cell r="R33">
            <v>0.03</v>
          </cell>
          <cell r="S33">
            <v>0.03</v>
          </cell>
          <cell r="T33">
            <v>0.03</v>
          </cell>
          <cell r="U33">
            <v>0.03</v>
          </cell>
          <cell r="V33">
            <v>0.03</v>
          </cell>
          <cell r="W33">
            <v>0.03</v>
          </cell>
          <cell r="X33">
            <v>0.03</v>
          </cell>
          <cell r="Y33">
            <v>0.03</v>
          </cell>
          <cell r="Z33">
            <v>0.03</v>
          </cell>
          <cell r="AA33">
            <v>0.03</v>
          </cell>
          <cell r="AB33">
            <v>0.03</v>
          </cell>
          <cell r="AC33">
            <v>0.03</v>
          </cell>
          <cell r="AD33">
            <v>0.03</v>
          </cell>
          <cell r="AE33">
            <v>0.03</v>
          </cell>
          <cell r="AF33">
            <v>0.03</v>
          </cell>
          <cell r="AG33">
            <v>0.03</v>
          </cell>
          <cell r="AH33">
            <v>0.03</v>
          </cell>
          <cell r="AI33">
            <v>0.03</v>
          </cell>
          <cell r="AJ33">
            <v>0.03</v>
          </cell>
          <cell r="AK33">
            <v>0.03</v>
          </cell>
          <cell r="AL33">
            <v>0.03</v>
          </cell>
          <cell r="AM33">
            <v>0.03</v>
          </cell>
          <cell r="AN33">
            <v>0.03</v>
          </cell>
          <cell r="AO33">
            <v>0.03</v>
          </cell>
          <cell r="AP33">
            <v>0.03</v>
          </cell>
          <cell r="AQ33">
            <v>0.03</v>
          </cell>
        </row>
        <row r="34">
          <cell r="C34">
            <v>0</v>
          </cell>
          <cell r="D34">
            <v>-5.0000000000000001E-3</v>
          </cell>
          <cell r="E34">
            <v>6.5408608553885195E-4</v>
          </cell>
          <cell r="F34">
            <v>8.2618739966326959E-3</v>
          </cell>
          <cell r="G34">
            <v>8.745727521130009E-3</v>
          </cell>
          <cell r="H34">
            <v>8.3507102509128295E-3</v>
          </cell>
          <cell r="I34">
            <v>1.0259528807109231E-2</v>
          </cell>
          <cell r="J34">
            <v>1.1976695060964104E-2</v>
          </cell>
          <cell r="K34">
            <v>1.1827576722071687E-2</v>
          </cell>
          <cell r="L34">
            <v>1.1549340037712019E-2</v>
          </cell>
          <cell r="M34">
            <v>1.0477573284150221E-2</v>
          </cell>
          <cell r="N34">
            <v>9.1311674569893864E-3</v>
          </cell>
          <cell r="O34">
            <v>7.8277886497064575E-3</v>
          </cell>
          <cell r="P34">
            <v>6.8918324453786095E-3</v>
          </cell>
          <cell r="Q34">
            <v>6.1344898995818742E-3</v>
          </cell>
          <cell r="R34">
            <v>5.8790210746304528E-3</v>
          </cell>
          <cell r="S34">
            <v>5.6727755592225204E-3</v>
          </cell>
          <cell r="T34">
            <v>5.5058768401734515E-3</v>
          </cell>
          <cell r="U34">
            <v>5.4371699384048178E-3</v>
          </cell>
          <cell r="V34">
            <v>5.2507270988269017E-3</v>
          </cell>
          <cell r="W34">
            <v>5.17224553527873E-3</v>
          </cell>
          <cell r="X34">
            <v>5.1232007806782942E-3</v>
          </cell>
          <cell r="Y34">
            <v>5.0937762251410668E-3</v>
          </cell>
          <cell r="Z34">
            <v>4.9270696131518132E-3</v>
          </cell>
          <cell r="AA34">
            <v>4.9270696131518132E-3</v>
          </cell>
          <cell r="AB34">
            <v>4.9270696131518132E-3</v>
          </cell>
          <cell r="AC34">
            <v>4.9270696131518132E-3</v>
          </cell>
          <cell r="AD34">
            <v>4.9270696131518132E-3</v>
          </cell>
          <cell r="AE34">
            <v>4.9270696131518132E-3</v>
          </cell>
          <cell r="AF34">
            <v>4.9270696131518132E-3</v>
          </cell>
          <cell r="AG34">
            <v>4.9270696131518132E-3</v>
          </cell>
          <cell r="AH34">
            <v>4.9270696131518132E-3</v>
          </cell>
          <cell r="AI34">
            <v>4.9270696131518132E-3</v>
          </cell>
          <cell r="AJ34">
            <v>4.9270696131518132E-3</v>
          </cell>
          <cell r="AK34">
            <v>4.9270696131518132E-3</v>
          </cell>
          <cell r="AL34">
            <v>4.9270696131518132E-3</v>
          </cell>
          <cell r="AM34">
            <v>4.9270696131518132E-3</v>
          </cell>
          <cell r="AN34">
            <v>4.9270696131518132E-3</v>
          </cell>
          <cell r="AO34">
            <v>4.9270696131518132E-3</v>
          </cell>
          <cell r="AP34">
            <v>4.9270696131518132E-3</v>
          </cell>
          <cell r="AQ34">
            <v>4.9270696131518132E-3</v>
          </cell>
        </row>
        <row r="35">
          <cell r="C35">
            <v>2.5000000000000001E-2</v>
          </cell>
          <cell r="D35">
            <v>2.5000000000000001E-2</v>
          </cell>
          <cell r="E35">
            <v>2.5000000000000001E-2</v>
          </cell>
          <cell r="F35">
            <v>2.5000000000000001E-2</v>
          </cell>
          <cell r="G35">
            <v>2.5000000000000001E-2</v>
          </cell>
          <cell r="H35">
            <v>2.5000000000000001E-2</v>
          </cell>
          <cell r="I35">
            <v>2.5000000000000001E-2</v>
          </cell>
          <cell r="J35">
            <v>2.5000000000000001E-2</v>
          </cell>
          <cell r="K35">
            <v>2.5000000000000001E-2</v>
          </cell>
          <cell r="L35">
            <v>2.5000000000000001E-2</v>
          </cell>
          <cell r="M35">
            <v>2.2499999999999999E-2</v>
          </cell>
          <cell r="N35">
            <v>2.2499999999999999E-2</v>
          </cell>
          <cell r="O35">
            <v>2.2499999999999999E-2</v>
          </cell>
          <cell r="P35">
            <v>2.2499999999999999E-2</v>
          </cell>
          <cell r="Q35">
            <v>2.2499999999999999E-2</v>
          </cell>
          <cell r="R35">
            <v>2.2499999999999999E-2</v>
          </cell>
          <cell r="S35">
            <v>2.2499999999999999E-2</v>
          </cell>
          <cell r="T35">
            <v>2.2499999999999999E-2</v>
          </cell>
          <cell r="U35">
            <v>2.2499999999999999E-2</v>
          </cell>
          <cell r="V35">
            <v>2.2499999999999999E-2</v>
          </cell>
          <cell r="W35">
            <v>1.7500000000000002E-2</v>
          </cell>
          <cell r="X35">
            <v>1.7500000000000002E-2</v>
          </cell>
          <cell r="Y35">
            <v>1.7500000000000002E-2</v>
          </cell>
          <cell r="Z35">
            <v>1.7500000000000002E-2</v>
          </cell>
          <cell r="AA35">
            <v>1.7500000000000002E-2</v>
          </cell>
          <cell r="AB35">
            <v>1.7500000000000002E-2</v>
          </cell>
          <cell r="AC35">
            <v>1.7500000000000002E-2</v>
          </cell>
          <cell r="AD35">
            <v>1.7500000000000002E-2</v>
          </cell>
          <cell r="AE35">
            <v>1.7500000000000002E-2</v>
          </cell>
          <cell r="AF35">
            <v>1.7500000000000002E-2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0.01</v>
          </cell>
          <cell r="H36">
            <v>0.01</v>
          </cell>
          <cell r="I36">
            <v>0.01</v>
          </cell>
          <cell r="J36">
            <v>0.01</v>
          </cell>
          <cell r="K36">
            <v>0.01</v>
          </cell>
          <cell r="L36">
            <v>0.01</v>
          </cell>
          <cell r="M36">
            <v>0.01</v>
          </cell>
          <cell r="N36">
            <v>0.01</v>
          </cell>
          <cell r="O36">
            <v>0.01</v>
          </cell>
          <cell r="P36">
            <v>0.01</v>
          </cell>
          <cell r="Q36">
            <v>0.01</v>
          </cell>
          <cell r="R36">
            <v>0.01</v>
          </cell>
          <cell r="S36">
            <v>0.01</v>
          </cell>
          <cell r="T36">
            <v>0.01</v>
          </cell>
          <cell r="U36">
            <v>0.01</v>
          </cell>
          <cell r="V36">
            <v>0.01</v>
          </cell>
          <cell r="W36">
            <v>0.01</v>
          </cell>
          <cell r="X36">
            <v>0.01</v>
          </cell>
          <cell r="Y36">
            <v>0.01</v>
          </cell>
          <cell r="Z36">
            <v>0.01</v>
          </cell>
          <cell r="AA36">
            <v>0.01</v>
          </cell>
          <cell r="AB36">
            <v>0.01</v>
          </cell>
          <cell r="AC36">
            <v>0.01</v>
          </cell>
          <cell r="AD36">
            <v>0.01</v>
          </cell>
          <cell r="AE36">
            <v>0.01</v>
          </cell>
          <cell r="AF36">
            <v>0.01</v>
          </cell>
          <cell r="AG36">
            <v>0.01</v>
          </cell>
          <cell r="AH36">
            <v>0.01</v>
          </cell>
          <cell r="AI36">
            <v>0.01</v>
          </cell>
          <cell r="AJ36">
            <v>0.01</v>
          </cell>
          <cell r="AK36">
            <v>0.01</v>
          </cell>
          <cell r="AL36">
            <v>0.01</v>
          </cell>
          <cell r="AM36">
            <v>0.01</v>
          </cell>
          <cell r="AN36">
            <v>0.01</v>
          </cell>
          <cell r="AO36">
            <v>0.01</v>
          </cell>
          <cell r="AP36">
            <v>0.01</v>
          </cell>
          <cell r="AQ36">
            <v>0.01</v>
          </cell>
        </row>
        <row r="47">
          <cell r="C47">
            <v>2002</v>
          </cell>
          <cell r="D47">
            <v>2005</v>
          </cell>
          <cell r="E47">
            <v>2008</v>
          </cell>
        </row>
        <row r="48">
          <cell r="C48">
            <v>2001</v>
          </cell>
          <cell r="D48">
            <v>2002</v>
          </cell>
          <cell r="E48">
            <v>2003</v>
          </cell>
          <cell r="F48">
            <v>2004</v>
          </cell>
          <cell r="G48">
            <v>2005</v>
          </cell>
          <cell r="H48">
            <v>2006</v>
          </cell>
          <cell r="I48">
            <v>2007</v>
          </cell>
          <cell r="J48">
            <v>2008</v>
          </cell>
          <cell r="K48">
            <v>2009</v>
          </cell>
        </row>
        <row r="49">
          <cell r="C49">
            <v>3</v>
          </cell>
        </row>
        <row r="53">
          <cell r="C53">
            <v>21.186440677966104</v>
          </cell>
          <cell r="D53">
            <v>23.728813559322035</v>
          </cell>
          <cell r="E53">
            <v>25.423728813559322</v>
          </cell>
        </row>
        <row r="59">
          <cell r="C59">
            <v>3.3898305084745766</v>
          </cell>
          <cell r="D59">
            <v>4.2372881355932206</v>
          </cell>
          <cell r="E59">
            <v>5.0847457627118651</v>
          </cell>
        </row>
        <row r="62">
          <cell r="C62">
            <v>10.16949152542373</v>
          </cell>
        </row>
        <row r="63">
          <cell r="C63">
            <v>9</v>
          </cell>
        </row>
        <row r="66">
          <cell r="C66">
            <v>4.24</v>
          </cell>
          <cell r="D66">
            <v>4.5</v>
          </cell>
          <cell r="E66">
            <v>4.7</v>
          </cell>
        </row>
        <row r="67">
          <cell r="C67">
            <v>5.15</v>
          </cell>
          <cell r="D67">
            <v>5.46</v>
          </cell>
          <cell r="E67">
            <v>5.72</v>
          </cell>
        </row>
        <row r="68">
          <cell r="C68">
            <v>5.42</v>
          </cell>
          <cell r="D68">
            <v>5.74</v>
          </cell>
          <cell r="E68">
            <v>6.01</v>
          </cell>
        </row>
        <row r="69">
          <cell r="C69">
            <v>5.55</v>
          </cell>
          <cell r="D69">
            <v>5.89</v>
          </cell>
          <cell r="E69">
            <v>6.16</v>
          </cell>
        </row>
        <row r="71">
          <cell r="C71">
            <v>1.06</v>
          </cell>
        </row>
        <row r="72">
          <cell r="C72">
            <v>1.29</v>
          </cell>
        </row>
        <row r="73">
          <cell r="C73">
            <v>1.35</v>
          </cell>
        </row>
        <row r="74">
          <cell r="C74">
            <v>1.39</v>
          </cell>
        </row>
        <row r="75">
          <cell r="C75">
            <v>37620</v>
          </cell>
        </row>
        <row r="77">
          <cell r="C77">
            <v>1.06</v>
          </cell>
          <cell r="D77">
            <v>1.27</v>
          </cell>
          <cell r="E77">
            <v>1.57</v>
          </cell>
        </row>
        <row r="78">
          <cell r="C78">
            <v>1.29</v>
          </cell>
          <cell r="D78">
            <v>1.54</v>
          </cell>
          <cell r="E78">
            <v>1.91</v>
          </cell>
        </row>
        <row r="79">
          <cell r="C79">
            <v>1.35</v>
          </cell>
          <cell r="D79">
            <v>1.63</v>
          </cell>
          <cell r="E79">
            <v>2.0099999999999998</v>
          </cell>
        </row>
        <row r="80">
          <cell r="C80">
            <v>1.39</v>
          </cell>
          <cell r="D80">
            <v>1.67</v>
          </cell>
          <cell r="E80">
            <v>2.06</v>
          </cell>
        </row>
        <row r="82">
          <cell r="C82">
            <v>30</v>
          </cell>
          <cell r="D82">
            <v>30</v>
          </cell>
          <cell r="E82">
            <v>30</v>
          </cell>
          <cell r="F82">
            <v>32</v>
          </cell>
          <cell r="G82">
            <v>32</v>
          </cell>
          <cell r="H82">
            <v>32</v>
          </cell>
          <cell r="I82">
            <v>34</v>
          </cell>
          <cell r="J82">
            <v>34</v>
          </cell>
          <cell r="K82">
            <v>34</v>
          </cell>
        </row>
        <row r="83">
          <cell r="C83">
            <v>9</v>
          </cell>
          <cell r="D83">
            <v>9</v>
          </cell>
          <cell r="E83">
            <v>9</v>
          </cell>
          <cell r="F83">
            <v>11.2</v>
          </cell>
          <cell r="G83">
            <v>11.2</v>
          </cell>
          <cell r="H83">
            <v>11.2</v>
          </cell>
          <cell r="I83">
            <v>13.6</v>
          </cell>
          <cell r="J83">
            <v>13.6</v>
          </cell>
          <cell r="K83">
            <v>13.6</v>
          </cell>
        </row>
        <row r="89">
          <cell r="C89">
            <v>7.6999999999999999E-2</v>
          </cell>
        </row>
        <row r="92">
          <cell r="C92">
            <v>80</v>
          </cell>
        </row>
        <row r="95">
          <cell r="C95">
            <v>2001</v>
          </cell>
          <cell r="D95">
            <v>2002</v>
          </cell>
          <cell r="E95">
            <v>2003</v>
          </cell>
        </row>
        <row r="102">
          <cell r="C102">
            <v>1</v>
          </cell>
          <cell r="D102">
            <v>1.8333333333333299</v>
          </cell>
        </row>
        <row r="103">
          <cell r="D103">
            <v>6.6100000000000006E-2</v>
          </cell>
        </row>
        <row r="104">
          <cell r="C104">
            <v>2004</v>
          </cell>
        </row>
        <row r="106">
          <cell r="C106">
            <v>6.6100000000000006E-2</v>
          </cell>
        </row>
        <row r="201">
          <cell r="C201">
            <v>5.2990675460541273E-2</v>
          </cell>
          <cell r="D201">
            <v>3.4500000000000003E-2</v>
          </cell>
          <cell r="E201">
            <v>2.5718257645968492E-2</v>
          </cell>
          <cell r="F201">
            <v>2.5718257645968492E-2</v>
          </cell>
          <cell r="G201">
            <v>2.5718257645968492E-2</v>
          </cell>
          <cell r="H201">
            <v>2.5718257645968492E-2</v>
          </cell>
          <cell r="I201">
            <v>2.5718257645968492E-2</v>
          </cell>
          <cell r="J201">
            <v>2.5718257645968492E-2</v>
          </cell>
          <cell r="K201">
            <v>2.5718257645968492E-2</v>
          </cell>
          <cell r="L201">
            <v>2.5718257645968492E-2</v>
          </cell>
          <cell r="M201">
            <v>2.5718257645968492E-2</v>
          </cell>
          <cell r="N201">
            <v>2.5718257645968492E-2</v>
          </cell>
          <cell r="O201">
            <v>2.5718257645968492E-2</v>
          </cell>
          <cell r="P201">
            <v>2.5718257645968492E-2</v>
          </cell>
          <cell r="Q201">
            <v>2.5718257645968492E-2</v>
          </cell>
          <cell r="R201">
            <v>2.5718257645968492E-2</v>
          </cell>
          <cell r="S201">
            <v>2.5718257645968492E-2</v>
          </cell>
          <cell r="T201">
            <v>2.5718257645968492E-2</v>
          </cell>
          <cell r="U201">
            <v>2.5718257645968492E-2</v>
          </cell>
          <cell r="V201">
            <v>2.5718257645968492E-2</v>
          </cell>
          <cell r="W201">
            <v>2.5718257645968492E-2</v>
          </cell>
          <cell r="X201">
            <v>2.5718257645968492E-2</v>
          </cell>
          <cell r="Y201">
            <v>2.5718257645968492E-2</v>
          </cell>
          <cell r="Z201">
            <v>2.5718257645968492E-2</v>
          </cell>
          <cell r="AA201">
            <v>2.5718257645968492E-2</v>
          </cell>
          <cell r="AB201">
            <v>2.5718257645968492E-2</v>
          </cell>
          <cell r="AC201">
            <v>2.5718257645968492E-2</v>
          </cell>
          <cell r="AD201">
            <v>2.5718257645968492E-2</v>
          </cell>
          <cell r="AE201">
            <v>2.5718257645968492E-2</v>
          </cell>
          <cell r="AF201">
            <v>2.5718257645968492E-2</v>
          </cell>
          <cell r="AG201">
            <v>2.5718257645968492E-2</v>
          </cell>
          <cell r="AH201">
            <v>2.5718257645968492E-2</v>
          </cell>
          <cell r="AI201">
            <v>2.5718257645968492E-2</v>
          </cell>
          <cell r="AJ201">
            <v>2.5718257645968492E-2</v>
          </cell>
          <cell r="AK201">
            <v>2.5718257645968492E-2</v>
          </cell>
          <cell r="AL201">
            <v>2.5718257645968492E-2</v>
          </cell>
          <cell r="AM201">
            <v>2.5718257645968492E-2</v>
          </cell>
          <cell r="AN201">
            <v>2.5718257645968492E-2</v>
          </cell>
          <cell r="AO201">
            <v>2.5718257645968492E-2</v>
          </cell>
          <cell r="AP201">
            <v>2.5718257645968492E-2</v>
          </cell>
          <cell r="AQ201">
            <v>2.5718257645968492E-2</v>
          </cell>
        </row>
        <row r="202">
          <cell r="C202">
            <v>5.2535819877188986E-2</v>
          </cell>
          <cell r="D202">
            <v>0.1071</v>
          </cell>
          <cell r="E202">
            <v>0.10936051899907322</v>
          </cell>
          <cell r="F202">
            <v>0.10936051899907322</v>
          </cell>
          <cell r="G202">
            <v>0.10936051899907322</v>
          </cell>
          <cell r="H202">
            <v>0.10936051899907322</v>
          </cell>
          <cell r="I202">
            <v>0.10936051899907322</v>
          </cell>
          <cell r="J202">
            <v>0.10936051899907322</v>
          </cell>
          <cell r="K202">
            <v>0.10936051899907322</v>
          </cell>
          <cell r="L202">
            <v>0.10936051899907322</v>
          </cell>
          <cell r="M202">
            <v>0.10936051899907322</v>
          </cell>
          <cell r="N202">
            <v>0.10936051899907322</v>
          </cell>
          <cell r="O202">
            <v>0.10936051899907322</v>
          </cell>
          <cell r="P202">
            <v>0.10936051899907322</v>
          </cell>
          <cell r="Q202">
            <v>0.10936051899907322</v>
          </cell>
          <cell r="R202">
            <v>0.10936051899907322</v>
          </cell>
          <cell r="S202">
            <v>0.10936051899907322</v>
          </cell>
          <cell r="T202">
            <v>0.10936051899907322</v>
          </cell>
          <cell r="U202">
            <v>0.10936051899907322</v>
          </cell>
          <cell r="V202">
            <v>0.10936051899907322</v>
          </cell>
          <cell r="W202">
            <v>0.10936051899907322</v>
          </cell>
          <cell r="X202">
            <v>0.10936051899907322</v>
          </cell>
          <cell r="Y202">
            <v>0.10936051899907322</v>
          </cell>
          <cell r="Z202">
            <v>0.10936051899907322</v>
          </cell>
          <cell r="AA202">
            <v>0.10936051899907322</v>
          </cell>
          <cell r="AB202">
            <v>0.10936051899907322</v>
          </cell>
          <cell r="AC202">
            <v>0.10936051899907322</v>
          </cell>
          <cell r="AD202">
            <v>0.10936051899907322</v>
          </cell>
          <cell r="AE202">
            <v>0.10936051899907322</v>
          </cell>
          <cell r="AF202">
            <v>0.10936051899907322</v>
          </cell>
          <cell r="AG202">
            <v>0.10936051899907322</v>
          </cell>
          <cell r="AH202">
            <v>0.10936051899907322</v>
          </cell>
          <cell r="AI202">
            <v>0.10936051899907322</v>
          </cell>
          <cell r="AJ202">
            <v>0.10936051899907322</v>
          </cell>
          <cell r="AK202">
            <v>0.10936051899907322</v>
          </cell>
          <cell r="AL202">
            <v>0.10936051899907322</v>
          </cell>
          <cell r="AM202">
            <v>0.10936051899907322</v>
          </cell>
          <cell r="AN202">
            <v>0.10936051899907322</v>
          </cell>
          <cell r="AO202">
            <v>0.10936051899907322</v>
          </cell>
          <cell r="AP202">
            <v>0.10936051899907322</v>
          </cell>
          <cell r="AQ202">
            <v>0.10936051899907322</v>
          </cell>
        </row>
        <row r="203">
          <cell r="C203">
            <v>0.44973845803957246</v>
          </cell>
          <cell r="D203">
            <v>0.38200000000000001</v>
          </cell>
          <cell r="E203">
            <v>0.32522397281433418</v>
          </cell>
          <cell r="F203">
            <v>0.32522397281433418</v>
          </cell>
          <cell r="G203">
            <v>0.32522397281433418</v>
          </cell>
          <cell r="H203">
            <v>0.32522397281433418</v>
          </cell>
          <cell r="I203">
            <v>0.32522397281433418</v>
          </cell>
          <cell r="J203">
            <v>0.32522397281433418</v>
          </cell>
          <cell r="K203">
            <v>0.32522397281433418</v>
          </cell>
          <cell r="L203">
            <v>0.32522397281433418</v>
          </cell>
          <cell r="M203">
            <v>0.32522397281433418</v>
          </cell>
          <cell r="N203">
            <v>0.32522397281433418</v>
          </cell>
          <cell r="O203">
            <v>0.32522397281433418</v>
          </cell>
          <cell r="P203">
            <v>0.32522397281433418</v>
          </cell>
          <cell r="Q203">
            <v>0.32522397281433418</v>
          </cell>
          <cell r="R203">
            <v>0.32522397281433418</v>
          </cell>
          <cell r="S203">
            <v>0.32522397281433418</v>
          </cell>
          <cell r="T203">
            <v>0.32522397281433418</v>
          </cell>
          <cell r="U203">
            <v>0.32522397281433418</v>
          </cell>
          <cell r="V203">
            <v>0.32522397281433418</v>
          </cell>
          <cell r="W203">
            <v>0.32522397281433418</v>
          </cell>
          <cell r="X203">
            <v>0.32522397281433418</v>
          </cell>
          <cell r="Y203">
            <v>0.32522397281433418</v>
          </cell>
          <cell r="Z203">
            <v>0.32522397281433418</v>
          </cell>
          <cell r="AA203">
            <v>0.32522397281433418</v>
          </cell>
          <cell r="AB203">
            <v>0.32522397281433418</v>
          </cell>
          <cell r="AC203">
            <v>0.32522397281433418</v>
          </cell>
          <cell r="AD203">
            <v>0.32522397281433418</v>
          </cell>
          <cell r="AE203">
            <v>0.32522397281433418</v>
          </cell>
          <cell r="AF203">
            <v>0.32522397281433418</v>
          </cell>
          <cell r="AG203">
            <v>0.32522397281433418</v>
          </cell>
          <cell r="AH203">
            <v>0.32522397281433418</v>
          </cell>
          <cell r="AI203">
            <v>0.32522397281433418</v>
          </cell>
          <cell r="AJ203">
            <v>0.32522397281433418</v>
          </cell>
          <cell r="AK203">
            <v>0.32522397281433418</v>
          </cell>
          <cell r="AL203">
            <v>0.32522397281433418</v>
          </cell>
          <cell r="AM203">
            <v>0.32522397281433418</v>
          </cell>
          <cell r="AN203">
            <v>0.32522397281433418</v>
          </cell>
          <cell r="AO203">
            <v>0.32522397281433418</v>
          </cell>
          <cell r="AP203">
            <v>0.32522397281433418</v>
          </cell>
          <cell r="AQ203">
            <v>0.32522397281433418</v>
          </cell>
        </row>
        <row r="204">
          <cell r="C204">
            <v>0.44473504662269731</v>
          </cell>
          <cell r="D204">
            <v>0.44950000000000001</v>
          </cell>
          <cell r="E204">
            <v>0.50092678405931423</v>
          </cell>
          <cell r="F204">
            <v>0.50092678405931423</v>
          </cell>
          <cell r="G204">
            <v>0.50092678405931423</v>
          </cell>
          <cell r="H204">
            <v>0.50092678405931423</v>
          </cell>
          <cell r="I204">
            <v>0.50092678405931423</v>
          </cell>
          <cell r="J204">
            <v>0.50092678405931423</v>
          </cell>
          <cell r="K204">
            <v>0.50092678405931423</v>
          </cell>
          <cell r="L204">
            <v>0.50092678405931423</v>
          </cell>
          <cell r="M204">
            <v>0.50092678405931423</v>
          </cell>
          <cell r="N204">
            <v>0.50092678405931423</v>
          </cell>
          <cell r="O204">
            <v>0.50092678405931423</v>
          </cell>
          <cell r="P204">
            <v>0.50092678405931423</v>
          </cell>
          <cell r="Q204">
            <v>0.50092678405931423</v>
          </cell>
          <cell r="R204">
            <v>0.50092678405931423</v>
          </cell>
          <cell r="S204">
            <v>0.50092678405931423</v>
          </cell>
          <cell r="T204">
            <v>0.50092678405931423</v>
          </cell>
          <cell r="U204">
            <v>0.50092678405931423</v>
          </cell>
          <cell r="V204">
            <v>0.50092678405931423</v>
          </cell>
          <cell r="W204">
            <v>0.50092678405931423</v>
          </cell>
          <cell r="X204">
            <v>0.50092678405931423</v>
          </cell>
          <cell r="Y204">
            <v>0.50092678405931423</v>
          </cell>
          <cell r="Z204">
            <v>0.50092678405931423</v>
          </cell>
          <cell r="AA204">
            <v>0.50092678405931423</v>
          </cell>
          <cell r="AB204">
            <v>0.50092678405931423</v>
          </cell>
          <cell r="AC204">
            <v>0.50092678405931423</v>
          </cell>
          <cell r="AD204">
            <v>0.50092678405931423</v>
          </cell>
          <cell r="AE204">
            <v>0.50092678405931423</v>
          </cell>
          <cell r="AF204">
            <v>0.50092678405931423</v>
          </cell>
          <cell r="AG204">
            <v>0.50092678405931423</v>
          </cell>
          <cell r="AH204">
            <v>0.50092678405931423</v>
          </cell>
          <cell r="AI204">
            <v>0.50092678405931423</v>
          </cell>
          <cell r="AJ204">
            <v>0.50092678405931423</v>
          </cell>
          <cell r="AK204">
            <v>0.50092678405931423</v>
          </cell>
          <cell r="AL204">
            <v>0.50092678405931423</v>
          </cell>
          <cell r="AM204">
            <v>0.50092678405931423</v>
          </cell>
          <cell r="AN204">
            <v>0.50092678405931423</v>
          </cell>
          <cell r="AO204">
            <v>0.50092678405931423</v>
          </cell>
          <cell r="AP204">
            <v>0.50092678405931423</v>
          </cell>
          <cell r="AQ204">
            <v>0.50092678405931423</v>
          </cell>
        </row>
        <row r="207">
          <cell r="C207">
            <v>0.44800933352778172</v>
          </cell>
          <cell r="D207">
            <v>0.25180000000000002</v>
          </cell>
          <cell r="E207">
            <v>0.21699922259652765</v>
          </cell>
          <cell r="F207">
            <v>0.21699922259652765</v>
          </cell>
          <cell r="G207">
            <v>0.21699922259652765</v>
          </cell>
          <cell r="H207">
            <v>0.21699922259652765</v>
          </cell>
          <cell r="I207">
            <v>0.21699922259652765</v>
          </cell>
          <cell r="J207">
            <v>0.21699922259652765</v>
          </cell>
          <cell r="K207">
            <v>0.21699922259652765</v>
          </cell>
          <cell r="L207">
            <v>0.21699922259652765</v>
          </cell>
          <cell r="M207">
            <v>0.21699922259652765</v>
          </cell>
          <cell r="N207">
            <v>0.21699922259652765</v>
          </cell>
          <cell r="O207">
            <v>0.21699922259652765</v>
          </cell>
          <cell r="P207">
            <v>0.21699922259652765</v>
          </cell>
          <cell r="Q207">
            <v>0.21699922259652765</v>
          </cell>
          <cell r="R207">
            <v>0.21699922259652765</v>
          </cell>
          <cell r="S207">
            <v>0.21699922259652765</v>
          </cell>
          <cell r="T207">
            <v>0.21699922259652765</v>
          </cell>
          <cell r="U207">
            <v>0.21699922259652765</v>
          </cell>
          <cell r="V207">
            <v>0.21699922259652765</v>
          </cell>
          <cell r="W207">
            <v>0.21699922259652765</v>
          </cell>
          <cell r="X207">
            <v>0.21699922259652765</v>
          </cell>
          <cell r="Y207">
            <v>0.21699922259652765</v>
          </cell>
          <cell r="Z207">
            <v>0.21699922259652765</v>
          </cell>
          <cell r="AA207">
            <v>0.21699922259652765</v>
          </cell>
          <cell r="AB207">
            <v>0.21699922259652765</v>
          </cell>
          <cell r="AC207">
            <v>0.21699922259652765</v>
          </cell>
          <cell r="AD207">
            <v>0.21699922259652765</v>
          </cell>
          <cell r="AE207">
            <v>0.21699922259652765</v>
          </cell>
          <cell r="AF207">
            <v>0.21699922259652765</v>
          </cell>
          <cell r="AG207">
            <v>0.21699922259652765</v>
          </cell>
          <cell r="AH207">
            <v>0.21699922259652765</v>
          </cell>
          <cell r="AI207">
            <v>0.21699922259652765</v>
          </cell>
          <cell r="AJ207">
            <v>0.21699922259652765</v>
          </cell>
          <cell r="AK207">
            <v>0.21699922259652765</v>
          </cell>
          <cell r="AL207">
            <v>0.21699922259652765</v>
          </cell>
          <cell r="AM207">
            <v>0.21699922259652765</v>
          </cell>
          <cell r="AN207">
            <v>0.21699922259652765</v>
          </cell>
          <cell r="AO207">
            <v>0.21699922259652765</v>
          </cell>
          <cell r="AP207">
            <v>0.21699922259652765</v>
          </cell>
          <cell r="AQ207">
            <v>0.21699922259652765</v>
          </cell>
        </row>
        <row r="208">
          <cell r="C208">
            <v>0.53769870205629278</v>
          </cell>
          <cell r="D208">
            <v>0.41270000000000001</v>
          </cell>
          <cell r="E208">
            <v>0.28670640062192282</v>
          </cell>
          <cell r="F208">
            <v>0.28670640062192282</v>
          </cell>
          <cell r="G208">
            <v>0.28670640062192282</v>
          </cell>
          <cell r="H208">
            <v>0.28670640062192282</v>
          </cell>
          <cell r="I208">
            <v>0.28670640062192282</v>
          </cell>
          <cell r="J208">
            <v>0.28670640062192282</v>
          </cell>
          <cell r="K208">
            <v>0.28670640062192282</v>
          </cell>
          <cell r="L208">
            <v>0.28670640062192282</v>
          </cell>
          <cell r="M208">
            <v>0.28670640062192282</v>
          </cell>
          <cell r="N208">
            <v>0.28670640062192282</v>
          </cell>
          <cell r="O208">
            <v>0.28670640062192282</v>
          </cell>
          <cell r="P208">
            <v>0.28670640062192282</v>
          </cell>
          <cell r="Q208">
            <v>0.28670640062192282</v>
          </cell>
          <cell r="R208">
            <v>0.28670640062192282</v>
          </cell>
          <cell r="S208">
            <v>0.28670640062192282</v>
          </cell>
          <cell r="T208">
            <v>0.28670640062192282</v>
          </cell>
          <cell r="U208">
            <v>0.28670640062192282</v>
          </cell>
          <cell r="V208">
            <v>0.28670640062192282</v>
          </cell>
          <cell r="W208">
            <v>0.28670640062192282</v>
          </cell>
          <cell r="X208">
            <v>0.28670640062192282</v>
          </cell>
          <cell r="Y208">
            <v>0.28670640062192282</v>
          </cell>
          <cell r="Z208">
            <v>0.28670640062192282</v>
          </cell>
          <cell r="AA208">
            <v>0.28670640062192282</v>
          </cell>
          <cell r="AB208">
            <v>0.28670640062192282</v>
          </cell>
          <cell r="AC208">
            <v>0.28670640062192282</v>
          </cell>
          <cell r="AD208">
            <v>0.28670640062192282</v>
          </cell>
          <cell r="AE208">
            <v>0.28670640062192282</v>
          </cell>
          <cell r="AF208">
            <v>0.28670640062192282</v>
          </cell>
          <cell r="AG208">
            <v>0.28670640062192282</v>
          </cell>
          <cell r="AH208">
            <v>0.28670640062192282</v>
          </cell>
          <cell r="AI208">
            <v>0.28670640062192282</v>
          </cell>
          <cell r="AJ208">
            <v>0.28670640062192282</v>
          </cell>
          <cell r="AK208">
            <v>0.28670640062192282</v>
          </cell>
          <cell r="AL208">
            <v>0.28670640062192282</v>
          </cell>
          <cell r="AM208">
            <v>0.28670640062192282</v>
          </cell>
          <cell r="AN208">
            <v>0.28670640062192282</v>
          </cell>
          <cell r="AO208">
            <v>0.28670640062192282</v>
          </cell>
          <cell r="AP208">
            <v>0.28670640062192282</v>
          </cell>
          <cell r="AQ208">
            <v>0.28670640062192282</v>
          </cell>
        </row>
        <row r="209">
          <cell r="C209">
            <v>1.4291964415925328E-2</v>
          </cell>
          <cell r="D209">
            <v>0.1263</v>
          </cell>
          <cell r="E209">
            <v>0.23073335060896605</v>
          </cell>
          <cell r="F209">
            <v>0.23073335060896605</v>
          </cell>
          <cell r="G209">
            <v>0.23073335060896605</v>
          </cell>
          <cell r="H209">
            <v>0.23073335060896605</v>
          </cell>
          <cell r="I209">
            <v>0.23073335060896605</v>
          </cell>
          <cell r="J209">
            <v>0.23073335060896605</v>
          </cell>
          <cell r="K209">
            <v>0.23073335060896605</v>
          </cell>
          <cell r="L209">
            <v>0.23073335060896605</v>
          </cell>
          <cell r="M209">
            <v>0.23073335060896605</v>
          </cell>
          <cell r="N209">
            <v>0.23073335060896605</v>
          </cell>
          <cell r="O209">
            <v>0.23073335060896605</v>
          </cell>
          <cell r="P209">
            <v>0.23073335060896605</v>
          </cell>
          <cell r="Q209">
            <v>0.23073335060896605</v>
          </cell>
          <cell r="R209">
            <v>0.23073335060896605</v>
          </cell>
          <cell r="S209">
            <v>0.23073335060896605</v>
          </cell>
          <cell r="T209">
            <v>0.23073335060896605</v>
          </cell>
          <cell r="U209">
            <v>0.23073335060896605</v>
          </cell>
          <cell r="V209">
            <v>0.23073335060896605</v>
          </cell>
          <cell r="W209">
            <v>0.23073335060896605</v>
          </cell>
          <cell r="X209">
            <v>0.23073335060896605</v>
          </cell>
          <cell r="Y209">
            <v>0.23073335060896605</v>
          </cell>
          <cell r="Z209">
            <v>0.23073335060896605</v>
          </cell>
          <cell r="AA209">
            <v>0.23073335060896605</v>
          </cell>
          <cell r="AB209">
            <v>0.23073335060896605</v>
          </cell>
          <cell r="AC209">
            <v>0.23073335060896605</v>
          </cell>
          <cell r="AD209">
            <v>0.23073335060896605</v>
          </cell>
          <cell r="AE209">
            <v>0.23073335060896605</v>
          </cell>
          <cell r="AF209">
            <v>0.23073335060896605</v>
          </cell>
          <cell r="AG209">
            <v>0.23073335060896605</v>
          </cell>
          <cell r="AH209">
            <v>0.23073335060896605</v>
          </cell>
          <cell r="AI209">
            <v>0.23073335060896605</v>
          </cell>
          <cell r="AJ209">
            <v>0.23073335060896605</v>
          </cell>
          <cell r="AK209">
            <v>0.23073335060896605</v>
          </cell>
          <cell r="AL209">
            <v>0.23073335060896605</v>
          </cell>
          <cell r="AM209">
            <v>0.23073335060896605</v>
          </cell>
          <cell r="AN209">
            <v>0.23073335060896605</v>
          </cell>
          <cell r="AO209">
            <v>0.23073335060896605</v>
          </cell>
          <cell r="AP209">
            <v>0.23073335060896605</v>
          </cell>
          <cell r="AQ209">
            <v>0.23073335060896605</v>
          </cell>
        </row>
        <row r="210">
          <cell r="C210">
            <v>0</v>
          </cell>
          <cell r="D210">
            <v>5.5999999999999999E-3</v>
          </cell>
          <cell r="E210">
            <v>2.1249028245659504E-3</v>
          </cell>
          <cell r="F210">
            <v>2.1249028245659504E-3</v>
          </cell>
          <cell r="G210">
            <v>2.1249028245659504E-3</v>
          </cell>
          <cell r="H210">
            <v>2.1249028245659504E-3</v>
          </cell>
          <cell r="I210">
            <v>2.1249028245659504E-3</v>
          </cell>
          <cell r="J210">
            <v>2.1249028245659504E-3</v>
          </cell>
          <cell r="K210">
            <v>2.1249028245659504E-3</v>
          </cell>
          <cell r="L210">
            <v>2.1249028245659504E-3</v>
          </cell>
          <cell r="M210">
            <v>2.1249028245659504E-3</v>
          </cell>
          <cell r="N210">
            <v>2.1249028245659504E-3</v>
          </cell>
          <cell r="O210">
            <v>2.1249028245659504E-3</v>
          </cell>
          <cell r="P210">
            <v>2.1249028245659504E-3</v>
          </cell>
          <cell r="Q210">
            <v>2.1249028245659504E-3</v>
          </cell>
          <cell r="R210">
            <v>2.1249028245659504E-3</v>
          </cell>
          <cell r="S210">
            <v>2.1249028245659504E-3</v>
          </cell>
          <cell r="T210">
            <v>2.1249028245659504E-3</v>
          </cell>
          <cell r="U210">
            <v>2.1249028245659504E-3</v>
          </cell>
          <cell r="V210">
            <v>2.1249028245659504E-3</v>
          </cell>
          <cell r="W210">
            <v>2.1249028245659504E-3</v>
          </cell>
          <cell r="X210">
            <v>2.1249028245659504E-3</v>
          </cell>
          <cell r="Y210">
            <v>2.1249028245659504E-3</v>
          </cell>
          <cell r="Z210">
            <v>2.1249028245659504E-3</v>
          </cell>
          <cell r="AA210">
            <v>2.1249028245659504E-3</v>
          </cell>
          <cell r="AB210">
            <v>2.1249028245659504E-3</v>
          </cell>
          <cell r="AC210">
            <v>2.1249028245659504E-3</v>
          </cell>
          <cell r="AD210">
            <v>2.1249028245659504E-3</v>
          </cell>
          <cell r="AE210">
            <v>2.1249028245659504E-3</v>
          </cell>
          <cell r="AF210">
            <v>2.1249028245659504E-3</v>
          </cell>
          <cell r="AG210">
            <v>2.1249028245659504E-3</v>
          </cell>
          <cell r="AH210">
            <v>2.1249028245659504E-3</v>
          </cell>
          <cell r="AI210">
            <v>2.1249028245659504E-3</v>
          </cell>
          <cell r="AJ210">
            <v>2.1249028245659504E-3</v>
          </cell>
          <cell r="AK210">
            <v>2.1249028245659504E-3</v>
          </cell>
          <cell r="AL210">
            <v>2.1249028245659504E-3</v>
          </cell>
          <cell r="AM210">
            <v>2.1249028245659504E-3</v>
          </cell>
          <cell r="AN210">
            <v>2.1249028245659504E-3</v>
          </cell>
          <cell r="AO210">
            <v>2.1249028245659504E-3</v>
          </cell>
          <cell r="AP210">
            <v>2.1249028245659504E-3</v>
          </cell>
          <cell r="AQ210">
            <v>2.1249028245659504E-3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</row>
        <row r="216">
          <cell r="C216">
            <v>1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  <cell r="AD216">
            <v>1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N216">
            <v>1</v>
          </cell>
          <cell r="AO216">
            <v>1</v>
          </cell>
          <cell r="AP216">
            <v>1</v>
          </cell>
          <cell r="AQ216">
            <v>1</v>
          </cell>
        </row>
        <row r="258">
          <cell r="C258">
            <v>7.7309611676866744E-2</v>
          </cell>
          <cell r="D258">
            <v>0.13094576142541478</v>
          </cell>
          <cell r="E258">
            <v>0.24227484600191465</v>
          </cell>
          <cell r="F258">
            <v>0.15352824969329684</v>
          </cell>
          <cell r="G258">
            <v>7.4932978360741531E-2</v>
          </cell>
          <cell r="H258">
            <v>7.5197221063667427E-2</v>
          </cell>
          <cell r="I258">
            <v>8.7498972869909195E-2</v>
          </cell>
          <cell r="J258">
            <v>7.6394546821109743E-2</v>
          </cell>
          <cell r="K258">
            <v>7.6549948357482731E-2</v>
          </cell>
          <cell r="L258">
            <v>7.669912836165696E-2</v>
          </cell>
          <cell r="M258">
            <v>5.8105377241644135E-2</v>
          </cell>
          <cell r="N258">
            <v>4.8770468119666378E-2</v>
          </cell>
          <cell r="O258">
            <v>4.8188710673250305E-2</v>
          </cell>
          <cell r="P258">
            <v>4.8237421282568568E-2</v>
          </cell>
          <cell r="Q258">
            <v>4.8284901630796011E-2</v>
          </cell>
          <cell r="R258">
            <v>3.8887452362192459E-2</v>
          </cell>
          <cell r="S258">
            <v>3.8907678990651735E-2</v>
          </cell>
          <cell r="T258">
            <v>3.8927558769593529E-2</v>
          </cell>
          <cell r="U258">
            <v>3.8947096892578394E-2</v>
          </cell>
          <cell r="V258">
            <v>3.8966298502799417E-2</v>
          </cell>
          <cell r="W258">
            <v>3.8985168692512777E-2</v>
          </cell>
          <cell r="X258">
            <v>2.950185625125943E-2</v>
          </cell>
          <cell r="Y258">
            <v>2.9506453902311762E-2</v>
          </cell>
          <cell r="Z258">
            <v>2.9511011302810496E-2</v>
          </cell>
          <cell r="AA258">
            <v>2.9515528764959886E-2</v>
          </cell>
          <cell r="AB258">
            <v>2.9040013198569713E-2</v>
          </cell>
          <cell r="AC258">
            <v>2.905777554127284E-2</v>
          </cell>
          <cell r="AD258">
            <v>2.9075225195384434E-2</v>
          </cell>
          <cell r="AE258">
            <v>2.9092367078913571E-2</v>
          </cell>
          <cell r="AF258">
            <v>2.9109206054166403E-2</v>
          </cell>
          <cell r="AG258">
            <v>2.9109206054166524E-2</v>
          </cell>
          <cell r="AH258">
            <v>2.9109206054166573E-2</v>
          </cell>
          <cell r="AI258">
            <v>2.910920605416658E-2</v>
          </cell>
          <cell r="AJ258">
            <v>2.910920605416658E-2</v>
          </cell>
          <cell r="AK258">
            <v>2.9109206054166628E-2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-1</v>
          </cell>
        </row>
        <row r="276">
          <cell r="C276">
            <v>1</v>
          </cell>
        </row>
        <row r="280">
          <cell r="C280">
            <v>107707209</v>
          </cell>
        </row>
        <row r="281">
          <cell r="C281">
            <v>0</v>
          </cell>
          <cell r="D281">
            <v>-0.10869475784113999</v>
          </cell>
          <cell r="E281">
            <v>3.0099999999999998E-2</v>
          </cell>
          <cell r="F281">
            <v>0.15</v>
          </cell>
          <cell r="G281">
            <v>0.10395</v>
          </cell>
          <cell r="H281">
            <v>0.03</v>
          </cell>
          <cell r="I281">
            <v>3.0099999999999998E-2</v>
          </cell>
          <cell r="J281">
            <v>0.03</v>
          </cell>
          <cell r="K281">
            <v>0.03</v>
          </cell>
          <cell r="L281">
            <v>2.9100000000000001E-2</v>
          </cell>
          <cell r="M281">
            <v>2.9100000000000001E-2</v>
          </cell>
          <cell r="N281">
            <v>2.9100000000000001E-2</v>
          </cell>
          <cell r="O281">
            <v>2.9100000000000001E-2</v>
          </cell>
          <cell r="P281">
            <v>2.9100000000000001E-2</v>
          </cell>
          <cell r="Q281">
            <v>2.9100000000000001E-2</v>
          </cell>
          <cell r="R281">
            <v>2.9100000000000001E-2</v>
          </cell>
          <cell r="S281">
            <v>2.9100000000000001E-2</v>
          </cell>
          <cell r="T281">
            <v>2.9100000000000001E-2</v>
          </cell>
          <cell r="U281">
            <v>2.9100000000000001E-2</v>
          </cell>
          <cell r="V281">
            <v>2.9100000000000001E-2</v>
          </cell>
          <cell r="W281">
            <v>2.9100000000000001E-2</v>
          </cell>
          <cell r="X281">
            <v>2.9100000000000001E-2</v>
          </cell>
          <cell r="Y281">
            <v>2.9100000000000001E-2</v>
          </cell>
          <cell r="Z281">
            <v>2.9100000000000001E-2</v>
          </cell>
          <cell r="AA281">
            <v>2.9100000000000001E-2</v>
          </cell>
          <cell r="AB281">
            <v>2.9100000000000001E-2</v>
          </cell>
          <cell r="AC281">
            <v>2.9100000000000001E-2</v>
          </cell>
          <cell r="AD281">
            <v>2.9100000000000001E-2</v>
          </cell>
          <cell r="AE281">
            <v>2.9100000000000001E-2</v>
          </cell>
          <cell r="AF281">
            <v>2.9100000000000001E-2</v>
          </cell>
          <cell r="AG281">
            <v>2.9100000000000001E-2</v>
          </cell>
          <cell r="AH281">
            <v>2.9100000000000001E-2</v>
          </cell>
          <cell r="AI281">
            <v>2.9100000000000001E-2</v>
          </cell>
          <cell r="AJ281">
            <v>2.9100000000000001E-2</v>
          </cell>
          <cell r="AK281">
            <v>2.9100000000000001E-2</v>
          </cell>
          <cell r="AL281">
            <v>2.9100000000000001E-2</v>
          </cell>
          <cell r="AM281">
            <v>2.9100000000000001E-2</v>
          </cell>
          <cell r="AN281">
            <v>2.9100000000000001E-2</v>
          </cell>
          <cell r="AO281">
            <v>2.9100000000000001E-2</v>
          </cell>
          <cell r="AP281">
            <v>2.9100000000000001E-2</v>
          </cell>
          <cell r="AQ281">
            <v>2.9100000000000001E-2</v>
          </cell>
          <cell r="AR281">
            <v>2.9100000000000001E-2</v>
          </cell>
        </row>
        <row r="289">
          <cell r="C289">
            <v>0.2</v>
          </cell>
        </row>
        <row r="290">
          <cell r="C290">
            <v>0.5</v>
          </cell>
        </row>
        <row r="293">
          <cell r="C293">
            <v>0.46511000000000002</v>
          </cell>
        </row>
        <row r="294">
          <cell r="C294">
            <v>12</v>
          </cell>
          <cell r="D294">
            <v>12</v>
          </cell>
          <cell r="E294">
            <v>12</v>
          </cell>
          <cell r="F294">
            <v>14</v>
          </cell>
          <cell r="G294">
            <v>14</v>
          </cell>
          <cell r="H294">
            <v>14</v>
          </cell>
          <cell r="I294">
            <v>15</v>
          </cell>
          <cell r="J294">
            <v>15</v>
          </cell>
        </row>
        <row r="296">
          <cell r="C296">
            <v>0.01</v>
          </cell>
        </row>
        <row r="297">
          <cell r="C297">
            <v>0</v>
          </cell>
        </row>
        <row r="304">
          <cell r="C304">
            <v>2</v>
          </cell>
          <cell r="D304">
            <v>2</v>
          </cell>
          <cell r="E304">
            <v>0</v>
          </cell>
          <cell r="F304">
            <v>3</v>
          </cell>
          <cell r="G304">
            <v>106556.37556733884</v>
          </cell>
        </row>
        <row r="305">
          <cell r="C305">
            <v>6</v>
          </cell>
          <cell r="D305">
            <v>8</v>
          </cell>
          <cell r="E305">
            <v>0</v>
          </cell>
          <cell r="F305">
            <v>3</v>
          </cell>
          <cell r="G305">
            <v>57563.514789174718</v>
          </cell>
        </row>
        <row r="307">
          <cell r="C307">
            <v>15</v>
          </cell>
          <cell r="D307">
            <v>26</v>
          </cell>
          <cell r="E307">
            <v>0</v>
          </cell>
          <cell r="F307">
            <v>3</v>
          </cell>
          <cell r="G307">
            <v>22299.824289119962</v>
          </cell>
        </row>
        <row r="308">
          <cell r="C308">
            <v>39</v>
          </cell>
          <cell r="D308">
            <v>80</v>
          </cell>
          <cell r="E308">
            <v>0.2</v>
          </cell>
          <cell r="F308">
            <v>3</v>
          </cell>
          <cell r="G308">
            <v>11397.494583419657</v>
          </cell>
        </row>
        <row r="310">
          <cell r="C310">
            <v>25</v>
          </cell>
          <cell r="D310">
            <v>25</v>
          </cell>
          <cell r="E310">
            <v>0.5</v>
          </cell>
          <cell r="G310">
            <v>6862.1657898916528</v>
          </cell>
        </row>
        <row r="311">
          <cell r="C311">
            <v>95</v>
          </cell>
          <cell r="D311">
            <v>98</v>
          </cell>
          <cell r="E311">
            <v>0.6</v>
          </cell>
          <cell r="F311">
            <v>5</v>
          </cell>
          <cell r="G311">
            <v>8874.0431709838449</v>
          </cell>
        </row>
        <row r="315">
          <cell r="C315">
            <v>0</v>
          </cell>
          <cell r="D315">
            <v>133</v>
          </cell>
          <cell r="E315">
            <v>0.6</v>
          </cell>
          <cell r="F315">
            <v>5</v>
          </cell>
          <cell r="G315">
            <v>3791.4388243335611</v>
          </cell>
        </row>
        <row r="316">
          <cell r="C316">
            <v>0</v>
          </cell>
          <cell r="D316">
            <v>7</v>
          </cell>
          <cell r="E316">
            <v>0.6</v>
          </cell>
          <cell r="F316">
            <v>5</v>
          </cell>
        </row>
        <row r="317">
          <cell r="C317">
            <v>0</v>
          </cell>
          <cell r="D317">
            <v>13</v>
          </cell>
          <cell r="E317">
            <v>0.6</v>
          </cell>
          <cell r="F317">
            <v>5</v>
          </cell>
          <cell r="G317">
            <v>4654.720279720279</v>
          </cell>
        </row>
        <row r="318">
          <cell r="C318">
            <v>0</v>
          </cell>
          <cell r="D318">
            <v>17</v>
          </cell>
          <cell r="E318">
            <v>0.6</v>
          </cell>
          <cell r="G318">
            <v>7593.639535937642</v>
          </cell>
        </row>
        <row r="319">
          <cell r="C319">
            <v>0</v>
          </cell>
          <cell r="D319">
            <v>128</v>
          </cell>
          <cell r="E319">
            <v>0.6</v>
          </cell>
          <cell r="F319">
            <v>5</v>
          </cell>
          <cell r="G319">
            <v>5561.320432125146</v>
          </cell>
        </row>
        <row r="320">
          <cell r="C320">
            <v>0</v>
          </cell>
          <cell r="D320">
            <v>121</v>
          </cell>
          <cell r="E320">
            <v>0.6</v>
          </cell>
          <cell r="F320">
            <v>5</v>
          </cell>
          <cell r="G320">
            <v>7913.5039722586571</v>
          </cell>
        </row>
        <row r="321">
          <cell r="C321">
            <v>0</v>
          </cell>
          <cell r="D321">
            <v>24</v>
          </cell>
          <cell r="E321">
            <v>0.6</v>
          </cell>
          <cell r="F321">
            <v>5</v>
          </cell>
          <cell r="G321">
            <v>4676.0029452362614</v>
          </cell>
        </row>
        <row r="322">
          <cell r="C322">
            <v>0</v>
          </cell>
          <cell r="D322">
            <v>2</v>
          </cell>
          <cell r="E322">
            <v>0.6</v>
          </cell>
          <cell r="F322">
            <v>5</v>
          </cell>
          <cell r="G322">
            <v>12102.272727272728</v>
          </cell>
        </row>
        <row r="323">
          <cell r="C323">
            <v>0</v>
          </cell>
          <cell r="D323">
            <v>40</v>
          </cell>
          <cell r="E323">
            <v>0.6</v>
          </cell>
          <cell r="F323">
            <v>5</v>
          </cell>
          <cell r="G323">
            <v>10320.850551328971</v>
          </cell>
        </row>
        <row r="324">
          <cell r="C324">
            <v>0</v>
          </cell>
          <cell r="D324">
            <v>19</v>
          </cell>
          <cell r="E324">
            <v>0.6</v>
          </cell>
          <cell r="F324">
            <v>5</v>
          </cell>
          <cell r="G324">
            <v>6306.8764952153115</v>
          </cell>
        </row>
        <row r="327">
          <cell r="C327">
            <v>1.1253709999999999</v>
          </cell>
        </row>
        <row r="328">
          <cell r="C328">
            <v>1.19302</v>
          </cell>
        </row>
        <row r="330">
          <cell r="C330">
            <v>4.3999999999999997E-2</v>
          </cell>
          <cell r="D330">
            <v>3.5999999999999997E-2</v>
          </cell>
          <cell r="E330">
            <v>3.5999999999999997E-2</v>
          </cell>
          <cell r="F330">
            <v>3.5999999999999997E-2</v>
          </cell>
          <cell r="G330">
            <v>3.5999999999999997E-2</v>
          </cell>
          <cell r="H330">
            <v>3.5999999999999997E-2</v>
          </cell>
          <cell r="I330">
            <v>3.5999999999999997E-2</v>
          </cell>
          <cell r="J330">
            <v>3.5999999999999997E-2</v>
          </cell>
          <cell r="K330">
            <v>3.5999999999999997E-2</v>
          </cell>
          <cell r="L330">
            <v>3.5999999999999997E-2</v>
          </cell>
          <cell r="M330">
            <v>3.5999999999999997E-2</v>
          </cell>
          <cell r="N330">
            <v>3.5999999999999997E-2</v>
          </cell>
          <cell r="O330">
            <v>3.5999999999999997E-2</v>
          </cell>
          <cell r="P330">
            <v>3.5999999999999997E-2</v>
          </cell>
          <cell r="Q330">
            <v>3.5999999999999997E-2</v>
          </cell>
          <cell r="R330">
            <v>3.5999999999999997E-2</v>
          </cell>
          <cell r="S330">
            <v>3.5999999999999997E-2</v>
          </cell>
          <cell r="T330">
            <v>3.5999999999999997E-2</v>
          </cell>
          <cell r="U330">
            <v>3.5999999999999997E-2</v>
          </cell>
          <cell r="V330">
            <v>3.5999999999999997E-2</v>
          </cell>
          <cell r="W330">
            <v>3.5999999999999997E-2</v>
          </cell>
          <cell r="X330">
            <v>3.5999999999999997E-2</v>
          </cell>
          <cell r="Y330">
            <v>3.5999999999999997E-2</v>
          </cell>
          <cell r="Z330">
            <v>3.5999999999999997E-2</v>
          </cell>
          <cell r="AA330">
            <v>3.5999999999999997E-2</v>
          </cell>
          <cell r="AB330">
            <v>3.5999999999999997E-2</v>
          </cell>
          <cell r="AC330">
            <v>3.5999999999999997E-2</v>
          </cell>
          <cell r="AD330">
            <v>3.5999999999999997E-2</v>
          </cell>
          <cell r="AE330">
            <v>3.5999999999999997E-2</v>
          </cell>
          <cell r="AF330">
            <v>3.5999999999999997E-2</v>
          </cell>
          <cell r="AG330">
            <v>3.5999999999999997E-2</v>
          </cell>
          <cell r="AH330">
            <v>3.5999999999999997E-2</v>
          </cell>
          <cell r="AI330">
            <v>3.5999999999999997E-2</v>
          </cell>
          <cell r="AJ330">
            <v>3.5999999999999997E-2</v>
          </cell>
          <cell r="AK330">
            <v>3.5999999999999997E-2</v>
          </cell>
          <cell r="AL330">
            <v>3.5999999999999997E-2</v>
          </cell>
          <cell r="AM330">
            <v>3.5999999999999997E-2</v>
          </cell>
          <cell r="AN330">
            <v>3.5999999999999997E-2</v>
          </cell>
          <cell r="AO330">
            <v>3.5999999999999997E-2</v>
          </cell>
          <cell r="AP330">
            <v>3.5999999999999997E-2</v>
          </cell>
          <cell r="AQ330">
            <v>3.5999999999999997E-2</v>
          </cell>
          <cell r="AR330">
            <v>3.5999999999999997E-2</v>
          </cell>
        </row>
        <row r="335">
          <cell r="C335">
            <v>47576.54664191365</v>
          </cell>
          <cell r="E335">
            <v>81472.37</v>
          </cell>
        </row>
        <row r="336">
          <cell r="C336">
            <v>22084.533889179966</v>
          </cell>
          <cell r="E336">
            <v>17888.240000000002</v>
          </cell>
        </row>
        <row r="337">
          <cell r="E337">
            <v>76052.960000000006</v>
          </cell>
        </row>
        <row r="338">
          <cell r="C338">
            <v>238835.12298743415</v>
          </cell>
          <cell r="D338">
            <v>244026</v>
          </cell>
        </row>
        <row r="339">
          <cell r="C339">
            <v>8483.9244897105436</v>
          </cell>
          <cell r="E339">
            <v>15027.71</v>
          </cell>
        </row>
        <row r="342">
          <cell r="C342">
            <v>0.21</v>
          </cell>
        </row>
        <row r="346">
          <cell r="C346">
            <v>53854.054396518652</v>
          </cell>
          <cell r="D346">
            <v>32312</v>
          </cell>
        </row>
        <row r="347">
          <cell r="C347">
            <v>9340.5771137461907</v>
          </cell>
          <cell r="D347">
            <v>4478</v>
          </cell>
        </row>
        <row r="348">
          <cell r="C348">
            <v>4001.3376529016318</v>
          </cell>
          <cell r="D348">
            <v>6000</v>
          </cell>
        </row>
        <row r="349">
          <cell r="D349">
            <v>81677</v>
          </cell>
        </row>
        <row r="350">
          <cell r="D350">
            <v>26064</v>
          </cell>
        </row>
        <row r="352">
          <cell r="D352">
            <v>30000.47</v>
          </cell>
        </row>
        <row r="354">
          <cell r="C354">
            <v>44647.6530470133</v>
          </cell>
          <cell r="D354">
            <v>32740</v>
          </cell>
        </row>
        <row r="356">
          <cell r="D356">
            <v>0</v>
          </cell>
        </row>
        <row r="357">
          <cell r="C357">
            <v>22480.242449938258</v>
          </cell>
          <cell r="D357">
            <v>35000</v>
          </cell>
        </row>
        <row r="358">
          <cell r="C358">
            <v>2383.3422092555902</v>
          </cell>
          <cell r="D358">
            <v>6552</v>
          </cell>
        </row>
        <row r="360">
          <cell r="C360">
            <v>3</v>
          </cell>
        </row>
        <row r="363">
          <cell r="D363">
            <v>11687</v>
          </cell>
        </row>
        <row r="364">
          <cell r="D364">
            <v>5271</v>
          </cell>
        </row>
        <row r="365">
          <cell r="D365">
            <v>14809</v>
          </cell>
        </row>
        <row r="366">
          <cell r="C366">
            <v>4996.6637129150122</v>
          </cell>
          <cell r="D366">
            <v>5891</v>
          </cell>
        </row>
        <row r="367">
          <cell r="C367">
            <v>33128.187804808302</v>
          </cell>
          <cell r="D367">
            <v>46208</v>
          </cell>
        </row>
        <row r="368">
          <cell r="C368">
            <v>4302.9757564438432</v>
          </cell>
          <cell r="D368">
            <v>2379</v>
          </cell>
        </row>
        <row r="369">
          <cell r="C369">
            <v>19509.514987420622</v>
          </cell>
          <cell r="D369">
            <v>17524</v>
          </cell>
        </row>
        <row r="370">
          <cell r="C370">
            <v>44948.869153009138</v>
          </cell>
          <cell r="D370">
            <v>44373</v>
          </cell>
        </row>
        <row r="371">
          <cell r="C371">
            <v>5684.3874210831882</v>
          </cell>
          <cell r="D371">
            <v>2390</v>
          </cell>
        </row>
        <row r="372">
          <cell r="C372">
            <v>11651.847242393038</v>
          </cell>
          <cell r="D372">
            <v>12597</v>
          </cell>
        </row>
        <row r="373">
          <cell r="D373">
            <v>2013</v>
          </cell>
        </row>
        <row r="374">
          <cell r="C374">
            <v>12260.659357629307</v>
          </cell>
          <cell r="D374">
            <v>23224</v>
          </cell>
        </row>
        <row r="375">
          <cell r="C375">
            <v>0</v>
          </cell>
          <cell r="D375">
            <v>0</v>
          </cell>
        </row>
        <row r="376">
          <cell r="C376">
            <v>73441.459661399</v>
          </cell>
          <cell r="D376">
            <v>76577</v>
          </cell>
        </row>
        <row r="377">
          <cell r="C377">
            <v>1641.1042115182734</v>
          </cell>
          <cell r="D377">
            <v>1407</v>
          </cell>
        </row>
        <row r="378">
          <cell r="C378">
            <v>27756.694025466735</v>
          </cell>
          <cell r="D378">
            <v>30000</v>
          </cell>
        </row>
        <row r="379">
          <cell r="D379">
            <v>150762</v>
          </cell>
        </row>
        <row r="380">
          <cell r="C380">
            <v>2752.7299859967011</v>
          </cell>
          <cell r="D380">
            <v>6000</v>
          </cell>
        </row>
        <row r="382">
          <cell r="C382">
            <v>3</v>
          </cell>
        </row>
        <row r="385">
          <cell r="D385">
            <v>160204</v>
          </cell>
        </row>
        <row r="386">
          <cell r="C386">
            <v>663546.50405411143</v>
          </cell>
          <cell r="D386">
            <v>697961</v>
          </cell>
        </row>
        <row r="387">
          <cell r="C387">
            <v>1218.2907132803869</v>
          </cell>
          <cell r="D387">
            <v>3000</v>
          </cell>
        </row>
        <row r="390">
          <cell r="C390">
            <v>2436.5814265607737</v>
          </cell>
          <cell r="D390">
            <v>6000</v>
          </cell>
        </row>
        <row r="391">
          <cell r="C391">
            <v>214542.61899629384</v>
          </cell>
          <cell r="D391">
            <v>266354</v>
          </cell>
        </row>
        <row r="393">
          <cell r="C393">
            <v>5</v>
          </cell>
        </row>
        <row r="396">
          <cell r="C396">
            <v>21839.902265042208</v>
          </cell>
          <cell r="D396">
            <v>27099</v>
          </cell>
        </row>
        <row r="397">
          <cell r="C397">
            <v>377623.23825565621</v>
          </cell>
          <cell r="D397">
            <v>358429</v>
          </cell>
        </row>
        <row r="398">
          <cell r="C398">
            <v>27238.770840553294</v>
          </cell>
          <cell r="D398">
            <v>49450</v>
          </cell>
        </row>
        <row r="399">
          <cell r="C399">
            <v>576030.85302434291</v>
          </cell>
          <cell r="D399">
            <v>781916</v>
          </cell>
        </row>
        <row r="400">
          <cell r="C400">
            <v>1537431.1794602151</v>
          </cell>
          <cell r="D400">
            <v>2010470</v>
          </cell>
        </row>
        <row r="401">
          <cell r="C401">
            <v>48516.312943245022</v>
          </cell>
          <cell r="D401">
            <v>67750</v>
          </cell>
        </row>
        <row r="402">
          <cell r="C402">
            <v>381150.41465154488</v>
          </cell>
          <cell r="D402">
            <v>329857</v>
          </cell>
        </row>
        <row r="403">
          <cell r="C403">
            <v>9175.7202224665652</v>
          </cell>
          <cell r="D403">
            <v>25090</v>
          </cell>
        </row>
        <row r="404">
          <cell r="D404">
            <v>26339</v>
          </cell>
        </row>
        <row r="405">
          <cell r="D405">
            <v>946706</v>
          </cell>
        </row>
        <row r="406">
          <cell r="C406">
            <v>188263.34522589197</v>
          </cell>
          <cell r="D406">
            <v>250190</v>
          </cell>
        </row>
        <row r="407">
          <cell r="C407">
            <v>11740.279511934797</v>
          </cell>
          <cell r="D407">
            <v>5102</v>
          </cell>
        </row>
        <row r="408">
          <cell r="C408">
            <v>25946.643738317107</v>
          </cell>
          <cell r="D408">
            <v>41896</v>
          </cell>
        </row>
        <row r="409">
          <cell r="C409">
            <v>17298.437746440119</v>
          </cell>
          <cell r="D409">
            <v>7787</v>
          </cell>
        </row>
        <row r="410">
          <cell r="D410">
            <v>15292</v>
          </cell>
        </row>
        <row r="411">
          <cell r="C411">
            <v>9958.2413989705165</v>
          </cell>
          <cell r="D411">
            <v>24955</v>
          </cell>
        </row>
        <row r="412">
          <cell r="C412">
            <v>61962.595416393589</v>
          </cell>
          <cell r="D412">
            <v>32871</v>
          </cell>
        </row>
        <row r="413">
          <cell r="C413">
            <v>32902.817378798754</v>
          </cell>
          <cell r="D413">
            <v>40235</v>
          </cell>
        </row>
        <row r="414">
          <cell r="C414">
            <v>54933.689980399002</v>
          </cell>
          <cell r="D414">
            <v>83397</v>
          </cell>
        </row>
        <row r="415">
          <cell r="C415">
            <v>47377.264567878548</v>
          </cell>
          <cell r="D415">
            <v>33901</v>
          </cell>
        </row>
        <row r="416">
          <cell r="D416">
            <v>49994</v>
          </cell>
        </row>
        <row r="417">
          <cell r="D417">
            <v>226667</v>
          </cell>
        </row>
        <row r="432">
          <cell r="C432">
            <v>0</v>
          </cell>
        </row>
        <row r="436">
          <cell r="C436">
            <v>1932000</v>
          </cell>
        </row>
        <row r="437">
          <cell r="C437">
            <v>2001</v>
          </cell>
        </row>
        <row r="439">
          <cell r="C439">
            <v>821615.05</v>
          </cell>
        </row>
        <row r="440">
          <cell r="C440">
            <v>853527.12</v>
          </cell>
        </row>
        <row r="441">
          <cell r="C441">
            <v>5</v>
          </cell>
        </row>
        <row r="443">
          <cell r="C443">
            <v>7832473.7700000005</v>
          </cell>
        </row>
        <row r="444">
          <cell r="C444">
            <v>3534186.9299999997</v>
          </cell>
        </row>
        <row r="450">
          <cell r="C450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</row>
        <row r="456">
          <cell r="C456" t="str">
            <v>Yes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2.2669999999999999</v>
          </cell>
          <cell r="I588">
            <v>8.7395054737330895</v>
          </cell>
          <cell r="J588">
            <v>26.119999999999997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2.895</v>
          </cell>
          <cell r="P588">
            <v>8.6839999999999993</v>
          </cell>
          <cell r="Q588">
            <v>0</v>
          </cell>
          <cell r="R588">
            <v>0</v>
          </cell>
          <cell r="S588">
            <v>0</v>
          </cell>
          <cell r="T588">
            <v>41.817999999999998</v>
          </cell>
          <cell r="U588">
            <v>121.286</v>
          </cell>
          <cell r="V588">
            <v>22.356000000000002</v>
          </cell>
          <cell r="W588">
            <v>0</v>
          </cell>
          <cell r="X588">
            <v>0.442</v>
          </cell>
          <cell r="Y588">
            <v>0.92600000000000005</v>
          </cell>
          <cell r="Z588">
            <v>8.8030000000000008</v>
          </cell>
          <cell r="AA588">
            <v>7.32</v>
          </cell>
          <cell r="AB588">
            <v>1.0149999999999999</v>
          </cell>
          <cell r="AC588">
            <v>7.8E-2</v>
          </cell>
          <cell r="AD588">
            <v>4.9000000000000002E-2</v>
          </cell>
          <cell r="AE588">
            <v>9.2999999999999999E-2</v>
          </cell>
          <cell r="AF588">
            <v>2.7010000000000001</v>
          </cell>
          <cell r="AG588">
            <v>0</v>
          </cell>
          <cell r="AH588">
            <v>0</v>
          </cell>
          <cell r="AI588">
            <v>1.256</v>
          </cell>
          <cell r="AJ588">
            <v>12.364000000000001</v>
          </cell>
          <cell r="AK588">
            <v>9.4949999999999992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</row>
        <row r="615">
          <cell r="C615">
            <v>0</v>
          </cell>
        </row>
        <row r="618">
          <cell r="C618">
            <v>2</v>
          </cell>
        </row>
        <row r="619">
          <cell r="C619">
            <v>2</v>
          </cell>
        </row>
        <row r="620">
          <cell r="C620">
            <v>2</v>
          </cell>
        </row>
        <row r="621">
          <cell r="C621">
            <v>1</v>
          </cell>
        </row>
        <row r="622">
          <cell r="C622">
            <v>1</v>
          </cell>
        </row>
        <row r="628">
          <cell r="D628">
            <v>37894</v>
          </cell>
        </row>
        <row r="629">
          <cell r="D629">
            <v>37894</v>
          </cell>
        </row>
        <row r="630">
          <cell r="D630">
            <v>0</v>
          </cell>
        </row>
        <row r="631">
          <cell r="C631">
            <v>36981</v>
          </cell>
          <cell r="D631">
            <v>36981</v>
          </cell>
        </row>
        <row r="634">
          <cell r="C634">
            <v>2</v>
          </cell>
        </row>
        <row r="635">
          <cell r="C635">
            <v>2</v>
          </cell>
        </row>
        <row r="636">
          <cell r="C636">
            <v>2</v>
          </cell>
        </row>
        <row r="637">
          <cell r="C637">
            <v>2</v>
          </cell>
        </row>
        <row r="640">
          <cell r="C640">
            <v>88.35</v>
          </cell>
          <cell r="D640">
            <v>88.35</v>
          </cell>
        </row>
        <row r="641">
          <cell r="C641">
            <v>36</v>
          </cell>
        </row>
        <row r="642">
          <cell r="C642">
            <v>0</v>
          </cell>
        </row>
        <row r="643">
          <cell r="C643">
            <v>30</v>
          </cell>
        </row>
        <row r="646">
          <cell r="C646">
            <v>1</v>
          </cell>
        </row>
        <row r="655">
          <cell r="C655">
            <v>37225</v>
          </cell>
        </row>
        <row r="657">
          <cell r="C657">
            <v>5.0000000000000001E-3</v>
          </cell>
        </row>
        <row r="658">
          <cell r="C658">
            <v>5.0000000000000001E-3</v>
          </cell>
        </row>
        <row r="659">
          <cell r="C659">
            <v>0</v>
          </cell>
        </row>
        <row r="660">
          <cell r="C660">
            <v>0</v>
          </cell>
        </row>
        <row r="663">
          <cell r="C663">
            <v>1.2500000000000001E-2</v>
          </cell>
        </row>
        <row r="664">
          <cell r="C664">
            <v>1.2500000000000001E-2</v>
          </cell>
        </row>
        <row r="665">
          <cell r="C665">
            <v>0</v>
          </cell>
        </row>
        <row r="666">
          <cell r="C666">
            <v>0</v>
          </cell>
        </row>
        <row r="669">
          <cell r="C669">
            <v>0</v>
          </cell>
        </row>
        <row r="670">
          <cell r="C670">
            <v>2.5000000000000001E-2</v>
          </cell>
        </row>
        <row r="671">
          <cell r="C671">
            <v>0</v>
          </cell>
        </row>
        <row r="673">
          <cell r="P673">
            <v>37376</v>
          </cell>
        </row>
        <row r="674">
          <cell r="Z674">
            <v>8.3000000000000004E-2</v>
          </cell>
        </row>
        <row r="675">
          <cell r="Z675">
            <v>8.3000000000000004E-2</v>
          </cell>
        </row>
        <row r="676">
          <cell r="Z676">
            <v>0</v>
          </cell>
        </row>
        <row r="677">
          <cell r="Z677">
            <v>0</v>
          </cell>
        </row>
        <row r="681">
          <cell r="C681">
            <v>58</v>
          </cell>
        </row>
        <row r="682">
          <cell r="C682">
            <v>58</v>
          </cell>
        </row>
        <row r="683">
          <cell r="C683">
            <v>58</v>
          </cell>
        </row>
        <row r="684">
          <cell r="C684">
            <v>58</v>
          </cell>
        </row>
        <row r="686">
          <cell r="C686">
            <v>3</v>
          </cell>
        </row>
        <row r="692">
          <cell r="D692">
            <v>315.82271790402615</v>
          </cell>
        </row>
        <row r="693">
          <cell r="D693">
            <v>128.68837401861848</v>
          </cell>
        </row>
        <row r="694">
          <cell r="D694">
            <v>0</v>
          </cell>
        </row>
        <row r="695">
          <cell r="D695">
            <v>0</v>
          </cell>
        </row>
        <row r="699">
          <cell r="C699">
            <v>8.3000000000000004E-2</v>
          </cell>
          <cell r="D699">
            <v>8.3000000000000004E-2</v>
          </cell>
          <cell r="E699">
            <v>8.3000000000000004E-2</v>
          </cell>
          <cell r="F699">
            <v>8.3000000000000004E-2</v>
          </cell>
          <cell r="G699">
            <v>8.3000000000000004E-2</v>
          </cell>
          <cell r="H699">
            <v>8.3000000000000004E-2</v>
          </cell>
          <cell r="I699">
            <v>8.3000000000000004E-2</v>
          </cell>
          <cell r="J699">
            <v>8.3000000000000004E-2</v>
          </cell>
          <cell r="K699">
            <v>8.3000000000000004E-2</v>
          </cell>
          <cell r="L699">
            <v>8.3000000000000004E-2</v>
          </cell>
          <cell r="M699">
            <v>8.3000000000000004E-2</v>
          </cell>
          <cell r="N699">
            <v>8.3000000000000004E-2</v>
          </cell>
          <cell r="O699">
            <v>8.3000000000000004E-2</v>
          </cell>
          <cell r="P699">
            <v>8.3000000000000004E-2</v>
          </cell>
          <cell r="Q699">
            <v>8.3000000000000004E-2</v>
          </cell>
          <cell r="R699">
            <v>8.3000000000000004E-2</v>
          </cell>
          <cell r="S699">
            <v>8.3000000000000004E-2</v>
          </cell>
          <cell r="T699">
            <v>8.3000000000000004E-2</v>
          </cell>
          <cell r="U699">
            <v>8.3000000000000004E-2</v>
          </cell>
          <cell r="V699">
            <v>8.3000000000000004E-2</v>
          </cell>
          <cell r="W699">
            <v>8.3000000000000004E-2</v>
          </cell>
          <cell r="X699">
            <v>8.3000000000000004E-2</v>
          </cell>
          <cell r="Y699">
            <v>8.3000000000000004E-2</v>
          </cell>
          <cell r="Z699">
            <v>8.3000000000000004E-2</v>
          </cell>
          <cell r="AA699">
            <v>8.3000000000000004E-2</v>
          </cell>
          <cell r="AB699">
            <v>8.3000000000000004E-2</v>
          </cell>
          <cell r="AC699">
            <v>8.3000000000000004E-2</v>
          </cell>
          <cell r="AD699">
            <v>8.3000000000000004E-2</v>
          </cell>
          <cell r="AE699">
            <v>8.3000000000000004E-2</v>
          </cell>
          <cell r="AF699">
            <v>8.3000000000000004E-2</v>
          </cell>
          <cell r="AG699">
            <v>8.3000000000000004E-2</v>
          </cell>
          <cell r="AH699">
            <v>8.3000000000000004E-2</v>
          </cell>
          <cell r="AI699">
            <v>8.3000000000000004E-2</v>
          </cell>
          <cell r="AJ699">
            <v>8.3000000000000004E-2</v>
          </cell>
          <cell r="AK699">
            <v>8.3000000000000004E-2</v>
          </cell>
          <cell r="AL699">
            <v>8.3000000000000004E-2</v>
          </cell>
          <cell r="AM699">
            <v>8.3000000000000004E-2</v>
          </cell>
          <cell r="AN699">
            <v>8.3000000000000004E-2</v>
          </cell>
          <cell r="AO699">
            <v>8.3000000000000004E-2</v>
          </cell>
          <cell r="AP699">
            <v>8.3000000000000004E-2</v>
          </cell>
          <cell r="AQ699">
            <v>8.3000000000000004E-2</v>
          </cell>
          <cell r="AR699">
            <v>8.3000000000000004E-2</v>
          </cell>
        </row>
        <row r="700">
          <cell r="C700">
            <v>8.3000000000000004E-2</v>
          </cell>
          <cell r="D700">
            <v>8.3000000000000004E-2</v>
          </cell>
          <cell r="E700">
            <v>8.3000000000000004E-2</v>
          </cell>
          <cell r="F700">
            <v>8.3000000000000004E-2</v>
          </cell>
          <cell r="G700">
            <v>8.3000000000000004E-2</v>
          </cell>
          <cell r="H700">
            <v>8.3000000000000004E-2</v>
          </cell>
          <cell r="I700">
            <v>8.3000000000000004E-2</v>
          </cell>
          <cell r="J700">
            <v>8.3000000000000004E-2</v>
          </cell>
          <cell r="K700">
            <v>8.3000000000000004E-2</v>
          </cell>
          <cell r="L700">
            <v>8.3000000000000004E-2</v>
          </cell>
          <cell r="M700">
            <v>8.3000000000000004E-2</v>
          </cell>
          <cell r="N700">
            <v>8.3000000000000004E-2</v>
          </cell>
          <cell r="O700">
            <v>8.3000000000000004E-2</v>
          </cell>
          <cell r="P700">
            <v>8.3000000000000004E-2</v>
          </cell>
          <cell r="Q700">
            <v>8.3000000000000004E-2</v>
          </cell>
          <cell r="R700">
            <v>8.3000000000000004E-2</v>
          </cell>
          <cell r="S700">
            <v>8.3000000000000004E-2</v>
          </cell>
          <cell r="T700">
            <v>8.3000000000000004E-2</v>
          </cell>
          <cell r="U700">
            <v>8.3000000000000004E-2</v>
          </cell>
          <cell r="V700">
            <v>8.3000000000000004E-2</v>
          </cell>
          <cell r="W700">
            <v>8.3000000000000004E-2</v>
          </cell>
          <cell r="X700">
            <v>8.3000000000000004E-2</v>
          </cell>
          <cell r="Y700">
            <v>8.3000000000000004E-2</v>
          </cell>
          <cell r="Z700">
            <v>8.3000000000000004E-2</v>
          </cell>
          <cell r="AA700">
            <v>8.3000000000000004E-2</v>
          </cell>
          <cell r="AB700">
            <v>8.3000000000000004E-2</v>
          </cell>
          <cell r="AC700">
            <v>8.3000000000000004E-2</v>
          </cell>
          <cell r="AD700">
            <v>8.3000000000000004E-2</v>
          </cell>
          <cell r="AE700">
            <v>8.3000000000000004E-2</v>
          </cell>
          <cell r="AF700">
            <v>8.3000000000000004E-2</v>
          </cell>
          <cell r="AG700">
            <v>8.3000000000000004E-2</v>
          </cell>
          <cell r="AH700">
            <v>8.3000000000000004E-2</v>
          </cell>
          <cell r="AI700">
            <v>8.3000000000000004E-2</v>
          </cell>
          <cell r="AJ700">
            <v>8.3000000000000004E-2</v>
          </cell>
          <cell r="AK700">
            <v>8.3000000000000004E-2</v>
          </cell>
          <cell r="AL700">
            <v>8.3000000000000004E-2</v>
          </cell>
          <cell r="AM700">
            <v>8.3000000000000004E-2</v>
          </cell>
          <cell r="AN700">
            <v>8.3000000000000004E-2</v>
          </cell>
          <cell r="AO700">
            <v>8.3000000000000004E-2</v>
          </cell>
          <cell r="AP700">
            <v>8.3000000000000004E-2</v>
          </cell>
          <cell r="AQ700">
            <v>8.3000000000000004E-2</v>
          </cell>
          <cell r="AR700">
            <v>8.3000000000000004E-2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</row>
        <row r="705">
          <cell r="C705">
            <v>38717</v>
          </cell>
        </row>
        <row r="706">
          <cell r="C706">
            <v>38717</v>
          </cell>
        </row>
        <row r="707">
          <cell r="C707">
            <v>38717</v>
          </cell>
        </row>
        <row r="708">
          <cell r="C708">
            <v>38717</v>
          </cell>
        </row>
        <row r="711">
          <cell r="C711">
            <v>38898</v>
          </cell>
          <cell r="D711">
            <v>43465</v>
          </cell>
          <cell r="E711">
            <v>6</v>
          </cell>
          <cell r="F711">
            <v>12</v>
          </cell>
        </row>
        <row r="712">
          <cell r="C712">
            <v>38898</v>
          </cell>
          <cell r="D712">
            <v>43465</v>
          </cell>
          <cell r="E712">
            <v>6</v>
          </cell>
          <cell r="F712">
            <v>12</v>
          </cell>
        </row>
        <row r="713">
          <cell r="D713">
            <v>39082</v>
          </cell>
          <cell r="E713">
            <v>6</v>
          </cell>
          <cell r="F713">
            <v>12</v>
          </cell>
        </row>
        <row r="714">
          <cell r="C714">
            <v>38898</v>
          </cell>
          <cell r="D714">
            <v>39082</v>
          </cell>
          <cell r="E714">
            <v>6</v>
          </cell>
          <cell r="F714">
            <v>12</v>
          </cell>
        </row>
        <row r="717">
          <cell r="C717">
            <v>0</v>
          </cell>
        </row>
        <row r="718">
          <cell r="C718">
            <v>0</v>
          </cell>
        </row>
        <row r="719">
          <cell r="C719">
            <v>0</v>
          </cell>
        </row>
        <row r="720">
          <cell r="C720">
            <v>0</v>
          </cell>
        </row>
        <row r="723">
          <cell r="C723">
            <v>2</v>
          </cell>
        </row>
        <row r="724">
          <cell r="C724">
            <v>2</v>
          </cell>
        </row>
        <row r="725">
          <cell r="C725">
            <v>2</v>
          </cell>
        </row>
        <row r="726">
          <cell r="C726">
            <v>2</v>
          </cell>
        </row>
        <row r="729">
          <cell r="C729">
            <v>88.35</v>
          </cell>
        </row>
        <row r="730">
          <cell r="C730">
            <v>36</v>
          </cell>
        </row>
        <row r="731">
          <cell r="C731">
            <v>0</v>
          </cell>
        </row>
        <row r="732">
          <cell r="C732">
            <v>0</v>
          </cell>
        </row>
        <row r="735">
          <cell r="C735">
            <v>13</v>
          </cell>
        </row>
        <row r="736">
          <cell r="C736">
            <v>13</v>
          </cell>
        </row>
        <row r="737">
          <cell r="C737">
            <v>1</v>
          </cell>
        </row>
        <row r="738">
          <cell r="C738">
            <v>1</v>
          </cell>
        </row>
        <row r="741">
          <cell r="C741">
            <v>3</v>
          </cell>
        </row>
        <row r="742">
          <cell r="C742">
            <v>3</v>
          </cell>
        </row>
        <row r="743">
          <cell r="C743">
            <v>2</v>
          </cell>
        </row>
        <row r="744">
          <cell r="C744">
            <v>2</v>
          </cell>
        </row>
        <row r="766">
          <cell r="C766">
            <v>6</v>
          </cell>
        </row>
        <row r="767">
          <cell r="C767">
            <v>6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2">
          <cell r="C772">
            <v>0.01</v>
          </cell>
        </row>
        <row r="774">
          <cell r="C774">
            <v>0.05</v>
          </cell>
        </row>
        <row r="776">
          <cell r="C776">
            <v>1.25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</row>
        <row r="791">
          <cell r="C791">
            <v>1</v>
          </cell>
          <cell r="D791">
            <v>1</v>
          </cell>
          <cell r="E791">
            <v>1</v>
          </cell>
        </row>
        <row r="792">
          <cell r="C792">
            <v>1</v>
          </cell>
          <cell r="D792">
            <v>1</v>
          </cell>
          <cell r="E792">
            <v>1</v>
          </cell>
        </row>
        <row r="793">
          <cell r="C793">
            <v>2</v>
          </cell>
          <cell r="D793">
            <v>2</v>
          </cell>
          <cell r="E793">
            <v>2</v>
          </cell>
        </row>
        <row r="794">
          <cell r="C794">
            <v>9.8000000000000004E-2</v>
          </cell>
          <cell r="D794">
            <v>9.35E-2</v>
          </cell>
          <cell r="E794">
            <v>9.35E-2</v>
          </cell>
        </row>
        <row r="795">
          <cell r="C795">
            <v>2</v>
          </cell>
        </row>
        <row r="796">
          <cell r="D796">
            <v>15</v>
          </cell>
          <cell r="E796">
            <v>15</v>
          </cell>
        </row>
        <row r="797">
          <cell r="C797">
            <v>2</v>
          </cell>
          <cell r="D797">
            <v>2</v>
          </cell>
          <cell r="E797">
            <v>2</v>
          </cell>
        </row>
        <row r="798">
          <cell r="C798">
            <v>0.5</v>
          </cell>
          <cell r="D798">
            <v>1</v>
          </cell>
          <cell r="E798">
            <v>2</v>
          </cell>
        </row>
        <row r="799">
          <cell r="C799">
            <v>1</v>
          </cell>
          <cell r="D799">
            <v>1</v>
          </cell>
          <cell r="E799">
            <v>2</v>
          </cell>
        </row>
        <row r="800">
          <cell r="D800">
            <v>3.25</v>
          </cell>
          <cell r="E800">
            <v>17</v>
          </cell>
        </row>
        <row r="801">
          <cell r="C801">
            <v>0</v>
          </cell>
          <cell r="D801">
            <v>0</v>
          </cell>
          <cell r="E801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1.2005671202314878</v>
          </cell>
          <cell r="J804">
            <v>10.267314798110576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7.6900450498117294</v>
          </cell>
          <cell r="Q804">
            <v>0</v>
          </cell>
          <cell r="R804">
            <v>3.1547674998187536</v>
          </cell>
          <cell r="S804">
            <v>11.604814879505101</v>
          </cell>
          <cell r="T804">
            <v>24.076269877893754</v>
          </cell>
          <cell r="U804">
            <v>59.806315469279689</v>
          </cell>
          <cell r="V804">
            <v>88.718884689345643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1.2498515190388819</v>
          </cell>
          <cell r="J805">
            <v>10.409353839872015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7.7636193828357767</v>
          </cell>
          <cell r="Q805">
            <v>0</v>
          </cell>
          <cell r="R805">
            <v>3.2123611030076757</v>
          </cell>
          <cell r="S805">
            <v>11.782101859360163</v>
          </cell>
          <cell r="T805">
            <v>24.372332002197862</v>
          </cell>
          <cell r="U805">
            <v>60.194578920546235</v>
          </cell>
          <cell r="V805">
            <v>89.143674622413656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0.12504480425594369</v>
          </cell>
          <cell r="J808">
            <v>1.2473112629227614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0.56488236089814525</v>
          </cell>
          <cell r="Q808">
            <v>0</v>
          </cell>
          <cell r="R808">
            <v>0.19778166275027853</v>
          </cell>
          <cell r="S808">
            <v>0.70208892673259027</v>
          </cell>
          <cell r="T808">
            <v>1.4138721539083412</v>
          </cell>
          <cell r="U808">
            <v>3.4684008105909996</v>
          </cell>
          <cell r="V808">
            <v>4.969185653479296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0.13017800997005172</v>
          </cell>
          <cell r="J809">
            <v>1.2645666894921699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0.57028686017882857</v>
          </cell>
          <cell r="Q809">
            <v>0</v>
          </cell>
          <cell r="R809">
            <v>0.20139237529982115</v>
          </cell>
          <cell r="S809">
            <v>0.71281475275416062</v>
          </cell>
          <cell r="T809">
            <v>1.4312583186050938</v>
          </cell>
          <cell r="U809">
            <v>3.4909177180200737</v>
          </cell>
          <cell r="V809">
            <v>4.9929783335669145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</row>
        <row r="814">
          <cell r="C814">
            <v>0</v>
          </cell>
        </row>
        <row r="815">
          <cell r="C815">
            <v>7.0000000000000007E-2</v>
          </cell>
        </row>
        <row r="816">
          <cell r="C816">
            <v>0</v>
          </cell>
        </row>
        <row r="819">
          <cell r="I819">
            <v>1</v>
          </cell>
        </row>
        <row r="847">
          <cell r="D847">
            <v>0.81</v>
          </cell>
          <cell r="E847">
            <v>0.02</v>
          </cell>
          <cell r="F847">
            <v>0.15</v>
          </cell>
          <cell r="G847">
            <v>0.02</v>
          </cell>
        </row>
        <row r="849">
          <cell r="H849">
            <v>1</v>
          </cell>
        </row>
        <row r="850">
          <cell r="D850">
            <v>0.81</v>
          </cell>
          <cell r="E850">
            <v>0.02</v>
          </cell>
          <cell r="F850">
            <v>0.15</v>
          </cell>
          <cell r="G850">
            <v>0.02</v>
          </cell>
        </row>
        <row r="858">
          <cell r="C858">
            <v>0.25900000000000001</v>
          </cell>
        </row>
        <row r="861">
          <cell r="C861">
            <v>0</v>
          </cell>
        </row>
        <row r="862">
          <cell r="C862">
            <v>1</v>
          </cell>
        </row>
        <row r="863">
          <cell r="C863">
            <v>0.15</v>
          </cell>
        </row>
        <row r="864">
          <cell r="C864">
            <v>0</v>
          </cell>
        </row>
        <row r="865">
          <cell r="C865">
            <v>0.01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4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3.0547045499133198E-3</v>
          </cell>
        </row>
        <row r="873">
          <cell r="C873">
            <v>2001</v>
          </cell>
        </row>
        <row r="874">
          <cell r="C874">
            <v>133.5</v>
          </cell>
        </row>
        <row r="875">
          <cell r="C875">
            <v>0</v>
          </cell>
          <cell r="D875">
            <v>5.9155739999999986</v>
          </cell>
          <cell r="E875">
            <v>6.9808041791317406</v>
          </cell>
          <cell r="F875">
            <v>6.1032399438761527</v>
          </cell>
          <cell r="G875">
            <v>7.2218856001718876</v>
          </cell>
          <cell r="H875">
            <v>8.4952730257516684</v>
          </cell>
          <cell r="I875">
            <v>9.1149140631954619</v>
          </cell>
          <cell r="J875">
            <v>10.631605218309863</v>
          </cell>
          <cell r="K875">
            <v>11.777847242086558</v>
          </cell>
          <cell r="L875">
            <v>15.693850223375824</v>
          </cell>
          <cell r="M875">
            <v>20.227316142840507</v>
          </cell>
          <cell r="N875">
            <v>27.339254209353374</v>
          </cell>
          <cell r="O875">
            <v>33.16302033357281</v>
          </cell>
          <cell r="P875">
            <v>35.54247224490377</v>
          </cell>
          <cell r="Q875">
            <v>43.735017198755259</v>
          </cell>
          <cell r="R875">
            <v>44.113877262081971</v>
          </cell>
          <cell r="S875">
            <v>48.712777168104537</v>
          </cell>
          <cell r="T875">
            <v>51.510655764156184</v>
          </cell>
          <cell r="U875">
            <v>42.827989938826867</v>
          </cell>
          <cell r="V875">
            <v>25.636050071640362</v>
          </cell>
          <cell r="W875">
            <v>31.33466205643635</v>
          </cell>
          <cell r="X875">
            <v>39.124055217373169</v>
          </cell>
          <cell r="Y875">
            <v>45.051563049106989</v>
          </cell>
          <cell r="Z875">
            <v>51.083828675612601</v>
          </cell>
          <cell r="AA875">
            <v>58.165870272287805</v>
          </cell>
          <cell r="AB875">
            <v>66.377791805138642</v>
          </cell>
          <cell r="AC875">
            <v>90.505660944671916</v>
          </cell>
          <cell r="AD875">
            <v>106.51321224753629</v>
          </cell>
          <cell r="AE875">
            <v>124.27900090766666</v>
          </cell>
          <cell r="AF875">
            <v>135.22894610072052</v>
          </cell>
          <cell r="AG875">
            <v>134.77388350994124</v>
          </cell>
          <cell r="AH875">
            <v>151.88245299613195</v>
          </cell>
          <cell r="AI875">
            <v>171.4477135076682</v>
          </cell>
          <cell r="AJ875">
            <v>133.3751891863273</v>
          </cell>
          <cell r="AK875">
            <v>122.21176573546916</v>
          </cell>
          <cell r="AL875">
            <v>140.8300475039492</v>
          </cell>
          <cell r="AM875">
            <v>165.10967490385943</v>
          </cell>
          <cell r="AN875">
            <v>196.03155234088413</v>
          </cell>
          <cell r="AO875">
            <v>254.37930196908545</v>
          </cell>
          <cell r="AP875">
            <v>256.46133041277739</v>
          </cell>
          <cell r="AQ875">
            <v>0</v>
          </cell>
          <cell r="AR875" t="e">
            <v>#N/A</v>
          </cell>
        </row>
        <row r="876">
          <cell r="C876">
            <v>0</v>
          </cell>
          <cell r="D876">
            <v>5.9155739999999986</v>
          </cell>
          <cell r="E876">
            <v>6.957110892755721</v>
          </cell>
          <cell r="F876">
            <v>4.4070006378188928</v>
          </cell>
          <cell r="G876">
            <v>7.7186705616905957</v>
          </cell>
          <cell r="H876">
            <v>8.7312058047808438</v>
          </cell>
          <cell r="I876">
            <v>9.1378771016967306</v>
          </cell>
          <cell r="J876">
            <v>10.664322749895486</v>
          </cell>
          <cell r="K876">
            <v>11.749401625011153</v>
          </cell>
          <cell r="L876">
            <v>15.659668228598111</v>
          </cell>
          <cell r="M876">
            <v>20.208449429983819</v>
          </cell>
          <cell r="N876">
            <v>27.338510496399991</v>
          </cell>
          <cell r="O876">
            <v>33.181481906703738</v>
          </cell>
          <cell r="P876">
            <v>35.579334894560617</v>
          </cell>
          <cell r="Q876">
            <v>43.694942430445991</v>
          </cell>
          <cell r="R876">
            <v>44.021802291960633</v>
          </cell>
          <cell r="S876">
            <v>48.638006422612492</v>
          </cell>
          <cell r="T876">
            <v>51.453964260199506</v>
          </cell>
          <cell r="U876">
            <v>42.788137740149281</v>
          </cell>
          <cell r="V876">
            <v>25.597029978329545</v>
          </cell>
          <cell r="W876">
            <v>31.166389006363428</v>
          </cell>
          <cell r="X876">
            <v>38.951854381680704</v>
          </cell>
          <cell r="Y876">
            <v>44.874635152256012</v>
          </cell>
          <cell r="Z876">
            <v>50.901731675893615</v>
          </cell>
          <cell r="AA876">
            <v>57.977260565476591</v>
          </cell>
          <cell r="AB876">
            <v>66.18168683154731</v>
          </cell>
          <cell r="AC876">
            <v>90.300981662884524</v>
          </cell>
          <cell r="AD876">
            <v>106.29877453211412</v>
          </cell>
          <cell r="AE876">
            <v>124.05350622580984</v>
          </cell>
          <cell r="AF876">
            <v>135.00357388915612</v>
          </cell>
          <cell r="AG876">
            <v>134.5325116700842</v>
          </cell>
          <cell r="AH876">
            <v>151.623774960156</v>
          </cell>
          <cell r="AI876">
            <v>171.16965690024068</v>
          </cell>
          <cell r="AJ876">
            <v>133.07548317508869</v>
          </cell>
          <cell r="AK876">
            <v>121.88793186543155</v>
          </cell>
          <cell r="AL876">
            <v>140.47939381331116</v>
          </cell>
          <cell r="AM876">
            <v>164.71651797394057</v>
          </cell>
          <cell r="AN876">
            <v>195.40996469498225</v>
          </cell>
          <cell r="AO876">
            <v>253.50699541846785</v>
          </cell>
          <cell r="AP876">
            <v>255.51971204829812</v>
          </cell>
          <cell r="AQ876">
            <v>0</v>
          </cell>
          <cell r="AR876" t="e">
            <v>#N/A</v>
          </cell>
        </row>
        <row r="883">
          <cell r="C883">
            <v>1</v>
          </cell>
        </row>
        <row r="886">
          <cell r="C886">
            <v>0.2</v>
          </cell>
        </row>
        <row r="887">
          <cell r="C887">
            <v>2011</v>
          </cell>
        </row>
        <row r="888">
          <cell r="C888">
            <v>2</v>
          </cell>
        </row>
        <row r="892">
          <cell r="C892" t="str">
            <v>Not Converged</v>
          </cell>
        </row>
      </sheetData>
      <sheetData sheetId="6" refreshError="1"/>
      <sheetData sheetId="7" refreshError="1">
        <row r="7">
          <cell r="C7">
            <v>0.83333333333333337</v>
          </cell>
        </row>
        <row r="26">
          <cell r="C26">
            <v>3.53</v>
          </cell>
          <cell r="D26">
            <v>3.5123499999999996</v>
          </cell>
          <cell r="E26">
            <v>3.5146473792625419</v>
          </cell>
          <cell r="F26">
            <v>3.5436849530526042</v>
          </cell>
          <cell r="G26">
            <v>3.5746770560727308</v>
          </cell>
          <cell r="H26">
            <v>3.6045281484085803</v>
          </cell>
          <cell r="I26">
            <v>3.641508908783214</v>
          </cell>
          <cell r="J26">
            <v>3.6851221505454945</v>
          </cell>
          <cell r="K26">
            <v>3.728708215511277</v>
          </cell>
          <cell r="L26">
            <v>3.7717723345936269</v>
          </cell>
          <cell r="M26">
            <v>3.8112913556404622</v>
          </cell>
          <cell r="N26">
            <v>3.8460928952361915</v>
          </cell>
          <cell r="O26">
            <v>3.8761992975472381</v>
          </cell>
          <cell r="P26">
            <v>3.9029134136308281</v>
          </cell>
          <cell r="Q26">
            <v>3.9268557965456892</v>
          </cell>
          <cell r="R26">
            <v>3.9499418645306159</v>
          </cell>
          <cell r="S26">
            <v>3.9723489982000748</v>
          </cell>
          <cell r="T26">
            <v>3.9942202625503507</v>
          </cell>
          <cell r="U26">
            <v>4.0159375168892568</v>
          </cell>
          <cell r="V26">
            <v>4.0370241088363832</v>
          </cell>
          <cell r="W26">
            <v>4.0579045887591247</v>
          </cell>
          <cell r="X26">
            <v>4.0786940487161738</v>
          </cell>
          <cell r="Y26">
            <v>4.0994700034911489</v>
          </cell>
          <cell r="Z26">
            <v>4.1196683775753771</v>
          </cell>
          <cell r="AA26">
            <v>4.1399662704547913</v>
          </cell>
          <cell r="AB26">
            <v>4.1603641724654228</v>
          </cell>
          <cell r="AC26">
            <v>4.1808625763592229</v>
          </cell>
          <cell r="AD26">
            <v>4.201461977315966</v>
          </cell>
          <cell r="AE26">
            <v>4.2221628729552121</v>
          </cell>
          <cell r="AF26">
            <v>4.2429657633483275</v>
          </cell>
          <cell r="AG26">
            <v>4.2638711510305649</v>
          </cell>
          <cell r="AH26">
            <v>4.2848795410132023</v>
          </cell>
          <cell r="AI26">
            <v>4.3059914407957445</v>
          </cell>
          <cell r="AJ26">
            <v>4.3272073603781811</v>
          </cell>
          <cell r="AK26">
            <v>4.3485278122733071</v>
          </cell>
          <cell r="AL26">
            <v>4.3699533115191045</v>
          </cell>
          <cell r="AM26">
            <v>4.3914843756911823</v>
          </cell>
          <cell r="AN26">
            <v>4.4131215249152813</v>
          </cell>
          <cell r="AO26">
            <v>4.434865281879838</v>
          </cell>
          <cell r="AP26">
            <v>4.4567161718486101</v>
          </cell>
          <cell r="AQ26">
            <v>4.4602466491128574</v>
          </cell>
          <cell r="AR26">
            <v>0</v>
          </cell>
        </row>
        <row r="45"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1.010535</v>
          </cell>
          <cell r="H45">
            <v>1.03203118645</v>
          </cell>
          <cell r="I45">
            <v>1.0531824083832331</v>
          </cell>
          <cell r="J45">
            <v>1.0728417754790969</v>
          </cell>
          <cell r="K45">
            <v>1.0920302608334116</v>
          </cell>
          <cell r="L45">
            <v>1.1117973692360203</v>
          </cell>
          <cell r="M45">
            <v>1.1326823497257896</v>
          </cell>
          <cell r="N45">
            <v>1.1553433658978691</v>
          </cell>
          <cell r="O45">
            <v>1.1800061971597562</v>
          </cell>
          <cell r="P45">
            <v>1.2065329348903582</v>
          </cell>
          <cell r="Q45">
            <v>1.2346926507662972</v>
          </cell>
          <cell r="R45">
            <v>1.2641419518235515</v>
          </cell>
          <cell r="S45">
            <v>1.2945903833688308</v>
          </cell>
          <cell r="T45">
            <v>1.3260178799558211</v>
          </cell>
          <cell r="U45">
            <v>1.3583666446164895</v>
          </cell>
          <cell r="V45">
            <v>1.3916821438363833</v>
          </cell>
          <cell r="W45">
            <v>1.4260017024346523</v>
          </cell>
          <cell r="X45">
            <v>1.4612600294342741</v>
          </cell>
          <cell r="Y45">
            <v>1.4974484019939638</v>
          </cell>
          <cell r="Z45">
            <v>1.5346840142469618</v>
          </cell>
          <cell r="AA45">
            <v>1.5729743804024237</v>
          </cell>
          <cell r="AB45">
            <v>1.6122200911934641</v>
          </cell>
          <cell r="AC45">
            <v>1.6524449824687411</v>
          </cell>
          <cell r="AD45">
            <v>1.6936734847813362</v>
          </cell>
          <cell r="AE45">
            <v>1.7359306382266304</v>
          </cell>
          <cell r="AF45">
            <v>1.779242107650385</v>
          </cell>
          <cell r="AG45">
            <v>1.823634198236262</v>
          </cell>
          <cell r="AH45">
            <v>1.8691338714822567</v>
          </cell>
          <cell r="AI45">
            <v>1.9157687615757393</v>
          </cell>
          <cell r="AJ45">
            <v>1.9635671921770539</v>
          </cell>
          <cell r="AK45">
            <v>2.0125581936218717</v>
          </cell>
          <cell r="AL45">
            <v>2.0627715205527375</v>
          </cell>
          <cell r="AM45">
            <v>2.1142376699905281</v>
          </cell>
          <cell r="AN45">
            <v>2.1669878998567915</v>
          </cell>
          <cell r="AO45">
            <v>2.2210542479582189</v>
          </cell>
          <cell r="AP45">
            <v>2.2764695514447766</v>
          </cell>
          <cell r="AQ45">
            <v>2.3092610104084024</v>
          </cell>
          <cell r="AR45">
            <v>0</v>
          </cell>
        </row>
        <row r="94">
          <cell r="C94">
            <v>6.6100000000000006E-2</v>
          </cell>
          <cell r="D94">
            <v>6.6100000000000006E-2</v>
          </cell>
          <cell r="E94">
            <v>6.6100000000000006E-2</v>
          </cell>
          <cell r="F94">
            <v>6.6100000000000006E-2</v>
          </cell>
          <cell r="G94">
            <v>6.7492727000000002E-2</v>
          </cell>
          <cell r="H94">
            <v>6.7492727000000002E-2</v>
          </cell>
          <cell r="I94">
            <v>6.7492727000000002E-2</v>
          </cell>
          <cell r="J94">
            <v>7.1540764178763219E-2</v>
          </cell>
          <cell r="K94">
            <v>7.1540764178763219E-2</v>
          </cell>
          <cell r="L94">
            <v>7.1540764178763219E-2</v>
          </cell>
          <cell r="M94">
            <v>7.558663072416133E-2</v>
          </cell>
          <cell r="N94">
            <v>7.558663072416133E-2</v>
          </cell>
          <cell r="O94">
            <v>7.558663072416133E-2</v>
          </cell>
          <cell r="P94">
            <v>8.0656596975522549E-2</v>
          </cell>
          <cell r="Q94">
            <v>8.0656596975522549E-2</v>
          </cell>
          <cell r="R94">
            <v>8.0656596975522549E-2</v>
          </cell>
          <cell r="S94">
            <v>8.6595054106067881E-2</v>
          </cell>
          <cell r="T94">
            <v>8.6595054106067881E-2</v>
          </cell>
          <cell r="U94">
            <v>8.6595054106067881E-2</v>
          </cell>
          <cell r="V94">
            <v>9.3108818620961653E-2</v>
          </cell>
          <cell r="W94">
            <v>9.3108818620961653E-2</v>
          </cell>
          <cell r="X94">
            <v>9.3108818620961653E-2</v>
          </cell>
          <cell r="Y94">
            <v>0.10019270929329038</v>
          </cell>
          <cell r="Z94">
            <v>0.10019270929329038</v>
          </cell>
          <cell r="AA94">
            <v>0.10019270929329038</v>
          </cell>
          <cell r="AB94">
            <v>0.10788080035673354</v>
          </cell>
          <cell r="AC94">
            <v>0.10788080035673354</v>
          </cell>
          <cell r="AD94">
            <v>0.10788080035673354</v>
          </cell>
          <cell r="AE94">
            <v>0.11615882201110196</v>
          </cell>
          <cell r="AF94">
            <v>0.11615882201110196</v>
          </cell>
          <cell r="AG94">
            <v>0.11615882201110196</v>
          </cell>
          <cell r="AH94">
            <v>0.12507204142339948</v>
          </cell>
          <cell r="AI94">
            <v>0.12507204142339948</v>
          </cell>
          <cell r="AJ94">
            <v>0.12507204142339948</v>
          </cell>
          <cell r="AK94">
            <v>0.13466919924791818</v>
          </cell>
          <cell r="AL94">
            <v>0.13466919924791818</v>
          </cell>
          <cell r="AM94">
            <v>0.13466919924791818</v>
          </cell>
          <cell r="AN94">
            <v>0.14500277615747378</v>
          </cell>
          <cell r="AO94">
            <v>0.14500277615747378</v>
          </cell>
          <cell r="AP94">
            <v>0.14500277615747378</v>
          </cell>
          <cell r="AQ94">
            <v>0.15295562629759413</v>
          </cell>
          <cell r="AR94">
            <v>0</v>
          </cell>
        </row>
      </sheetData>
      <sheetData sheetId="8" refreshError="1">
        <row r="15">
          <cell r="C15">
            <v>871526.66666666674</v>
          </cell>
          <cell r="D15">
            <v>1184000</v>
          </cell>
          <cell r="E15">
            <v>1123937</v>
          </cell>
          <cell r="F15">
            <v>1178540.48</v>
          </cell>
          <cell r="G15">
            <v>1379866</v>
          </cell>
          <cell r="H15">
            <v>1510953</v>
          </cell>
          <cell r="I15">
            <v>1645428</v>
          </cell>
          <cell r="J15">
            <v>1786935</v>
          </cell>
          <cell r="K15">
            <v>1935250</v>
          </cell>
          <cell r="L15">
            <v>2092005</v>
          </cell>
          <cell r="M15">
            <v>2230078</v>
          </cell>
          <cell r="N15">
            <v>2377263</v>
          </cell>
          <cell r="O15">
            <v>2534162</v>
          </cell>
          <cell r="P15">
            <v>2701417</v>
          </cell>
          <cell r="Q15">
            <v>2879710</v>
          </cell>
          <cell r="R15">
            <v>3055373</v>
          </cell>
          <cell r="S15">
            <v>3241750</v>
          </cell>
          <cell r="T15">
            <v>3439497</v>
          </cell>
          <cell r="U15">
            <v>3649307</v>
          </cell>
          <cell r="V15">
            <v>3871914</v>
          </cell>
          <cell r="W15">
            <v>4108099.9826531452</v>
          </cell>
          <cell r="X15">
            <v>4358693.2631961275</v>
          </cell>
          <cell r="Y15">
            <v>4624572.6839300646</v>
          </cell>
          <cell r="Z15">
            <v>4906670.696361362</v>
          </cell>
          <cell r="AA15">
            <v>5205976.6313525578</v>
          </cell>
          <cell r="AB15">
            <v>5523540.1687517138</v>
          </cell>
          <cell r="AC15">
            <v>5860475.01866851</v>
          </cell>
          <cell r="AD15">
            <v>6217962.8273074497</v>
          </cell>
          <cell r="AE15">
            <v>6597257.3210561071</v>
          </cell>
          <cell r="AF15">
            <v>6999688.7033619368</v>
          </cell>
          <cell r="AG15">
            <v>7426668.3198176892</v>
          </cell>
          <cell r="AH15">
            <v>7879693.6078161113</v>
          </cell>
          <cell r="AI15">
            <v>8360353.3481325945</v>
          </cell>
          <cell r="AJ15">
            <v>8870333.2368533183</v>
          </cell>
          <cell r="AK15">
            <v>9411421.7971899007</v>
          </cell>
          <cell r="AL15">
            <v>9985516.6519135665</v>
          </cell>
          <cell r="AM15">
            <v>10594631.17840655</v>
          </cell>
          <cell r="AN15">
            <v>11240901.569670303</v>
          </cell>
          <cell r="AO15">
            <v>11926594.326053802</v>
          </cell>
          <cell r="AP15">
            <v>12654114.203975791</v>
          </cell>
          <cell r="AQ15">
            <v>2237668.7749195816</v>
          </cell>
          <cell r="AR15">
            <v>0</v>
          </cell>
        </row>
        <row r="16">
          <cell r="C16">
            <v>873413.34936533985</v>
          </cell>
          <cell r="D16">
            <v>924119.64319999993</v>
          </cell>
          <cell r="E16">
            <v>946715</v>
          </cell>
          <cell r="F16">
            <v>1008565.44</v>
          </cell>
          <cell r="G16">
            <v>1032200</v>
          </cell>
          <cell r="H16">
            <v>1098050</v>
          </cell>
          <cell r="I16">
            <v>1168100</v>
          </cell>
          <cell r="J16">
            <v>1242650</v>
          </cell>
          <cell r="K16">
            <v>1322000</v>
          </cell>
          <cell r="L16">
            <v>1406400</v>
          </cell>
          <cell r="M16">
            <v>1490750</v>
          </cell>
          <cell r="N16">
            <v>1580300</v>
          </cell>
          <cell r="O16">
            <v>1675300</v>
          </cell>
          <cell r="P16">
            <v>1776100</v>
          </cell>
          <cell r="Q16">
            <v>1883050</v>
          </cell>
          <cell r="R16">
            <v>1996600</v>
          </cell>
          <cell r="S16">
            <v>2117050</v>
          </cell>
          <cell r="T16">
            <v>2244900</v>
          </cell>
          <cell r="U16">
            <v>2380600</v>
          </cell>
          <cell r="V16">
            <v>2524650</v>
          </cell>
          <cell r="W16">
            <v>2677416.4590859446</v>
          </cell>
          <cell r="X16">
            <v>2839426.8098090105</v>
          </cell>
          <cell r="Y16">
            <v>3011240.3996405606</v>
          </cell>
          <cell r="Z16">
            <v>3193450.4221425448</v>
          </cell>
          <cell r="AA16">
            <v>3386685.964992933</v>
          </cell>
          <cell r="AB16">
            <v>3591614.181937078</v>
          </cell>
          <cell r="AC16">
            <v>3808942.596163759</v>
          </cell>
          <cell r="AD16">
            <v>4039421.5430584033</v>
          </cell>
          <cell r="AE16">
            <v>4283846.760767201</v>
          </cell>
          <cell r="AF16">
            <v>4543062.1375161363</v>
          </cell>
          <cell r="AG16">
            <v>4817962.6251701731</v>
          </cell>
          <cell r="AH16">
            <v>5109497.3290917743</v>
          </cell>
          <cell r="AI16">
            <v>5418672.7849666253</v>
          </cell>
          <cell r="AJ16">
            <v>5746556.4339099349</v>
          </cell>
          <cell r="AK16">
            <v>6094280.3078512633</v>
          </cell>
          <cell r="AL16">
            <v>6463044.937921823</v>
          </cell>
          <cell r="AM16">
            <v>6854123.4993381212</v>
          </cell>
          <cell r="AN16">
            <v>7268866.2070923243</v>
          </cell>
          <cell r="AO16">
            <v>7708704.9776256559</v>
          </cell>
          <cell r="AP16">
            <v>8175158.3725794395</v>
          </cell>
          <cell r="AQ16">
            <v>1444972.8069487161</v>
          </cell>
          <cell r="AR16">
            <v>0</v>
          </cell>
        </row>
        <row r="88"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2</v>
          </cell>
          <cell r="P88">
            <v>2</v>
          </cell>
          <cell r="Q88">
            <v>2</v>
          </cell>
          <cell r="R88">
            <v>2</v>
          </cell>
          <cell r="S88">
            <v>2</v>
          </cell>
          <cell r="T88">
            <v>2</v>
          </cell>
          <cell r="U88">
            <v>2</v>
          </cell>
          <cell r="V88">
            <v>2</v>
          </cell>
          <cell r="W88">
            <v>2</v>
          </cell>
          <cell r="X88">
            <v>2</v>
          </cell>
          <cell r="Y88">
            <v>2</v>
          </cell>
          <cell r="Z88">
            <v>2</v>
          </cell>
          <cell r="AA88">
            <v>2</v>
          </cell>
          <cell r="AB88">
            <v>2</v>
          </cell>
          <cell r="AC88">
            <v>2</v>
          </cell>
          <cell r="AD88">
            <v>2</v>
          </cell>
          <cell r="AE88">
            <v>2</v>
          </cell>
          <cell r="AF88">
            <v>2</v>
          </cell>
          <cell r="AG88">
            <v>2</v>
          </cell>
          <cell r="AH88">
            <v>2</v>
          </cell>
          <cell r="AI88">
            <v>2</v>
          </cell>
          <cell r="AJ88">
            <v>2</v>
          </cell>
          <cell r="AK88">
            <v>2</v>
          </cell>
          <cell r="AL88">
            <v>2</v>
          </cell>
          <cell r="AM88">
            <v>2</v>
          </cell>
          <cell r="AN88">
            <v>2</v>
          </cell>
          <cell r="AO88">
            <v>2</v>
          </cell>
          <cell r="AP88">
            <v>2</v>
          </cell>
          <cell r="AQ88">
            <v>2</v>
          </cell>
          <cell r="AR88">
            <v>2</v>
          </cell>
        </row>
        <row r="89">
          <cell r="C89">
            <v>6</v>
          </cell>
          <cell r="D89">
            <v>8</v>
          </cell>
          <cell r="E89">
            <v>8</v>
          </cell>
          <cell r="F89">
            <v>8</v>
          </cell>
          <cell r="G89">
            <v>8</v>
          </cell>
          <cell r="H89">
            <v>8</v>
          </cell>
          <cell r="I89">
            <v>8</v>
          </cell>
          <cell r="J89">
            <v>8</v>
          </cell>
          <cell r="K89">
            <v>8</v>
          </cell>
          <cell r="L89">
            <v>8</v>
          </cell>
          <cell r="M89">
            <v>8</v>
          </cell>
          <cell r="N89">
            <v>8</v>
          </cell>
          <cell r="O89">
            <v>8</v>
          </cell>
          <cell r="P89">
            <v>8</v>
          </cell>
          <cell r="Q89">
            <v>8</v>
          </cell>
          <cell r="R89">
            <v>8</v>
          </cell>
          <cell r="S89">
            <v>8</v>
          </cell>
          <cell r="T89">
            <v>8</v>
          </cell>
          <cell r="U89">
            <v>8</v>
          </cell>
          <cell r="V89">
            <v>8</v>
          </cell>
          <cell r="W89">
            <v>8</v>
          </cell>
          <cell r="X89">
            <v>8</v>
          </cell>
          <cell r="Y89">
            <v>8</v>
          </cell>
          <cell r="Z89">
            <v>8</v>
          </cell>
          <cell r="AA89">
            <v>8</v>
          </cell>
          <cell r="AB89">
            <v>8</v>
          </cell>
          <cell r="AC89">
            <v>8</v>
          </cell>
          <cell r="AD89">
            <v>8</v>
          </cell>
          <cell r="AE89">
            <v>8</v>
          </cell>
          <cell r="AF89">
            <v>8</v>
          </cell>
          <cell r="AG89">
            <v>8</v>
          </cell>
          <cell r="AH89">
            <v>8</v>
          </cell>
          <cell r="AI89">
            <v>8</v>
          </cell>
          <cell r="AJ89">
            <v>8</v>
          </cell>
          <cell r="AK89">
            <v>8</v>
          </cell>
          <cell r="AL89">
            <v>8</v>
          </cell>
          <cell r="AM89">
            <v>8</v>
          </cell>
          <cell r="AN89">
            <v>8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</row>
        <row r="91">
          <cell r="C91">
            <v>15</v>
          </cell>
          <cell r="D91">
            <v>26</v>
          </cell>
          <cell r="E91">
            <v>26</v>
          </cell>
          <cell r="F91">
            <v>26</v>
          </cell>
          <cell r="G91">
            <v>26</v>
          </cell>
          <cell r="H91">
            <v>26</v>
          </cell>
          <cell r="I91">
            <v>26</v>
          </cell>
          <cell r="J91">
            <v>26</v>
          </cell>
          <cell r="K91">
            <v>26</v>
          </cell>
          <cell r="L91">
            <v>26</v>
          </cell>
          <cell r="M91">
            <v>26</v>
          </cell>
          <cell r="N91">
            <v>26</v>
          </cell>
          <cell r="O91">
            <v>26</v>
          </cell>
          <cell r="P91">
            <v>26</v>
          </cell>
          <cell r="Q91">
            <v>26</v>
          </cell>
          <cell r="R91">
            <v>26</v>
          </cell>
          <cell r="S91">
            <v>26</v>
          </cell>
          <cell r="T91">
            <v>26</v>
          </cell>
          <cell r="U91">
            <v>26</v>
          </cell>
          <cell r="V91">
            <v>26</v>
          </cell>
          <cell r="W91">
            <v>26</v>
          </cell>
          <cell r="X91">
            <v>26</v>
          </cell>
          <cell r="Y91">
            <v>26</v>
          </cell>
          <cell r="Z91">
            <v>26</v>
          </cell>
          <cell r="AA91">
            <v>26</v>
          </cell>
          <cell r="AB91">
            <v>26</v>
          </cell>
          <cell r="AC91">
            <v>26</v>
          </cell>
          <cell r="AD91">
            <v>26</v>
          </cell>
          <cell r="AE91">
            <v>26</v>
          </cell>
          <cell r="AF91">
            <v>26</v>
          </cell>
          <cell r="AG91">
            <v>26</v>
          </cell>
          <cell r="AH91">
            <v>26</v>
          </cell>
          <cell r="AI91">
            <v>26</v>
          </cell>
          <cell r="AJ91">
            <v>26</v>
          </cell>
          <cell r="AK91">
            <v>26</v>
          </cell>
          <cell r="AL91">
            <v>26</v>
          </cell>
          <cell r="AM91">
            <v>26</v>
          </cell>
          <cell r="AN91">
            <v>26</v>
          </cell>
          <cell r="AO91">
            <v>26</v>
          </cell>
          <cell r="AP91">
            <v>26</v>
          </cell>
          <cell r="AQ91">
            <v>26</v>
          </cell>
          <cell r="AR91">
            <v>26</v>
          </cell>
        </row>
        <row r="92">
          <cell r="C92">
            <v>39</v>
          </cell>
          <cell r="D92">
            <v>80</v>
          </cell>
          <cell r="E92">
            <v>80</v>
          </cell>
          <cell r="F92">
            <v>80</v>
          </cell>
          <cell r="G92">
            <v>81.893455787919081</v>
          </cell>
          <cell r="H92">
            <v>83.238981865755164</v>
          </cell>
          <cell r="I92">
            <v>84.550784588081939</v>
          </cell>
          <cell r="J92">
            <v>85.855357266881143</v>
          </cell>
          <cell r="K92">
            <v>87.150962886322517</v>
          </cell>
          <cell r="L92">
            <v>88.446185282535069</v>
          </cell>
          <cell r="M92">
            <v>89.572524039272906</v>
          </cell>
          <cell r="N92">
            <v>90.714001983835985</v>
          </cell>
          <cell r="O92">
            <v>91.870479994775764</v>
          </cell>
          <cell r="P92">
            <v>93.042218009099116</v>
          </cell>
          <cell r="Q92">
            <v>94.229378464796184</v>
          </cell>
          <cell r="R92">
            <v>95.373978246359044</v>
          </cell>
          <cell r="S92">
            <v>96.532672963750358</v>
          </cell>
          <cell r="T92">
            <v>97.705908974518152</v>
          </cell>
          <cell r="U92">
            <v>98.893833605726172</v>
          </cell>
          <cell r="V92">
            <v>100.0966634678181</v>
          </cell>
          <cell r="W92">
            <v>101.3141242232923</v>
          </cell>
          <cell r="X92">
            <v>102.54639385118188</v>
          </cell>
          <cell r="Y92">
            <v>103.79365249571921</v>
          </cell>
          <cell r="Z92">
            <v>105.05608249267851</v>
          </cell>
          <cell r="AA92">
            <v>106.33386839603887</v>
          </cell>
          <cell r="AB92">
            <v>107.62719700497165</v>
          </cell>
          <cell r="AC92">
            <v>108.93625739115645</v>
          </cell>
          <cell r="AD92">
            <v>110.26124092642917</v>
          </cell>
          <cell r="AE92">
            <v>111.60234131076668</v>
          </cell>
          <cell r="AF92">
            <v>112.9597546006118</v>
          </cell>
          <cell r="AG92">
            <v>114.33367923754317</v>
          </cell>
          <cell r="AH92">
            <v>115.72431607729366</v>
          </cell>
          <cell r="AI92">
            <v>117.13186841912213</v>
          </cell>
          <cell r="AJ92">
            <v>118.55654203554226</v>
          </cell>
          <cell r="AK92">
            <v>119.99854520241344</v>
          </cell>
          <cell r="AL92">
            <v>121.45808872939752</v>
          </cell>
          <cell r="AM92">
            <v>122.93538599078626</v>
          </cell>
          <cell r="AN92">
            <v>124.43065295670387</v>
          </cell>
          <cell r="AO92">
            <v>125.94410822468909</v>
          </cell>
          <cell r="AP92">
            <v>127.47597305166173</v>
          </cell>
          <cell r="AQ92">
            <v>127.72807458877249</v>
          </cell>
          <cell r="AR92">
            <v>104.79563229488396</v>
          </cell>
        </row>
        <row r="93">
          <cell r="C93">
            <v>25</v>
          </cell>
          <cell r="D93">
            <v>25</v>
          </cell>
          <cell r="E93">
            <v>25</v>
          </cell>
          <cell r="F93">
            <v>25</v>
          </cell>
          <cell r="G93">
            <v>25</v>
          </cell>
          <cell r="H93">
            <v>25.089658071199171</v>
          </cell>
          <cell r="I93">
            <v>25.158828189658731</v>
          </cell>
          <cell r="J93">
            <v>25.209579117030852</v>
          </cell>
          <cell r="K93">
            <v>25.209579117030852</v>
          </cell>
          <cell r="L93">
            <v>25.356098381962056</v>
          </cell>
          <cell r="M93">
            <v>25.356098381962056</v>
          </cell>
          <cell r="N93">
            <v>25.356098381962056</v>
          </cell>
          <cell r="O93">
            <v>25.356098381962056</v>
          </cell>
          <cell r="P93">
            <v>25.356098381962056</v>
          </cell>
          <cell r="Q93">
            <v>25.440939330395548</v>
          </cell>
          <cell r="R93">
            <v>25.598493392277863</v>
          </cell>
          <cell r="S93">
            <v>25.598493392277863</v>
          </cell>
          <cell r="T93">
            <v>25.598493392277863</v>
          </cell>
          <cell r="U93">
            <v>25.598493392277863</v>
          </cell>
          <cell r="V93">
            <v>25.735264025207577</v>
          </cell>
          <cell r="W93">
            <v>25.735264025207577</v>
          </cell>
          <cell r="X93">
            <v>25.735264025207577</v>
          </cell>
          <cell r="Y93">
            <v>25.735264025207577</v>
          </cell>
          <cell r="Z93">
            <v>25.735264025207577</v>
          </cell>
          <cell r="AA93">
            <v>25.864012116389517</v>
          </cell>
          <cell r="AB93">
            <v>25.864012116389517</v>
          </cell>
          <cell r="AC93">
            <v>25.864012116389517</v>
          </cell>
          <cell r="AD93">
            <v>25.864012116389517</v>
          </cell>
          <cell r="AE93">
            <v>25.864012116389517</v>
          </cell>
          <cell r="AF93">
            <v>25.864012116389517</v>
          </cell>
          <cell r="AG93">
            <v>25.864012116389517</v>
          </cell>
          <cell r="AH93">
            <v>25.864012116389517</v>
          </cell>
          <cell r="AI93">
            <v>25.864012116389517</v>
          </cell>
          <cell r="AJ93">
            <v>25.864012116389517</v>
          </cell>
          <cell r="AK93">
            <v>25.864012116389517</v>
          </cell>
          <cell r="AL93">
            <v>25.864012116389517</v>
          </cell>
          <cell r="AM93">
            <v>25.864012116389517</v>
          </cell>
          <cell r="AN93">
            <v>25.864012116389517</v>
          </cell>
          <cell r="AO93">
            <v>25.864012116389517</v>
          </cell>
          <cell r="AP93">
            <v>25.864012116389517</v>
          </cell>
          <cell r="AQ93">
            <v>26.678340937214099</v>
          </cell>
          <cell r="AR93">
            <v>25.065590066663628</v>
          </cell>
        </row>
        <row r="94">
          <cell r="C94">
            <v>95</v>
          </cell>
          <cell r="D94">
            <v>98</v>
          </cell>
          <cell r="E94">
            <v>98</v>
          </cell>
          <cell r="F94">
            <v>98</v>
          </cell>
          <cell r="G94">
            <v>98</v>
          </cell>
          <cell r="H94">
            <v>98.421751566920889</v>
          </cell>
          <cell r="I94">
            <v>98.747360351013299</v>
          </cell>
          <cell r="J94">
            <v>98.986394700733413</v>
          </cell>
          <cell r="K94">
            <v>98.986394700733413</v>
          </cell>
          <cell r="L94">
            <v>99.676771024229112</v>
          </cell>
          <cell r="M94">
            <v>99.676771024229112</v>
          </cell>
          <cell r="N94">
            <v>99.676771024229112</v>
          </cell>
          <cell r="O94">
            <v>99.676771024229112</v>
          </cell>
          <cell r="P94">
            <v>99.676771024229112</v>
          </cell>
          <cell r="Q94">
            <v>100.07699056888111</v>
          </cell>
          <cell r="R94">
            <v>100.8207148234135</v>
          </cell>
          <cell r="S94">
            <v>100.8207148234135</v>
          </cell>
          <cell r="T94">
            <v>100.8207148234135</v>
          </cell>
          <cell r="U94">
            <v>100.8207148234135</v>
          </cell>
          <cell r="V94">
            <v>101.4671269118523</v>
          </cell>
          <cell r="W94">
            <v>101.4671269118523</v>
          </cell>
          <cell r="X94">
            <v>101.4671269118523</v>
          </cell>
          <cell r="Y94">
            <v>101.4671269118523</v>
          </cell>
          <cell r="Z94">
            <v>101.4671269118523</v>
          </cell>
          <cell r="AA94">
            <v>102.07626924176139</v>
          </cell>
          <cell r="AB94">
            <v>102.07626924176139</v>
          </cell>
          <cell r="AC94">
            <v>102.07626924176139</v>
          </cell>
          <cell r="AD94">
            <v>102.07626924176139</v>
          </cell>
          <cell r="AE94">
            <v>102.07626924176139</v>
          </cell>
          <cell r="AF94">
            <v>102.07626924176139</v>
          </cell>
          <cell r="AG94">
            <v>102.07626924176139</v>
          </cell>
          <cell r="AH94">
            <v>102.07626924176139</v>
          </cell>
          <cell r="AI94">
            <v>102.07626924176139</v>
          </cell>
          <cell r="AJ94">
            <v>102.07626924176139</v>
          </cell>
          <cell r="AK94">
            <v>102.07626924176139</v>
          </cell>
          <cell r="AL94">
            <v>102.07626924176139</v>
          </cell>
          <cell r="AM94">
            <v>102.07626924176139</v>
          </cell>
          <cell r="AN94">
            <v>102.07626924176139</v>
          </cell>
          <cell r="AO94">
            <v>102.07626924176139</v>
          </cell>
          <cell r="AP94">
            <v>102.07626924176139</v>
          </cell>
          <cell r="AQ94">
            <v>105.93291673752135</v>
          </cell>
          <cell r="AR94">
            <v>98.248327770443154</v>
          </cell>
        </row>
        <row r="97">
          <cell r="C97">
            <v>0</v>
          </cell>
          <cell r="D97">
            <v>133</v>
          </cell>
          <cell r="E97">
            <v>133</v>
          </cell>
          <cell r="F97">
            <v>133</v>
          </cell>
          <cell r="G97">
            <v>133</v>
          </cell>
          <cell r="H97">
            <v>133.57237712653549</v>
          </cell>
          <cell r="I97">
            <v>134.01427476208946</v>
          </cell>
          <cell r="J97">
            <v>134.33867852242389</v>
          </cell>
          <cell r="K97">
            <v>134.33867852242389</v>
          </cell>
          <cell r="L97">
            <v>135.27561781859663</v>
          </cell>
          <cell r="M97">
            <v>135.27561781859663</v>
          </cell>
          <cell r="N97">
            <v>135.27561781859663</v>
          </cell>
          <cell r="O97">
            <v>135.27561781859663</v>
          </cell>
          <cell r="P97">
            <v>135.27561781859663</v>
          </cell>
          <cell r="Q97">
            <v>135.81877291491006</v>
          </cell>
          <cell r="R97">
            <v>136.82811297463257</v>
          </cell>
          <cell r="S97">
            <v>136.82811297463257</v>
          </cell>
          <cell r="T97">
            <v>136.82811297463257</v>
          </cell>
          <cell r="U97">
            <v>136.82811297463257</v>
          </cell>
          <cell r="V97">
            <v>137.7053865232281</v>
          </cell>
          <cell r="W97">
            <v>137.7053865232281</v>
          </cell>
          <cell r="X97">
            <v>137.7053865232281</v>
          </cell>
          <cell r="Y97">
            <v>137.7053865232281</v>
          </cell>
          <cell r="Z97">
            <v>137.7053865232281</v>
          </cell>
          <cell r="AA97">
            <v>138.5320796852476</v>
          </cell>
          <cell r="AB97">
            <v>138.5320796852476</v>
          </cell>
          <cell r="AC97">
            <v>138.5320796852476</v>
          </cell>
          <cell r="AD97">
            <v>138.5320796852476</v>
          </cell>
          <cell r="AE97">
            <v>138.5320796852476</v>
          </cell>
          <cell r="AF97">
            <v>138.5320796852476</v>
          </cell>
          <cell r="AG97">
            <v>138.5320796852476</v>
          </cell>
          <cell r="AH97">
            <v>138.5320796852476</v>
          </cell>
          <cell r="AI97">
            <v>138.5320796852476</v>
          </cell>
          <cell r="AJ97">
            <v>138.5320796852476</v>
          </cell>
          <cell r="AK97">
            <v>138.5320796852476</v>
          </cell>
          <cell r="AL97">
            <v>138.5320796852476</v>
          </cell>
          <cell r="AM97">
            <v>138.5320796852476</v>
          </cell>
          <cell r="AN97">
            <v>138.5320796852476</v>
          </cell>
          <cell r="AO97">
            <v>138.5320796852476</v>
          </cell>
          <cell r="AP97">
            <v>138.5320796852476</v>
          </cell>
          <cell r="AQ97">
            <v>143.76610128663611</v>
          </cell>
          <cell r="AR97">
            <v>133.33701625988715</v>
          </cell>
        </row>
        <row r="98">
          <cell r="C98">
            <v>0</v>
          </cell>
          <cell r="D98">
            <v>7</v>
          </cell>
          <cell r="E98">
            <v>7</v>
          </cell>
          <cell r="F98">
            <v>7</v>
          </cell>
          <cell r="G98">
            <v>7</v>
          </cell>
          <cell r="H98">
            <v>7.0301251119229207</v>
          </cell>
          <cell r="I98">
            <v>7.053382882215236</v>
          </cell>
          <cell r="J98">
            <v>7.0704567643381013</v>
          </cell>
          <cell r="K98">
            <v>7.0704567643381013</v>
          </cell>
          <cell r="L98">
            <v>7.1197693588735085</v>
          </cell>
          <cell r="M98">
            <v>7.1197693588735085</v>
          </cell>
          <cell r="N98">
            <v>7.1197693588735085</v>
          </cell>
          <cell r="O98">
            <v>7.1197693588735085</v>
          </cell>
          <cell r="P98">
            <v>7.1197693588735085</v>
          </cell>
          <cell r="Q98">
            <v>7.1483564692057948</v>
          </cell>
          <cell r="R98">
            <v>7.2014796302438224</v>
          </cell>
          <cell r="S98">
            <v>7.2014796302438224</v>
          </cell>
          <cell r="T98">
            <v>7.2014796302438224</v>
          </cell>
          <cell r="U98">
            <v>7.2014796302438224</v>
          </cell>
          <cell r="V98">
            <v>7.2476519222751659</v>
          </cell>
          <cell r="W98">
            <v>7.2476519222751659</v>
          </cell>
          <cell r="X98">
            <v>7.2476519222751659</v>
          </cell>
          <cell r="Y98">
            <v>7.2476519222751659</v>
          </cell>
          <cell r="Z98">
            <v>7.2476519222751659</v>
          </cell>
          <cell r="AA98">
            <v>7.2911620886972441</v>
          </cell>
          <cell r="AB98">
            <v>7.2911620886972441</v>
          </cell>
          <cell r="AC98">
            <v>7.2911620886972441</v>
          </cell>
          <cell r="AD98">
            <v>7.2911620886972441</v>
          </cell>
          <cell r="AE98">
            <v>7.2911620886972441</v>
          </cell>
          <cell r="AF98">
            <v>7.2911620886972441</v>
          </cell>
          <cell r="AG98">
            <v>7.2911620886972441</v>
          </cell>
          <cell r="AH98">
            <v>7.2911620886972441</v>
          </cell>
          <cell r="AI98">
            <v>7.2911620886972441</v>
          </cell>
          <cell r="AJ98">
            <v>7.2911620886972441</v>
          </cell>
          <cell r="AK98">
            <v>7.2911620886972441</v>
          </cell>
          <cell r="AL98">
            <v>7.2911620886972441</v>
          </cell>
          <cell r="AM98">
            <v>7.2911620886972441</v>
          </cell>
          <cell r="AN98">
            <v>7.2911620886972441</v>
          </cell>
          <cell r="AO98">
            <v>7.2911620886972441</v>
          </cell>
          <cell r="AP98">
            <v>7.2911620886972441</v>
          </cell>
          <cell r="AQ98">
            <v>7.5666369098229556</v>
          </cell>
          <cell r="AR98">
            <v>7.0177376978887986</v>
          </cell>
        </row>
        <row r="99">
          <cell r="C99">
            <v>0</v>
          </cell>
          <cell r="D99">
            <v>13</v>
          </cell>
          <cell r="E99">
            <v>13</v>
          </cell>
          <cell r="F99">
            <v>13</v>
          </cell>
          <cell r="G99">
            <v>13</v>
          </cell>
          <cell r="H99">
            <v>13.055946636428281</v>
          </cell>
          <cell r="I99">
            <v>13.099139638399723</v>
          </cell>
          <cell r="J99">
            <v>13.130848276627901</v>
          </cell>
          <cell r="K99">
            <v>13.130848276627901</v>
          </cell>
          <cell r="L99">
            <v>13.222428809336515</v>
          </cell>
          <cell r="M99">
            <v>13.222428809336515</v>
          </cell>
          <cell r="N99">
            <v>13.222428809336515</v>
          </cell>
          <cell r="O99">
            <v>13.222428809336515</v>
          </cell>
          <cell r="P99">
            <v>13.222428809336515</v>
          </cell>
          <cell r="Q99">
            <v>13.275519157096475</v>
          </cell>
          <cell r="R99">
            <v>13.374176456167097</v>
          </cell>
          <cell r="S99">
            <v>13.374176456167097</v>
          </cell>
          <cell r="T99">
            <v>13.374176456167097</v>
          </cell>
          <cell r="U99">
            <v>13.374176456167097</v>
          </cell>
          <cell r="V99">
            <v>13.459924998511021</v>
          </cell>
          <cell r="W99">
            <v>13.459924998511021</v>
          </cell>
          <cell r="X99">
            <v>13.459924998511021</v>
          </cell>
          <cell r="Y99">
            <v>13.459924998511021</v>
          </cell>
          <cell r="Z99">
            <v>13.459924998511021</v>
          </cell>
          <cell r="AA99">
            <v>13.540729593294881</v>
          </cell>
          <cell r="AB99">
            <v>13.540729593294881</v>
          </cell>
          <cell r="AC99">
            <v>13.540729593294881</v>
          </cell>
          <cell r="AD99">
            <v>13.540729593294881</v>
          </cell>
          <cell r="AE99">
            <v>13.540729593294881</v>
          </cell>
          <cell r="AF99">
            <v>13.540729593294881</v>
          </cell>
          <cell r="AG99">
            <v>13.540729593294881</v>
          </cell>
          <cell r="AH99">
            <v>13.540729593294881</v>
          </cell>
          <cell r="AI99">
            <v>13.540729593294881</v>
          </cell>
          <cell r="AJ99">
            <v>13.540729593294881</v>
          </cell>
          <cell r="AK99">
            <v>13.540729593294881</v>
          </cell>
          <cell r="AL99">
            <v>13.540729593294881</v>
          </cell>
          <cell r="AM99">
            <v>13.540729593294881</v>
          </cell>
          <cell r="AN99">
            <v>13.540729593294881</v>
          </cell>
          <cell r="AO99">
            <v>13.540729593294881</v>
          </cell>
          <cell r="AP99">
            <v>13.540729593294881</v>
          </cell>
          <cell r="AQ99">
            <v>14.052325689671202</v>
          </cell>
          <cell r="AR99">
            <v>13.032941438936339</v>
          </cell>
        </row>
        <row r="100">
          <cell r="C100">
            <v>0</v>
          </cell>
          <cell r="D100">
            <v>17</v>
          </cell>
          <cell r="E100">
            <v>17</v>
          </cell>
          <cell r="F100">
            <v>17</v>
          </cell>
          <cell r="G100">
            <v>17</v>
          </cell>
          <cell r="H100">
            <v>17.073160986098522</v>
          </cell>
          <cell r="I100">
            <v>17.129644142522714</v>
          </cell>
          <cell r="J100">
            <v>17.171109284821103</v>
          </cell>
          <cell r="K100">
            <v>17.171109284821103</v>
          </cell>
          <cell r="L100">
            <v>17.290868442978521</v>
          </cell>
          <cell r="M100">
            <v>17.290868442978521</v>
          </cell>
          <cell r="N100">
            <v>17.290868442978521</v>
          </cell>
          <cell r="O100">
            <v>17.290868442978521</v>
          </cell>
          <cell r="P100">
            <v>17.290868442978521</v>
          </cell>
          <cell r="Q100">
            <v>17.360294282356929</v>
          </cell>
          <cell r="R100">
            <v>17.489307673449282</v>
          </cell>
          <cell r="S100">
            <v>17.489307673449282</v>
          </cell>
          <cell r="T100">
            <v>17.489307673449282</v>
          </cell>
          <cell r="U100">
            <v>17.489307673449282</v>
          </cell>
          <cell r="V100">
            <v>17.601440382668258</v>
          </cell>
          <cell r="W100">
            <v>17.601440382668258</v>
          </cell>
          <cell r="X100">
            <v>17.601440382668258</v>
          </cell>
          <cell r="Y100">
            <v>17.601440382668258</v>
          </cell>
          <cell r="Z100">
            <v>17.601440382668258</v>
          </cell>
          <cell r="AA100">
            <v>17.707107929693304</v>
          </cell>
          <cell r="AB100">
            <v>17.707107929693304</v>
          </cell>
          <cell r="AC100">
            <v>17.707107929693304</v>
          </cell>
          <cell r="AD100">
            <v>17.707107929693304</v>
          </cell>
          <cell r="AE100">
            <v>17.707107929693304</v>
          </cell>
          <cell r="AF100">
            <v>17.707107929693304</v>
          </cell>
          <cell r="AG100">
            <v>17.707107929693304</v>
          </cell>
          <cell r="AH100">
            <v>17.707107929693304</v>
          </cell>
          <cell r="AI100">
            <v>17.707107929693304</v>
          </cell>
          <cell r="AJ100">
            <v>17.707107929693304</v>
          </cell>
          <cell r="AK100">
            <v>17.707107929693304</v>
          </cell>
          <cell r="AL100">
            <v>17.707107929693304</v>
          </cell>
          <cell r="AM100">
            <v>17.707107929693304</v>
          </cell>
          <cell r="AN100">
            <v>17.707107929693304</v>
          </cell>
          <cell r="AO100">
            <v>17.707107929693304</v>
          </cell>
          <cell r="AP100">
            <v>17.707107929693304</v>
          </cell>
          <cell r="AQ100">
            <v>18.376118209570034</v>
          </cell>
          <cell r="AR100">
            <v>17.043077266301367</v>
          </cell>
        </row>
        <row r="101">
          <cell r="C101">
            <v>0</v>
          </cell>
          <cell r="D101">
            <v>128</v>
          </cell>
          <cell r="E101">
            <v>128</v>
          </cell>
          <cell r="F101">
            <v>128</v>
          </cell>
          <cell r="G101">
            <v>128</v>
          </cell>
          <cell r="H101">
            <v>128.55085918944769</v>
          </cell>
          <cell r="I101">
            <v>128.97614413193574</v>
          </cell>
          <cell r="J101">
            <v>129.28835226218243</v>
          </cell>
          <cell r="K101">
            <v>129.28835226218243</v>
          </cell>
          <cell r="L101">
            <v>130.19006827654417</v>
          </cell>
          <cell r="M101">
            <v>130.19006827654417</v>
          </cell>
          <cell r="N101">
            <v>130.19006827654417</v>
          </cell>
          <cell r="O101">
            <v>130.19006827654417</v>
          </cell>
          <cell r="P101">
            <v>130.19006827654417</v>
          </cell>
          <cell r="Q101">
            <v>130.71280400833453</v>
          </cell>
          <cell r="R101">
            <v>131.68419895302989</v>
          </cell>
          <cell r="S101">
            <v>131.68419895302989</v>
          </cell>
          <cell r="T101">
            <v>131.68419895302989</v>
          </cell>
          <cell r="U101">
            <v>131.68419895302989</v>
          </cell>
          <cell r="V101">
            <v>132.5284922930316</v>
          </cell>
          <cell r="W101">
            <v>132.5284922930316</v>
          </cell>
          <cell r="X101">
            <v>132.5284922930316</v>
          </cell>
          <cell r="Y101">
            <v>132.5284922930316</v>
          </cell>
          <cell r="Z101">
            <v>132.5284922930316</v>
          </cell>
          <cell r="AA101">
            <v>133.32410676474962</v>
          </cell>
          <cell r="AB101">
            <v>133.32410676474962</v>
          </cell>
          <cell r="AC101">
            <v>133.32410676474962</v>
          </cell>
          <cell r="AD101">
            <v>133.32410676474962</v>
          </cell>
          <cell r="AE101">
            <v>133.32410676474962</v>
          </cell>
          <cell r="AF101">
            <v>133.32410676474962</v>
          </cell>
          <cell r="AG101">
            <v>133.32410676474962</v>
          </cell>
          <cell r="AH101">
            <v>133.32410676474962</v>
          </cell>
          <cell r="AI101">
            <v>133.32410676474962</v>
          </cell>
          <cell r="AJ101">
            <v>133.32410676474962</v>
          </cell>
          <cell r="AK101">
            <v>133.32410676474962</v>
          </cell>
          <cell r="AL101">
            <v>133.32410676474962</v>
          </cell>
          <cell r="AM101">
            <v>133.32410676474962</v>
          </cell>
          <cell r="AN101">
            <v>133.32410676474962</v>
          </cell>
          <cell r="AO101">
            <v>133.32410676474962</v>
          </cell>
          <cell r="AP101">
            <v>133.32410676474962</v>
          </cell>
          <cell r="AQ101">
            <v>138.36136063676264</v>
          </cell>
          <cell r="AR101">
            <v>128.32434647568093</v>
          </cell>
        </row>
        <row r="102">
          <cell r="C102">
            <v>0</v>
          </cell>
          <cell r="D102">
            <v>121</v>
          </cell>
          <cell r="E102">
            <v>121</v>
          </cell>
          <cell r="F102">
            <v>121</v>
          </cell>
          <cell r="G102">
            <v>121</v>
          </cell>
          <cell r="H102">
            <v>121.52073407752476</v>
          </cell>
          <cell r="I102">
            <v>121.92276124972049</v>
          </cell>
          <cell r="J102">
            <v>122.21789549784431</v>
          </cell>
          <cell r="K102">
            <v>122.21789549784431</v>
          </cell>
          <cell r="L102">
            <v>123.07029891767063</v>
          </cell>
          <cell r="M102">
            <v>123.07029891767063</v>
          </cell>
          <cell r="N102">
            <v>123.07029891767063</v>
          </cell>
          <cell r="O102">
            <v>123.07029891767063</v>
          </cell>
          <cell r="P102">
            <v>123.07029891767063</v>
          </cell>
          <cell r="Q102">
            <v>123.56444753912871</v>
          </cell>
          <cell r="R102">
            <v>124.48271932278604</v>
          </cell>
          <cell r="S102">
            <v>124.48271932278604</v>
          </cell>
          <cell r="T102">
            <v>124.48271932278604</v>
          </cell>
          <cell r="U102">
            <v>124.48271932278604</v>
          </cell>
          <cell r="V102">
            <v>125.28084037075641</v>
          </cell>
          <cell r="W102">
            <v>125.28084037075641</v>
          </cell>
          <cell r="X102">
            <v>125.28084037075641</v>
          </cell>
          <cell r="Y102">
            <v>125.28084037075641</v>
          </cell>
          <cell r="Z102">
            <v>125.28084037075641</v>
          </cell>
          <cell r="AA102">
            <v>126.03294467605234</v>
          </cell>
          <cell r="AB102">
            <v>126.03294467605234</v>
          </cell>
          <cell r="AC102">
            <v>126.03294467605234</v>
          </cell>
          <cell r="AD102">
            <v>126.03294467605234</v>
          </cell>
          <cell r="AE102">
            <v>126.03294467605234</v>
          </cell>
          <cell r="AF102">
            <v>126.03294467605234</v>
          </cell>
          <cell r="AG102">
            <v>126.03294467605234</v>
          </cell>
          <cell r="AH102">
            <v>126.03294467605234</v>
          </cell>
          <cell r="AI102">
            <v>126.03294467605234</v>
          </cell>
          <cell r="AJ102">
            <v>126.03294467605234</v>
          </cell>
          <cell r="AK102">
            <v>126.03294467605234</v>
          </cell>
          <cell r="AL102">
            <v>126.03294467605234</v>
          </cell>
          <cell r="AM102">
            <v>126.03294467605234</v>
          </cell>
          <cell r="AN102">
            <v>126.03294467605234</v>
          </cell>
          <cell r="AO102">
            <v>126.03294467605234</v>
          </cell>
          <cell r="AP102">
            <v>126.03294467605234</v>
          </cell>
          <cell r="AQ102">
            <v>130.79472372693965</v>
          </cell>
          <cell r="AR102">
            <v>121.30660877779208</v>
          </cell>
        </row>
        <row r="103">
          <cell r="C103">
            <v>0</v>
          </cell>
          <cell r="D103">
            <v>24</v>
          </cell>
          <cell r="E103">
            <v>24</v>
          </cell>
          <cell r="F103">
            <v>24</v>
          </cell>
          <cell r="G103">
            <v>24</v>
          </cell>
          <cell r="H103">
            <v>24.103286098021442</v>
          </cell>
          <cell r="I103">
            <v>24.18302702473795</v>
          </cell>
          <cell r="J103">
            <v>24.241566049159204</v>
          </cell>
          <cell r="K103">
            <v>24.241566049159204</v>
          </cell>
          <cell r="L103">
            <v>24.410637801852026</v>
          </cell>
          <cell r="M103">
            <v>24.410637801852026</v>
          </cell>
          <cell r="N103">
            <v>24.410637801852026</v>
          </cell>
          <cell r="O103">
            <v>24.410637801852026</v>
          </cell>
          <cell r="P103">
            <v>24.410637801852026</v>
          </cell>
          <cell r="Q103">
            <v>24.508650751562723</v>
          </cell>
          <cell r="R103">
            <v>24.690787303693103</v>
          </cell>
          <cell r="S103">
            <v>24.690787303693103</v>
          </cell>
          <cell r="T103">
            <v>24.690787303693103</v>
          </cell>
          <cell r="U103">
            <v>24.690787303693103</v>
          </cell>
          <cell r="V103">
            <v>24.849092304943422</v>
          </cell>
          <cell r="W103">
            <v>24.849092304943422</v>
          </cell>
          <cell r="X103">
            <v>24.849092304943422</v>
          </cell>
          <cell r="Y103">
            <v>24.849092304943422</v>
          </cell>
          <cell r="Z103">
            <v>24.849092304943422</v>
          </cell>
          <cell r="AA103">
            <v>24.998270018390549</v>
          </cell>
          <cell r="AB103">
            <v>24.998270018390549</v>
          </cell>
          <cell r="AC103">
            <v>24.998270018390549</v>
          </cell>
          <cell r="AD103">
            <v>24.998270018390549</v>
          </cell>
          <cell r="AE103">
            <v>24.998270018390549</v>
          </cell>
          <cell r="AF103">
            <v>24.998270018390549</v>
          </cell>
          <cell r="AG103">
            <v>24.998270018390549</v>
          </cell>
          <cell r="AH103">
            <v>24.998270018390549</v>
          </cell>
          <cell r="AI103">
            <v>24.998270018390549</v>
          </cell>
          <cell r="AJ103">
            <v>24.998270018390549</v>
          </cell>
          <cell r="AK103">
            <v>24.998270018390549</v>
          </cell>
          <cell r="AL103">
            <v>24.998270018390549</v>
          </cell>
          <cell r="AM103">
            <v>24.998270018390549</v>
          </cell>
          <cell r="AN103">
            <v>24.998270018390549</v>
          </cell>
          <cell r="AO103">
            <v>24.998270018390549</v>
          </cell>
          <cell r="AP103">
            <v>24.998270018390549</v>
          </cell>
          <cell r="AQ103">
            <v>25.942755119392988</v>
          </cell>
          <cell r="AR103">
            <v>24.060814964190165</v>
          </cell>
        </row>
        <row r="104">
          <cell r="C104">
            <v>0</v>
          </cell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2.0086071748351202</v>
          </cell>
          <cell r="I104">
            <v>2.0152522520614959</v>
          </cell>
          <cell r="J104">
            <v>2.0201305040966004</v>
          </cell>
          <cell r="K104">
            <v>2.0201305040966004</v>
          </cell>
          <cell r="L104">
            <v>2.0342198168210026</v>
          </cell>
          <cell r="M104">
            <v>2.0342198168210026</v>
          </cell>
          <cell r="N104">
            <v>2.0342198168210026</v>
          </cell>
          <cell r="O104">
            <v>2.0342198168210026</v>
          </cell>
          <cell r="P104">
            <v>2.0342198168210026</v>
          </cell>
          <cell r="Q104">
            <v>2.042387562630227</v>
          </cell>
          <cell r="R104">
            <v>2.0575656086410921</v>
          </cell>
          <cell r="S104">
            <v>2.0575656086410921</v>
          </cell>
          <cell r="T104">
            <v>2.0575656086410921</v>
          </cell>
          <cell r="U104">
            <v>2.0575656086410921</v>
          </cell>
          <cell r="V104">
            <v>2.0707576920786188</v>
          </cell>
          <cell r="W104">
            <v>2.0707576920786188</v>
          </cell>
          <cell r="X104">
            <v>2.0707576920786188</v>
          </cell>
          <cell r="Y104">
            <v>2.0707576920786188</v>
          </cell>
          <cell r="Z104">
            <v>2.0707576920786188</v>
          </cell>
          <cell r="AA104">
            <v>2.0831891681992127</v>
          </cell>
          <cell r="AB104">
            <v>2.0831891681992127</v>
          </cell>
          <cell r="AC104">
            <v>2.0831891681992127</v>
          </cell>
          <cell r="AD104">
            <v>2.0831891681992127</v>
          </cell>
          <cell r="AE104">
            <v>2.0831891681992127</v>
          </cell>
          <cell r="AF104">
            <v>2.0831891681992127</v>
          </cell>
          <cell r="AG104">
            <v>2.0831891681992127</v>
          </cell>
          <cell r="AH104">
            <v>2.0831891681992127</v>
          </cell>
          <cell r="AI104">
            <v>2.0831891681992127</v>
          </cell>
          <cell r="AJ104">
            <v>2.0831891681992127</v>
          </cell>
          <cell r="AK104">
            <v>2.0831891681992127</v>
          </cell>
          <cell r="AL104">
            <v>2.0831891681992127</v>
          </cell>
          <cell r="AM104">
            <v>2.0831891681992127</v>
          </cell>
          <cell r="AN104">
            <v>2.0831891681992127</v>
          </cell>
          <cell r="AO104">
            <v>2.0831891681992127</v>
          </cell>
          <cell r="AP104">
            <v>2.0831891681992127</v>
          </cell>
          <cell r="AQ104">
            <v>2.1618962599494163</v>
          </cell>
          <cell r="AR104">
            <v>2.0050679136825145</v>
          </cell>
        </row>
        <row r="105">
          <cell r="C105">
            <v>0</v>
          </cell>
          <cell r="D105">
            <v>40</v>
          </cell>
          <cell r="E105">
            <v>40</v>
          </cell>
          <cell r="F105">
            <v>40</v>
          </cell>
          <cell r="G105">
            <v>40</v>
          </cell>
          <cell r="H105">
            <v>40.172143496702404</v>
          </cell>
          <cell r="I105">
            <v>40.305045041229917</v>
          </cell>
          <cell r="J105">
            <v>40.402610081932004</v>
          </cell>
          <cell r="K105">
            <v>40.402610081932004</v>
          </cell>
          <cell r="L105">
            <v>40.684396336420043</v>
          </cell>
          <cell r="M105">
            <v>40.684396336420043</v>
          </cell>
          <cell r="N105">
            <v>40.684396336420043</v>
          </cell>
          <cell r="O105">
            <v>40.684396336420043</v>
          </cell>
          <cell r="P105">
            <v>40.684396336420043</v>
          </cell>
          <cell r="Q105">
            <v>40.847751252604532</v>
          </cell>
          <cell r="R105">
            <v>41.151312172821832</v>
          </cell>
          <cell r="S105">
            <v>41.151312172821832</v>
          </cell>
          <cell r="T105">
            <v>41.151312172821832</v>
          </cell>
          <cell r="U105">
            <v>41.151312172821832</v>
          </cell>
          <cell r="V105">
            <v>41.415153841572369</v>
          </cell>
          <cell r="W105">
            <v>41.415153841572369</v>
          </cell>
          <cell r="X105">
            <v>41.415153841572369</v>
          </cell>
          <cell r="Y105">
            <v>41.415153841572369</v>
          </cell>
          <cell r="Z105">
            <v>41.415153841572369</v>
          </cell>
          <cell r="AA105">
            <v>41.663783363984244</v>
          </cell>
          <cell r="AB105">
            <v>41.663783363984244</v>
          </cell>
          <cell r="AC105">
            <v>41.663783363984244</v>
          </cell>
          <cell r="AD105">
            <v>41.663783363984244</v>
          </cell>
          <cell r="AE105">
            <v>41.663783363984244</v>
          </cell>
          <cell r="AF105">
            <v>41.663783363984244</v>
          </cell>
          <cell r="AG105">
            <v>41.663783363984244</v>
          </cell>
          <cell r="AH105">
            <v>41.663783363984244</v>
          </cell>
          <cell r="AI105">
            <v>41.663783363984244</v>
          </cell>
          <cell r="AJ105">
            <v>41.663783363984244</v>
          </cell>
          <cell r="AK105">
            <v>41.663783363984244</v>
          </cell>
          <cell r="AL105">
            <v>41.663783363984244</v>
          </cell>
          <cell r="AM105">
            <v>41.663783363984244</v>
          </cell>
          <cell r="AN105">
            <v>41.663783363984244</v>
          </cell>
          <cell r="AO105">
            <v>41.663783363984244</v>
          </cell>
          <cell r="AP105">
            <v>41.663783363984244</v>
          </cell>
          <cell r="AQ105">
            <v>43.237925198988307</v>
          </cell>
          <cell r="AR105">
            <v>40.10135827365027</v>
          </cell>
        </row>
        <row r="106">
          <cell r="C106">
            <v>0</v>
          </cell>
          <cell r="D106">
            <v>19</v>
          </cell>
          <cell r="E106">
            <v>19</v>
          </cell>
          <cell r="F106">
            <v>19</v>
          </cell>
          <cell r="G106">
            <v>19</v>
          </cell>
          <cell r="H106">
            <v>19.081768160933642</v>
          </cell>
          <cell r="I106">
            <v>19.144896394584212</v>
          </cell>
          <cell r="J106">
            <v>19.191239788917702</v>
          </cell>
          <cell r="K106">
            <v>19.191239788917702</v>
          </cell>
          <cell r="L106">
            <v>19.325088259799521</v>
          </cell>
          <cell r="M106">
            <v>19.325088259799521</v>
          </cell>
          <cell r="N106">
            <v>19.325088259799521</v>
          </cell>
          <cell r="O106">
            <v>19.325088259799521</v>
          </cell>
          <cell r="P106">
            <v>19.325088259799521</v>
          </cell>
          <cell r="Q106">
            <v>19.402681844987153</v>
          </cell>
          <cell r="R106">
            <v>19.54687328209037</v>
          </cell>
          <cell r="S106">
            <v>19.54687328209037</v>
          </cell>
          <cell r="T106">
            <v>19.54687328209037</v>
          </cell>
          <cell r="U106">
            <v>19.54687328209037</v>
          </cell>
          <cell r="V106">
            <v>19.672198074746873</v>
          </cell>
          <cell r="W106">
            <v>19.672198074746873</v>
          </cell>
          <cell r="X106">
            <v>19.672198074746873</v>
          </cell>
          <cell r="Y106">
            <v>19.672198074746873</v>
          </cell>
          <cell r="Z106">
            <v>19.672198074746873</v>
          </cell>
          <cell r="AA106">
            <v>19.790297097892516</v>
          </cell>
          <cell r="AB106">
            <v>19.790297097892516</v>
          </cell>
          <cell r="AC106">
            <v>19.790297097892516</v>
          </cell>
          <cell r="AD106">
            <v>19.790297097892516</v>
          </cell>
          <cell r="AE106">
            <v>19.790297097892516</v>
          </cell>
          <cell r="AF106">
            <v>19.790297097892516</v>
          </cell>
          <cell r="AG106">
            <v>19.790297097892516</v>
          </cell>
          <cell r="AH106">
            <v>19.790297097892516</v>
          </cell>
          <cell r="AI106">
            <v>19.790297097892516</v>
          </cell>
          <cell r="AJ106">
            <v>19.790297097892516</v>
          </cell>
          <cell r="AK106">
            <v>19.790297097892516</v>
          </cell>
          <cell r="AL106">
            <v>19.790297097892516</v>
          </cell>
          <cell r="AM106">
            <v>19.790297097892516</v>
          </cell>
          <cell r="AN106">
            <v>19.790297097892516</v>
          </cell>
          <cell r="AO106">
            <v>19.790297097892516</v>
          </cell>
          <cell r="AP106">
            <v>19.790297097892516</v>
          </cell>
          <cell r="AQ106">
            <v>20.53801446951945</v>
          </cell>
          <cell r="AR106">
            <v>19.04814517998388</v>
          </cell>
        </row>
      </sheetData>
      <sheetData sheetId="9" refreshError="1">
        <row r="2">
          <cell r="F2" t="str">
            <v>S/.</v>
          </cell>
        </row>
        <row r="13">
          <cell r="C13">
            <v>72.001011180600017</v>
          </cell>
          <cell r="D13">
            <v>85.235337215164492</v>
          </cell>
          <cell r="E13">
            <v>97.544251756203735</v>
          </cell>
          <cell r="F13">
            <v>100.57562926622946</v>
          </cell>
          <cell r="G13">
            <v>121.26930799896543</v>
          </cell>
          <cell r="H13">
            <v>143.49098736449523</v>
          </cell>
          <cell r="I13">
            <v>157.71635218397785</v>
          </cell>
          <cell r="J13">
            <v>173.1849801875066</v>
          </cell>
          <cell r="K13">
            <v>193.20029627841851</v>
          </cell>
          <cell r="L13">
            <v>211.29046664465608</v>
          </cell>
          <cell r="M13">
            <v>227.71551909561043</v>
          </cell>
          <cell r="N13">
            <v>259.67839696180374</v>
          </cell>
          <cell r="O13">
            <v>279.1636166179955</v>
          </cell>
          <cell r="P13">
            <v>299.77807909995795</v>
          </cell>
          <cell r="Q13">
            <v>344.240898505698</v>
          </cell>
          <cell r="R13">
            <v>367.43336078557979</v>
          </cell>
          <cell r="S13">
            <v>392.09845025479973</v>
          </cell>
          <cell r="T13">
            <v>449.42336357919152</v>
          </cell>
          <cell r="U13">
            <v>479.44721612032885</v>
          </cell>
          <cell r="V13">
            <v>511.41182434176011</v>
          </cell>
          <cell r="W13">
            <v>586.65857270930098</v>
          </cell>
          <cell r="X13">
            <v>625.64890978367987</v>
          </cell>
          <cell r="Y13">
            <v>667.20458421666024</v>
          </cell>
          <cell r="Z13">
            <v>765.76612128383226</v>
          </cell>
          <cell r="AA13">
            <v>816.4810291467611</v>
          </cell>
          <cell r="AB13">
            <v>870.55466731657941</v>
          </cell>
          <cell r="AC13">
            <v>999.43381060037018</v>
          </cell>
          <cell r="AD13">
            <v>1065.6239856563213</v>
          </cell>
          <cell r="AE13">
            <v>1136.1977819460844</v>
          </cell>
          <cell r="AF13">
            <v>1304.4034124891045</v>
          </cell>
          <cell r="AG13">
            <v>1390.7910144498278</v>
          </cell>
          <cell r="AH13">
            <v>1482.899866217989</v>
          </cell>
          <cell r="AI13">
            <v>1702.4321615566832</v>
          </cell>
          <cell r="AJ13">
            <v>1815.180281141138</v>
          </cell>
          <cell r="AK13">
            <v>1935.3954462601457</v>
          </cell>
          <cell r="AL13">
            <v>2221.9163465480187</v>
          </cell>
          <cell r="AM13">
            <v>2369.0686945853008</v>
          </cell>
          <cell r="AN13">
            <v>2525.9666001304199</v>
          </cell>
          <cell r="AO13">
            <v>2899.917167062355</v>
          </cell>
          <cell r="AP13">
            <v>3091.9719313696692</v>
          </cell>
          <cell r="AQ13">
            <v>548.32448812306518</v>
          </cell>
          <cell r="AR13">
            <v>0</v>
          </cell>
        </row>
        <row r="16">
          <cell r="C16">
            <v>81.089026891600014</v>
          </cell>
          <cell r="D16">
            <v>96.555031588627486</v>
          </cell>
          <cell r="E16">
            <v>111.88498373829788</v>
          </cell>
          <cell r="F16">
            <v>117.55101969311623</v>
          </cell>
          <cell r="G16">
            <v>147.75617730652002</v>
          </cell>
          <cell r="H16">
            <v>176.45381102598009</v>
          </cell>
          <cell r="I16">
            <v>193.43717323782619</v>
          </cell>
          <cell r="J16">
            <v>211.9267007425903</v>
          </cell>
          <cell r="K16">
            <v>235.96299889212335</v>
          </cell>
          <cell r="L16">
            <v>257.61693341848081</v>
          </cell>
          <cell r="M16">
            <v>277.4769974642461</v>
          </cell>
          <cell r="N16">
            <v>316.23898144654208</v>
          </cell>
          <cell r="O16">
            <v>339.77138002832316</v>
          </cell>
          <cell r="P16">
            <v>364.65297043316025</v>
          </cell>
          <cell r="Q16">
            <v>418.50196019160853</v>
          </cell>
          <cell r="R16">
            <v>446.66718067718381</v>
          </cell>
          <cell r="S16">
            <v>476.61985851649604</v>
          </cell>
          <cell r="T16">
            <v>546.26943760487427</v>
          </cell>
          <cell r="U16">
            <v>582.73183298105766</v>
          </cell>
          <cell r="V16">
            <v>621.55277370527233</v>
          </cell>
          <cell r="W16">
            <v>712.97118100595924</v>
          </cell>
          <cell r="X16">
            <v>760.32026423308355</v>
          </cell>
          <cell r="Y16">
            <v>810.78223199253739</v>
          </cell>
          <cell r="Z16">
            <v>930.50923121530559</v>
          </cell>
          <cell r="AA16">
            <v>992.08750670552581</v>
          </cell>
          <cell r="AB16">
            <v>1057.7408663314725</v>
          </cell>
          <cell r="AC16">
            <v>1214.2738293333309</v>
          </cell>
          <cell r="AD16">
            <v>1294.6308607961321</v>
          </cell>
          <cell r="AE16">
            <v>1380.3057088331752</v>
          </cell>
          <cell r="AF16">
            <v>1584.5744936545107</v>
          </cell>
          <cell r="AG16">
            <v>1689.4370217397845</v>
          </cell>
          <cell r="AH16">
            <v>1801.2390821457664</v>
          </cell>
          <cell r="AI16">
            <v>2067.8011085712037</v>
          </cell>
          <cell r="AJ16">
            <v>2204.6422975901542</v>
          </cell>
          <cell r="AK16">
            <v>2350.5392929878444</v>
          </cell>
          <cell r="AL16">
            <v>2698.3913964163344</v>
          </cell>
          <cell r="AM16">
            <v>2876.9634244371045</v>
          </cell>
          <cell r="AN16">
            <v>3067.3529121523588</v>
          </cell>
          <cell r="AO16">
            <v>3521.2851875070819</v>
          </cell>
          <cell r="AP16">
            <v>3754.3142558668833</v>
          </cell>
          <cell r="AQ16">
            <v>665.75157570289798</v>
          </cell>
          <cell r="AR16">
            <v>0</v>
          </cell>
        </row>
        <row r="48">
          <cell r="C48">
            <v>2.7460626831999999</v>
          </cell>
          <cell r="D48">
            <v>3.6658643413717495</v>
          </cell>
          <cell r="E48">
            <v>3.4120487240234771</v>
          </cell>
          <cell r="F48">
            <v>3.672031856923001</v>
          </cell>
          <cell r="G48">
            <v>3.8830417703640649</v>
          </cell>
          <cell r="H48">
            <v>4.3839552485025512</v>
          </cell>
          <cell r="I48">
            <v>4.6130788018491486</v>
          </cell>
          <cell r="J48">
            <v>4.8965457350654642</v>
          </cell>
          <cell r="K48">
            <v>5.288615265772056</v>
          </cell>
          <cell r="L48">
            <v>5.6097096530977133</v>
          </cell>
          <cell r="M48">
            <v>5.9718471132696003</v>
          </cell>
          <cell r="N48">
            <v>6.7237296523292942</v>
          </cell>
          <cell r="O48">
            <v>7.1388877210293202</v>
          </cell>
          <cell r="P48">
            <v>7.5650680346009445</v>
          </cell>
          <cell r="Q48">
            <v>8.5836942930094242</v>
          </cell>
          <cell r="R48">
            <v>9.0987063556506556</v>
          </cell>
          <cell r="S48">
            <v>9.6401871185599131</v>
          </cell>
          <cell r="T48">
            <v>10.959698011308065</v>
          </cell>
          <cell r="U48">
            <v>11.605253784628093</v>
          </cell>
          <cell r="V48">
            <v>12.280522625792649</v>
          </cell>
          <cell r="W48">
            <v>13.971635019098734</v>
          </cell>
          <cell r="X48">
            <v>14.788170045530206</v>
          </cell>
          <cell r="Y48">
            <v>15.64756360110057</v>
          </cell>
          <cell r="Z48">
            <v>17.814311576164528</v>
          </cell>
          <cell r="AA48">
            <v>18.854325144224525</v>
          </cell>
          <cell r="AB48">
            <v>19.949545376714422</v>
          </cell>
          <cell r="AC48">
            <v>22.721805595662989</v>
          </cell>
          <cell r="AD48">
            <v>24.051961514692316</v>
          </cell>
          <cell r="AE48">
            <v>25.452896711522587</v>
          </cell>
          <cell r="AF48">
            <v>28.994200014686854</v>
          </cell>
          <cell r="AG48">
            <v>30.695935964754881</v>
          </cell>
          <cell r="AH48">
            <v>32.488458190636152</v>
          </cell>
          <cell r="AI48">
            <v>37.013828614357315</v>
          </cell>
          <cell r="AJ48">
            <v>39.191575785430381</v>
          </cell>
          <cell r="AK48">
            <v>41.485797051844258</v>
          </cell>
          <cell r="AL48">
            <v>47.270742901771769</v>
          </cell>
          <cell r="AM48">
            <v>50.058422913585972</v>
          </cell>
          <cell r="AN48">
            <v>52.995564260116225</v>
          </cell>
          <cell r="AO48">
            <v>60.393171782120163</v>
          </cell>
          <cell r="AP48">
            <v>63.962555870927382</v>
          </cell>
          <cell r="AQ48">
            <v>11.264016256305686</v>
          </cell>
          <cell r="AR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6.6010762064866819</v>
          </cell>
          <cell r="H51">
            <v>7.032826407919627</v>
          </cell>
          <cell r="I51">
            <v>6.6773253445253502</v>
          </cell>
          <cell r="J51">
            <v>7.1294940756515608</v>
          </cell>
          <cell r="K51">
            <v>19.648985859682572</v>
          </cell>
          <cell r="L51">
            <v>20.98802618950991</v>
          </cell>
          <cell r="M51">
            <v>22.460847428712871</v>
          </cell>
          <cell r="N51">
            <v>24.046744641413081</v>
          </cell>
          <cell r="O51">
            <v>25.755337988316604</v>
          </cell>
          <cell r="P51">
            <v>27.595925976731134</v>
          </cell>
          <cell r="Q51">
            <v>29.927864539945162</v>
          </cell>
          <cell r="R51">
            <v>36.515957046455746</v>
          </cell>
          <cell r="S51">
            <v>39.606332620902592</v>
          </cell>
          <cell r="T51">
            <v>42.961730711105673</v>
          </cell>
          <cell r="U51">
            <v>46.604188163763979</v>
          </cell>
          <cell r="V51">
            <v>50.559082524312885</v>
          </cell>
          <cell r="W51">
            <v>54.850053812217574</v>
          </cell>
          <cell r="X51">
            <v>59.505721437519334</v>
          </cell>
          <cell r="Y51">
            <v>64.557128352327581</v>
          </cell>
          <cell r="Z51">
            <v>70.038014361764411</v>
          </cell>
          <cell r="AA51">
            <v>75.984838447254688</v>
          </cell>
          <cell r="AB51">
            <v>82.437329252645114</v>
          </cell>
          <cell r="AC51">
            <v>89.438546050250466</v>
          </cell>
          <cell r="AD51">
            <v>97.035219965718028</v>
          </cell>
          <cell r="AE51">
            <v>105.27806753172487</v>
          </cell>
          <cell r="AF51">
            <v>126.91347894903249</v>
          </cell>
          <cell r="AG51">
            <v>137.69683120716482</v>
          </cell>
          <cell r="AH51">
            <v>149.3977250059834</v>
          </cell>
          <cell r="AI51">
            <v>162.09434432652677</v>
          </cell>
          <cell r="AJ51">
            <v>175.87154463357547</v>
          </cell>
          <cell r="AK51">
            <v>190.82142294879714</v>
          </cell>
          <cell r="AL51">
            <v>207.04393670274601</v>
          </cell>
          <cell r="AM51">
            <v>224.64757554511417</v>
          </cell>
          <cell r="AN51">
            <v>243.75009065119167</v>
          </cell>
          <cell r="AO51">
            <v>264.47928645185243</v>
          </cell>
          <cell r="AP51">
            <v>286.9738801371974</v>
          </cell>
          <cell r="AQ51">
            <v>51.257514849746912</v>
          </cell>
          <cell r="AR51">
            <v>0</v>
          </cell>
        </row>
        <row r="60">
          <cell r="C60">
            <v>17.568708794900001</v>
          </cell>
          <cell r="D60">
            <v>23.847064481997744</v>
          </cell>
          <cell r="E60">
            <v>24.581194742625584</v>
          </cell>
          <cell r="F60">
            <v>24.945010016162389</v>
          </cell>
          <cell r="G60">
            <v>26.12348354860314</v>
          </cell>
          <cell r="H60">
            <v>27.338251541857542</v>
          </cell>
          <cell r="I60">
            <v>27.85724725877914</v>
          </cell>
          <cell r="J60">
            <v>30.912931583776068</v>
          </cell>
          <cell r="K60">
            <v>32.386629186734147</v>
          </cell>
          <cell r="L60">
            <v>33.930192215260924</v>
          </cell>
          <cell r="M60">
            <v>37.587793090859954</v>
          </cell>
          <cell r="N60">
            <v>39.37785661574496</v>
          </cell>
          <cell r="O60">
            <v>41.213008032288805</v>
          </cell>
          <cell r="P60">
            <v>45.98578391266777</v>
          </cell>
          <cell r="Q60">
            <v>48.564271427582725</v>
          </cell>
          <cell r="R60">
            <v>51.265662646920909</v>
          </cell>
          <cell r="S60">
            <v>58.100126255471679</v>
          </cell>
          <cell r="T60">
            <v>61.315114752232873</v>
          </cell>
          <cell r="U60">
            <v>64.712804448984869</v>
          </cell>
          <cell r="V60">
            <v>73.433008561790629</v>
          </cell>
          <cell r="W60">
            <v>77.499107951397406</v>
          </cell>
          <cell r="X60">
            <v>81.795884048184874</v>
          </cell>
          <cell r="Y60">
            <v>92.907178520048362</v>
          </cell>
          <cell r="Z60">
            <v>98.069045085448593</v>
          </cell>
          <cell r="AA60">
            <v>103.52119615791945</v>
          </cell>
          <cell r="AB60">
            <v>117.67475554015097</v>
          </cell>
          <cell r="AC60">
            <v>124.24418588442316</v>
          </cell>
          <cell r="AD60">
            <v>131.19396038746081</v>
          </cell>
          <cell r="AE60">
            <v>149.17736492631957</v>
          </cell>
          <cell r="AF60">
            <v>157.55261554894068</v>
          </cell>
          <cell r="AG60">
            <v>166.41342575947064</v>
          </cell>
          <cell r="AH60">
            <v>189.27693238753716</v>
          </cell>
          <cell r="AI60">
            <v>199.95675106980349</v>
          </cell>
          <cell r="AJ60">
            <v>211.25653853733724</v>
          </cell>
          <cell r="AK60">
            <v>240.34033412129355</v>
          </cell>
          <cell r="AL60">
            <v>253.96169744276347</v>
          </cell>
          <cell r="AM60">
            <v>268.37475424872594</v>
          </cell>
          <cell r="AN60">
            <v>305.38932132862959</v>
          </cell>
          <cell r="AO60">
            <v>322.76585488823173</v>
          </cell>
          <cell r="AP60">
            <v>341.15350870694135</v>
          </cell>
          <cell r="AQ60">
            <v>29.65789081222249</v>
          </cell>
          <cell r="AR60">
            <v>0</v>
          </cell>
        </row>
      </sheetData>
      <sheetData sheetId="10" refreshError="1">
        <row r="39">
          <cell r="C39">
            <v>0</v>
          </cell>
        </row>
        <row r="85">
          <cell r="C85">
            <v>6.4179011382867683</v>
          </cell>
          <cell r="D85">
            <v>6.1741062751992111</v>
          </cell>
          <cell r="E85">
            <v>5.9225408847618137</v>
          </cell>
          <cell r="F85">
            <v>6.9288776142191324</v>
          </cell>
          <cell r="G85">
            <v>7.8653815112322736</v>
          </cell>
          <cell r="H85">
            <v>8.8516844343431327</v>
          </cell>
          <cell r="I85">
            <v>9.9313563553419719</v>
          </cell>
          <cell r="J85">
            <v>11.126055675301012</v>
          </cell>
          <cell r="K85">
            <v>12.445302944597145</v>
          </cell>
          <cell r="L85">
            <v>13.906467447445062</v>
          </cell>
          <cell r="M85">
            <v>15.387129457643281</v>
          </cell>
          <cell r="N85">
            <v>17.026193207822669</v>
          </cell>
          <cell r="O85">
            <v>18.840319799360387</v>
          </cell>
          <cell r="P85">
            <v>20.848290753282996</v>
          </cell>
          <cell r="Q85">
            <v>23.070830192625177</v>
          </cell>
          <cell r="R85">
            <v>25.458099125572325</v>
          </cell>
          <cell r="S85">
            <v>28.0926605521942</v>
          </cell>
          <cell r="T85">
            <v>31.00058080200942</v>
          </cell>
          <cell r="U85">
            <v>34.210218608769104</v>
          </cell>
          <cell r="V85">
            <v>37.753042499080493</v>
          </cell>
          <cell r="W85">
            <v>41.66274383814622</v>
          </cell>
          <cell r="X85">
            <v>45.977329415586389</v>
          </cell>
          <cell r="Y85">
            <v>50.738730456926142</v>
          </cell>
          <cell r="Z85">
            <v>55.993261357459716</v>
          </cell>
          <cell r="AA85">
            <v>61.791907384111241</v>
          </cell>
          <cell r="AB85">
            <v>68.191062983129484</v>
          </cell>
          <cell r="AC85">
            <v>75.252917469025746</v>
          </cell>
          <cell r="AD85">
            <v>83.046100574992991</v>
          </cell>
          <cell r="AE85">
            <v>91.646349436153159</v>
          </cell>
          <cell r="AF85">
            <v>101.1372446473826</v>
          </cell>
          <cell r="AG85">
            <v>111.61102254930522</v>
          </cell>
          <cell r="AH85">
            <v>123.16947163689748</v>
          </cell>
          <cell r="AI85">
            <v>135.92492180272802</v>
          </cell>
          <cell r="AJ85">
            <v>150.00133602910611</v>
          </cell>
          <cell r="AK85">
            <v>165.53551513910878</v>
          </cell>
          <cell r="AL85">
            <v>182.67842731526372</v>
          </cell>
          <cell r="AM85">
            <v>201.59667530728026</v>
          </cell>
          <cell r="AN85">
            <v>222.47411558841014</v>
          </cell>
          <cell r="AO85">
            <v>245.51364519680334</v>
          </cell>
          <cell r="AP85">
            <v>270.9391736279544</v>
          </cell>
          <cell r="AQ85">
            <v>55.8799319438412</v>
          </cell>
          <cell r="AR85">
            <v>0</v>
          </cell>
        </row>
        <row r="114">
          <cell r="C114">
            <v>3.6055420000000002</v>
          </cell>
          <cell r="D114">
            <v>5.336282857797233</v>
          </cell>
          <cell r="E114">
            <v>5.5678065546866602</v>
          </cell>
          <cell r="F114">
            <v>5.6598155479277743</v>
          </cell>
          <cell r="G114">
            <v>6.7113723075206488</v>
          </cell>
          <cell r="H114">
            <v>7.47921964073167</v>
          </cell>
          <cell r="I114">
            <v>8.6680922886020024</v>
          </cell>
          <cell r="J114">
            <v>9.61562104828859</v>
          </cell>
          <cell r="K114">
            <v>10.650179487106382</v>
          </cell>
          <cell r="L114">
            <v>12.418814514338713</v>
          </cell>
          <cell r="M114">
            <v>13.605392220389144</v>
          </cell>
          <cell r="N114">
            <v>14.90599665445602</v>
          </cell>
          <cell r="O114">
            <v>16.331334071371369</v>
          </cell>
          <cell r="P114">
            <v>17.893431481400953</v>
          </cell>
          <cell r="Q114">
            <v>20.655082465299014</v>
          </cell>
          <cell r="R114">
            <v>23.611455793401891</v>
          </cell>
          <cell r="S114">
            <v>25.797025150660897</v>
          </cell>
          <cell r="T114">
            <v>28.185540004114515</v>
          </cell>
          <cell r="U114">
            <v>30.795839600722196</v>
          </cell>
          <cell r="V114">
            <v>35.395313148181828</v>
          </cell>
          <cell r="W114">
            <v>38.674193498519664</v>
          </cell>
          <cell r="X114">
            <v>42.256812494370052</v>
          </cell>
          <cell r="Y114">
            <v>46.171308665019914</v>
          </cell>
          <cell r="Z114">
            <v>53.808775596777167</v>
          </cell>
          <cell r="AA114">
            <v>60.203139339442266</v>
          </cell>
          <cell r="AB114">
            <v>65.780109581652496</v>
          </cell>
          <cell r="AC114">
            <v>71.873710950326</v>
          </cell>
          <cell r="AD114">
            <v>78.531802692124927</v>
          </cell>
          <cell r="AE114">
            <v>85.806677630071206</v>
          </cell>
          <cell r="AF114">
            <v>93.755472883278685</v>
          </cell>
          <cell r="AG114">
            <v>102.44061863539882</v>
          </cell>
          <cell r="AH114">
            <v>111.93032847660406</v>
          </cell>
          <cell r="AI114">
            <v>122.29913517047393</v>
          </cell>
          <cell r="AJ114">
            <v>133.62847605394123</v>
          </cell>
          <cell r="AK114">
            <v>146.00733266830122</v>
          </cell>
          <cell r="AL114">
            <v>159.53292964524863</v>
          </cell>
          <cell r="AM114">
            <v>174.31149833733087</v>
          </cell>
          <cell r="AN114">
            <v>190.45911119074646</v>
          </cell>
          <cell r="AO114">
            <v>208.10259341406839</v>
          </cell>
          <cell r="AP114">
            <v>227.38051910360514</v>
          </cell>
          <cell r="AQ114">
            <v>54.087898877872732</v>
          </cell>
          <cell r="AR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21">
          <cell r="C121">
            <v>0.92472938999999998</v>
          </cell>
          <cell r="D121">
            <v>1.6790680078777207</v>
          </cell>
          <cell r="E121">
            <v>1.5499961792947812</v>
          </cell>
          <cell r="F121">
            <v>1.522851353008428</v>
          </cell>
          <cell r="G121">
            <v>1.7363580723230205</v>
          </cell>
          <cell r="H121">
            <v>2.0834975365167128</v>
          </cell>
          <cell r="I121">
            <v>2.3373620422660233</v>
          </cell>
          <cell r="J121">
            <v>2.6182741192065957</v>
          </cell>
          <cell r="K121">
            <v>2.9284765895428739</v>
          </cell>
          <cell r="L121">
            <v>3.2720470204064709</v>
          </cell>
          <cell r="M121">
            <v>3.620333048995636</v>
          </cell>
          <cell r="N121">
            <v>4.0058697111587662</v>
          </cell>
          <cell r="O121">
            <v>4.4325735723855164</v>
          </cell>
          <cell r="P121">
            <v>4.9048609925881266</v>
          </cell>
          <cell r="Q121">
            <v>5.4276034553583656</v>
          </cell>
          <cell r="R121">
            <v>5.9892096650181301</v>
          </cell>
          <cell r="S121">
            <v>6.608989239062975</v>
          </cell>
          <cell r="T121">
            <v>7.2930774870582784</v>
          </cell>
          <cell r="U121">
            <v>8.0481447188567738</v>
          </cell>
          <cell r="V121">
            <v>8.881593489258373</v>
          </cell>
          <cell r="W121">
            <v>9.8013480212819175</v>
          </cell>
          <cell r="X121">
            <v>10.816348971369413</v>
          </cell>
          <cell r="Y121">
            <v>11.936460151299611</v>
          </cell>
          <cell r="Z121">
            <v>13.17257643612076</v>
          </cell>
          <cell r="AA121">
            <v>14.536691434925537</v>
          </cell>
          <cell r="AB121">
            <v>16.042071166540211</v>
          </cell>
          <cell r="AC121">
            <v>17.703344778823542</v>
          </cell>
          <cell r="AD121">
            <v>19.53665639933071</v>
          </cell>
          <cell r="AE121">
            <v>21.559822025976597</v>
          </cell>
          <cell r="AF121">
            <v>23.792502665324076</v>
          </cell>
          <cell r="AG121">
            <v>26.256395401113771</v>
          </cell>
          <cell r="AH121">
            <v>28.975444249906154</v>
          </cell>
          <cell r="AI121">
            <v>31.976072853006816</v>
          </cell>
          <cell r="AJ121">
            <v>35.28744126606076</v>
          </cell>
          <cell r="AK121">
            <v>38.941729341894657</v>
          </cell>
          <cell r="AL121">
            <v>42.974449460631355</v>
          </cell>
          <cell r="AM121">
            <v>47.424791646313331</v>
          </cell>
          <cell r="AN121">
            <v>52.336004424018967</v>
          </cell>
          <cell r="AO121">
            <v>57.755815118801095</v>
          </cell>
          <cell r="AP121">
            <v>63.736893681093179</v>
          </cell>
          <cell r="AQ121">
            <v>14.17619619631574</v>
          </cell>
          <cell r="AR121">
            <v>0</v>
          </cell>
        </row>
      </sheetData>
      <sheetData sheetId="11" refreshError="1">
        <row r="7">
          <cell r="C7">
            <v>0.83333333333333337</v>
          </cell>
        </row>
        <row r="13">
          <cell r="C13">
            <v>14.400202236120004</v>
          </cell>
          <cell r="D13">
            <v>17.047067443032898</v>
          </cell>
          <cell r="E13">
            <v>19.508850351240749</v>
          </cell>
          <cell r="F13">
            <v>20.572646605745451</v>
          </cell>
          <cell r="G13">
            <v>26.437856958838253</v>
          </cell>
          <cell r="H13">
            <v>31.282392912934643</v>
          </cell>
          <cell r="I13">
            <v>34.383657078155544</v>
          </cell>
          <cell r="J13">
            <v>37.755964850615605</v>
          </cell>
          <cell r="K13">
            <v>42.119492384542646</v>
          </cell>
          <cell r="L13">
            <v>46.063320549532243</v>
          </cell>
          <cell r="M13">
            <v>49.644138395733705</v>
          </cell>
          <cell r="N13">
            <v>56.612348426746387</v>
          </cell>
          <cell r="O13">
            <v>60.860310391955991</v>
          </cell>
          <cell r="P13">
            <v>65.354458498168441</v>
          </cell>
          <cell r="Q13">
            <v>75.047773382772036</v>
          </cell>
          <cell r="R13">
            <v>80.103950313582757</v>
          </cell>
          <cell r="S13">
            <v>85.481171961176585</v>
          </cell>
          <cell r="T13">
            <v>97.978546036985648</v>
          </cell>
          <cell r="U13">
            <v>104.52403042869044</v>
          </cell>
          <cell r="V13">
            <v>111.49261645651252</v>
          </cell>
          <cell r="W13">
            <v>127.89711832899008</v>
          </cell>
          <cell r="X13">
            <v>136.39737933507672</v>
          </cell>
          <cell r="Y13">
            <v>145.45690797884365</v>
          </cell>
          <cell r="Z13">
            <v>166.94425339236997</v>
          </cell>
          <cell r="AA13">
            <v>178.00058102372759</v>
          </cell>
          <cell r="AB13">
            <v>189.78914338738645</v>
          </cell>
          <cell r="AC13">
            <v>217.8860123253443</v>
          </cell>
          <cell r="AD13">
            <v>232.31609356268623</v>
          </cell>
          <cell r="AE13">
            <v>247.70184534672421</v>
          </cell>
          <cell r="AF13">
            <v>284.37225841767599</v>
          </cell>
          <cell r="AG13">
            <v>303.20556830673189</v>
          </cell>
          <cell r="AH13">
            <v>323.28616428252155</v>
          </cell>
          <cell r="AI13">
            <v>371.1462727438452</v>
          </cell>
          <cell r="AJ13">
            <v>395.72642274739127</v>
          </cell>
          <cell r="AK13">
            <v>421.93445862388575</v>
          </cell>
          <cell r="AL13">
            <v>484.39871223067644</v>
          </cell>
          <cell r="AM13">
            <v>516.47930654765992</v>
          </cell>
          <cell r="AN13">
            <v>550.68452363044764</v>
          </cell>
          <cell r="AO13">
            <v>632.20926530140787</v>
          </cell>
          <cell r="AP13">
            <v>674.07900700690698</v>
          </cell>
          <cell r="AQ13">
            <v>119.5399024124501</v>
          </cell>
          <cell r="AR13">
            <v>0</v>
          </cell>
        </row>
        <row r="17">
          <cell r="C17">
            <v>18.582475427850003</v>
          </cell>
          <cell r="D17">
            <v>21.449648239957874</v>
          </cell>
          <cell r="E17">
            <v>22.156160545606994</v>
          </cell>
          <cell r="F17">
            <v>23.844362707292216</v>
          </cell>
          <cell r="G17">
            <v>25.214556950416007</v>
          </cell>
          <cell r="H17">
            <v>28.467241873393192</v>
          </cell>
          <cell r="I17">
            <v>29.955057154864605</v>
          </cell>
          <cell r="J17">
            <v>31.795751526399119</v>
          </cell>
          <cell r="K17">
            <v>34.341657569948417</v>
          </cell>
          <cell r="L17">
            <v>36.426686059076061</v>
          </cell>
          <cell r="M17">
            <v>38.778228008244156</v>
          </cell>
          <cell r="N17">
            <v>43.660582157982432</v>
          </cell>
          <cell r="O17">
            <v>46.356413772917662</v>
          </cell>
          <cell r="P17">
            <v>49.123818406499637</v>
          </cell>
          <cell r="Q17">
            <v>55.738274629931325</v>
          </cell>
          <cell r="R17">
            <v>59.082508802926341</v>
          </cell>
          <cell r="S17">
            <v>62.598617652986448</v>
          </cell>
          <cell r="T17">
            <v>71.166870203299126</v>
          </cell>
          <cell r="U17">
            <v>75.35879080927333</v>
          </cell>
          <cell r="V17">
            <v>79.743653414237983</v>
          </cell>
          <cell r="W17">
            <v>90.724902721420349</v>
          </cell>
          <cell r="X17">
            <v>96.027078217728615</v>
          </cell>
          <cell r="Y17">
            <v>101.60755585130241</v>
          </cell>
          <cell r="Z17">
            <v>115.67734789717227</v>
          </cell>
          <cell r="AA17">
            <v>122.4306827547047</v>
          </cell>
          <cell r="AB17">
            <v>129.54250244619755</v>
          </cell>
          <cell r="AC17">
            <v>147.54419217962979</v>
          </cell>
          <cell r="AD17">
            <v>156.18156827722282</v>
          </cell>
          <cell r="AE17">
            <v>165.27855007482199</v>
          </cell>
          <cell r="AF17">
            <v>188.27402606939515</v>
          </cell>
          <cell r="AG17">
            <v>199.32425951139533</v>
          </cell>
          <cell r="AH17">
            <v>210.9640142249101</v>
          </cell>
          <cell r="AI17">
            <v>240.34953645686571</v>
          </cell>
          <cell r="AJ17">
            <v>254.49075185344401</v>
          </cell>
          <cell r="AK17">
            <v>269.38829254444323</v>
          </cell>
          <cell r="AL17">
            <v>306.95287598553097</v>
          </cell>
          <cell r="AM17">
            <v>325.05469424406476</v>
          </cell>
          <cell r="AN17">
            <v>344.12704065010536</v>
          </cell>
          <cell r="AO17">
            <v>392.1634531306504</v>
          </cell>
          <cell r="AP17">
            <v>415.34127188913885</v>
          </cell>
          <cell r="AQ17">
            <v>73.142962703283672</v>
          </cell>
          <cell r="AR17">
            <v>0</v>
          </cell>
        </row>
      </sheetData>
      <sheetData sheetId="12" refreshError="1">
        <row r="15">
          <cell r="C15">
            <v>871526.66666666674</v>
          </cell>
        </row>
        <row r="42">
          <cell r="C42">
            <v>10.891600078746491</v>
          </cell>
          <cell r="D42">
            <v>26.881760953591616</v>
          </cell>
          <cell r="E42">
            <v>26.82315757820194</v>
          </cell>
          <cell r="F42">
            <v>26.942768037416847</v>
          </cell>
          <cell r="G42">
            <v>27.91949784836175</v>
          </cell>
          <cell r="H42">
            <v>29.684852226981896</v>
          </cell>
          <cell r="I42">
            <v>31.567204373308048</v>
          </cell>
          <cell r="J42">
            <v>33.604990701447583</v>
          </cell>
          <cell r="K42">
            <v>35.754690164035473</v>
          </cell>
          <cell r="L42">
            <v>38.187829977354959</v>
          </cell>
          <cell r="M42">
            <v>40.562870557528562</v>
          </cell>
          <cell r="N42">
            <v>43.006441360460272</v>
          </cell>
          <cell r="O42">
            <v>45.556199421319889</v>
          </cell>
          <cell r="P42">
            <v>48.2207011730586</v>
          </cell>
          <cell r="Q42">
            <v>51.127135718621055</v>
          </cell>
          <cell r="R42">
            <v>54.292310695227741</v>
          </cell>
          <cell r="S42">
            <v>57.41049788363074</v>
          </cell>
          <cell r="T42">
            <v>60.704999966056718</v>
          </cell>
          <cell r="U42">
            <v>64.189009179179905</v>
          </cell>
          <cell r="V42">
            <v>68.118663671311324</v>
          </cell>
          <cell r="W42">
            <v>71.866413358628492</v>
          </cell>
          <cell r="X42">
            <v>75.656130911183425</v>
          </cell>
          <cell r="Y42">
            <v>79.648845451289162</v>
          </cell>
          <cell r="Z42">
            <v>83.851427865046233</v>
          </cell>
          <cell r="AA42">
            <v>88.577073939476534</v>
          </cell>
          <cell r="AB42">
            <v>93.25737129248094</v>
          </cell>
          <cell r="AC42">
            <v>98.191667175419511</v>
          </cell>
          <cell r="AD42">
            <v>103.39403001167857</v>
          </cell>
          <cell r="AE42">
            <v>108.87932066140316</v>
          </cell>
          <cell r="AF42">
            <v>114.66323772959805</v>
          </cell>
          <cell r="AG42">
            <v>119.79512951208976</v>
          </cell>
          <cell r="AH42">
            <v>124.16747637525337</v>
          </cell>
          <cell r="AI42">
            <v>128.70294873805702</v>
          </cell>
          <cell r="AJ42">
            <v>133.40778281194446</v>
          </cell>
          <cell r="AK42">
            <v>138.28845954490507</v>
          </cell>
          <cell r="AL42">
            <v>143.35171448919525</v>
          </cell>
          <cell r="AM42">
            <v>148.60454807768036</v>
          </cell>
          <cell r="AN42">
            <v>154.05423632614932</v>
          </cell>
          <cell r="AO42">
            <v>159.70834197970589</v>
          </cell>
          <cell r="AP42">
            <v>165.57472612213112</v>
          </cell>
          <cell r="AQ42">
            <v>28.750416866745272</v>
          </cell>
          <cell r="AR42">
            <v>0</v>
          </cell>
        </row>
        <row r="53">
          <cell r="C53">
            <v>13.919931679579523</v>
          </cell>
          <cell r="D53">
            <v>17.510738674209314</v>
          </cell>
          <cell r="E53">
            <v>18.034749505704685</v>
          </cell>
          <cell r="F53">
            <v>18.291087170434277</v>
          </cell>
          <cell r="G53">
            <v>19.064101858695693</v>
          </cell>
          <cell r="H53">
            <v>20.336513449058124</v>
          </cell>
          <cell r="I53">
            <v>21.698665948790687</v>
          </cell>
          <cell r="J53">
            <v>23.178091572147906</v>
          </cell>
          <cell r="K53">
            <v>24.756151878047476</v>
          </cell>
          <cell r="L53">
            <v>26.494936398061018</v>
          </cell>
          <cell r="M53">
            <v>28.236723921851372</v>
          </cell>
          <cell r="N53">
            <v>30.034611457287134</v>
          </cell>
          <cell r="O53">
            <v>31.918326042383637</v>
          </cell>
          <cell r="P53">
            <v>33.894600992715503</v>
          </cell>
          <cell r="Q53">
            <v>36.015956753516413</v>
          </cell>
          <cell r="R53">
            <v>38.290102723541409</v>
          </cell>
          <cell r="S53">
            <v>40.614183225666864</v>
          </cell>
          <cell r="T53">
            <v>43.076429295642399</v>
          </cell>
          <cell r="U53">
            <v>45.687224429160608</v>
          </cell>
          <cell r="V53">
            <v>48.546176953566075</v>
          </cell>
          <cell r="W53">
            <v>51.362448909437475</v>
          </cell>
          <cell r="X53">
            <v>54.215799750332025</v>
          </cell>
          <cell r="Y53">
            <v>57.229417584020283</v>
          </cell>
          <cell r="Z53">
            <v>60.409568357672086</v>
          </cell>
          <cell r="AA53">
            <v>63.87692128928078</v>
          </cell>
          <cell r="AB53">
            <v>67.429722242787548</v>
          </cell>
          <cell r="AC53">
            <v>71.184378186872593</v>
          </cell>
          <cell r="AD53">
            <v>75.15257417214076</v>
          </cell>
          <cell r="AE53">
            <v>79.346683227503988</v>
          </cell>
          <cell r="AF53">
            <v>83.779807498825221</v>
          </cell>
          <cell r="AG53">
            <v>87.719903146096158</v>
          </cell>
          <cell r="AH53">
            <v>91.081876887553705</v>
          </cell>
          <cell r="AI53">
            <v>94.576858219557323</v>
          </cell>
          <cell r="AJ53">
            <v>98.210276144985656</v>
          </cell>
          <cell r="AK53">
            <v>101.98778782958571</v>
          </cell>
          <cell r="AL53">
            <v>105.91528844359341</v>
          </cell>
          <cell r="AM53">
            <v>109.99892143738651</v>
          </cell>
          <cell r="AN53">
            <v>114.24508927066235</v>
          </cell>
          <cell r="AO53">
            <v>118.66046461552229</v>
          </cell>
          <cell r="AP53">
            <v>123.25200205477454</v>
          </cell>
          <cell r="AQ53">
            <v>21.492586418017563</v>
          </cell>
          <cell r="AR53">
            <v>0</v>
          </cell>
        </row>
        <row r="92">
          <cell r="C92">
            <v>0.78935336049999993</v>
          </cell>
          <cell r="D92">
            <v>1.3905485220847495</v>
          </cell>
          <cell r="E92">
            <v>1.3065756732752345</v>
          </cell>
          <cell r="F92">
            <v>1.5705142356017816</v>
          </cell>
          <cell r="G92">
            <v>1.4957893915782194</v>
          </cell>
          <cell r="H92">
            <v>1.6672321524482796</v>
          </cell>
          <cell r="I92">
            <v>1.8525541812932786</v>
          </cell>
          <cell r="J92">
            <v>2.0553314187673255</v>
          </cell>
          <cell r="K92">
            <v>2.2767248061225827</v>
          </cell>
          <cell r="L92">
            <v>2.5192845205858729</v>
          </cell>
          <cell r="M92">
            <v>2.7600931242933795</v>
          </cell>
          <cell r="N92">
            <v>3.0240499284374156</v>
          </cell>
          <cell r="O92">
            <v>3.3133301212892032</v>
          </cell>
          <cell r="P92">
            <v>3.6303764467407631</v>
          </cell>
          <cell r="Q92">
            <v>3.977854995461243</v>
          </cell>
          <cell r="R92">
            <v>4.3460373960638492</v>
          </cell>
          <cell r="S92">
            <v>4.7483420732884714</v>
          </cell>
          <cell r="T92">
            <v>5.1880041512280295</v>
          </cell>
          <cell r="U92">
            <v>5.6684906439621141</v>
          </cell>
          <cell r="V92">
            <v>6.1936172515604317</v>
          </cell>
          <cell r="W92">
            <v>6.7673883104020209</v>
          </cell>
          <cell r="X92">
            <v>7.3943123428459563</v>
          </cell>
          <cell r="Y92">
            <v>8.079313635581947</v>
          </cell>
          <cell r="Z92">
            <v>8.8277790782546361</v>
          </cell>
          <cell r="AA92">
            <v>9.6455748178649223</v>
          </cell>
          <cell r="AB92">
            <v>10.53913078379377</v>
          </cell>
          <cell r="AC92">
            <v>11.515465417970955</v>
          </cell>
          <cell r="AD92">
            <v>12.582247356662812</v>
          </cell>
          <cell r="AE92">
            <v>13.747855665438783</v>
          </cell>
          <cell r="AF92">
            <v>15.021445654433204</v>
          </cell>
          <cell r="AG92">
            <v>16.413020790876402</v>
          </cell>
          <cell r="AH92">
            <v>17.933511273763248</v>
          </cell>
          <cell r="AI92">
            <v>19.594859887858846</v>
          </cell>
          <cell r="AJ92">
            <v>21.410115811420315</v>
          </cell>
          <cell r="AK92">
            <v>23.393537114490922</v>
          </cell>
          <cell r="AL92">
            <v>25.560702752887245</v>
          </cell>
          <cell r="AM92">
            <v>27.928634937590139</v>
          </cell>
          <cell r="AN92">
            <v>30.515932840749183</v>
          </cell>
          <cell r="AO92">
            <v>33.342918688561078</v>
          </cell>
          <cell r="AP92">
            <v>36.43179738858219</v>
          </cell>
          <cell r="AQ92">
            <v>6.2380918674901853</v>
          </cell>
          <cell r="AR92">
            <v>0</v>
          </cell>
        </row>
        <row r="132">
          <cell r="C132">
            <v>5.2949999999999999</v>
          </cell>
          <cell r="D132">
            <v>1.7605874999999997</v>
          </cell>
          <cell r="E132">
            <v>1.7567493448156353</v>
          </cell>
          <cell r="F132">
            <v>1.7645830830787865</v>
          </cell>
          <cell r="G132">
            <v>1.7983384882228675</v>
          </cell>
          <cell r="H132">
            <v>1.4818327329897727</v>
          </cell>
          <cell r="I132">
            <v>1.1447098138691112</v>
          </cell>
          <cell r="J132">
            <v>0.98253948424631343</v>
          </cell>
          <cell r="K132">
            <v>1.0120158885524555</v>
          </cell>
          <cell r="L132">
            <v>1.0423768179515713</v>
          </cell>
          <cell r="M132">
            <v>1.0736502998468331</v>
          </cell>
          <cell r="N132">
            <v>1.1058635117976456</v>
          </cell>
          <cell r="O132">
            <v>1.1390440804703561</v>
          </cell>
          <cell r="P132">
            <v>1.1732194612825704</v>
          </cell>
          <cell r="Q132">
            <v>1.2084198126251475</v>
          </cell>
          <cell r="R132">
            <v>1.2446737961740231</v>
          </cell>
          <cell r="S132">
            <v>1.2820151956427388</v>
          </cell>
          <cell r="T132">
            <v>1.3204766602076865</v>
          </cell>
          <cell r="U132">
            <v>1.3600913932132563</v>
          </cell>
          <cell r="V132">
            <v>1.4008953624402483</v>
          </cell>
          <cell r="W132">
            <v>1.4429227629822896</v>
          </cell>
          <cell r="X132">
            <v>1.4862107955615036</v>
          </cell>
          <cell r="Y132">
            <v>1.5307973364027916</v>
          </cell>
          <cell r="Z132">
            <v>1.5767225355383061</v>
          </cell>
          <cell r="AA132">
            <v>1.6240242116044556</v>
          </cell>
          <cell r="AB132">
            <v>1.6727449379525889</v>
          </cell>
          <cell r="AC132">
            <v>1.7229272860911669</v>
          </cell>
          <cell r="AD132">
            <v>1.774615104673902</v>
          </cell>
          <cell r="AE132">
            <v>1.8278535578141188</v>
          </cell>
          <cell r="AF132">
            <v>1.8826891645485424</v>
          </cell>
          <cell r="AG132">
            <v>1.9391698394849985</v>
          </cell>
          <cell r="AH132">
            <v>1.9973449346695487</v>
          </cell>
          <cell r="AI132">
            <v>2.0572652827096354</v>
          </cell>
          <cell r="AJ132">
            <v>2.1189832411909242</v>
          </cell>
          <cell r="AK132">
            <v>2.1825527384266521</v>
          </cell>
          <cell r="AL132">
            <v>2.2480293205794517</v>
          </cell>
          <cell r="AM132">
            <v>2.3154702001968346</v>
          </cell>
          <cell r="AN132">
            <v>2.3849343062027395</v>
          </cell>
          <cell r="AO132">
            <v>2.4564823353888223</v>
          </cell>
          <cell r="AP132">
            <v>2.5301768054504872</v>
          </cell>
          <cell r="AQ132">
            <v>2.5739493217134544</v>
          </cell>
          <cell r="AR132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9">
          <cell r="C139">
            <v>0</v>
          </cell>
          <cell r="D139">
            <v>1.9319999999999999</v>
          </cell>
          <cell r="E139">
            <v>2.14</v>
          </cell>
          <cell r="F139">
            <v>1.5866889434813514</v>
          </cell>
          <cell r="G139">
            <v>1.9609800000000002</v>
          </cell>
          <cell r="H139">
            <v>2.0198093999999998</v>
          </cell>
          <cell r="I139">
            <v>2.0804036820000005</v>
          </cell>
          <cell r="J139">
            <v>2.14281579246</v>
          </cell>
          <cell r="K139">
            <v>2.2071002662338</v>
          </cell>
          <cell r="L139">
            <v>2.2733132742208144</v>
          </cell>
          <cell r="M139">
            <v>2.3415126724474389</v>
          </cell>
          <cell r="N139">
            <v>2.4117580526208622</v>
          </cell>
          <cell r="O139">
            <v>2.4841107941994878</v>
          </cell>
          <cell r="P139">
            <v>2.558634118025473</v>
          </cell>
          <cell r="Q139">
            <v>2.6353931415662366</v>
          </cell>
          <cell r="R139">
            <v>2.7144549358132246</v>
          </cell>
          <cell r="S139">
            <v>2.7958885838876206</v>
          </cell>
          <cell r="T139">
            <v>2.8797652414042494</v>
          </cell>
          <cell r="U139">
            <v>2.9661581986463772</v>
          </cell>
          <cell r="V139">
            <v>3.0551429446057692</v>
          </cell>
          <cell r="W139">
            <v>3.1467972329439418</v>
          </cell>
          <cell r="X139">
            <v>3.2412011499322602</v>
          </cell>
          <cell r="Y139">
            <v>3.3384371844302283</v>
          </cell>
          <cell r="Z139">
            <v>3.4385902999631353</v>
          </cell>
          <cell r="AA139">
            <v>3.5417480089620295</v>
          </cell>
          <cell r="AB139">
            <v>3.6480004492308908</v>
          </cell>
          <cell r="AC139">
            <v>3.7574404627078182</v>
          </cell>
          <cell r="AD139">
            <v>3.8701636765890526</v>
          </cell>
          <cell r="AE139">
            <v>3.986268586886724</v>
          </cell>
          <cell r="AF139">
            <v>4.1058566444933255</v>
          </cell>
          <cell r="AG139">
            <v>4.2290323438281261</v>
          </cell>
          <cell r="AH139">
            <v>4.3559033141429691</v>
          </cell>
          <cell r="AI139">
            <v>4.4865804135672587</v>
          </cell>
          <cell r="AJ139">
            <v>4.621177825974276</v>
          </cell>
          <cell r="AK139">
            <v>4.7598131607535041</v>
          </cell>
          <cell r="AL139">
            <v>4.9026075555761102</v>
          </cell>
          <cell r="AM139">
            <v>5.0496857822433929</v>
          </cell>
          <cell r="AN139">
            <v>5.2011763557106958</v>
          </cell>
          <cell r="AO139">
            <v>5.357211646382015</v>
          </cell>
          <cell r="AP139">
            <v>5.5179279957734764</v>
          </cell>
          <cell r="AQ139">
            <v>0.93555009531057798</v>
          </cell>
          <cell r="AR139">
            <v>0</v>
          </cell>
        </row>
        <row r="140">
          <cell r="B140">
            <v>5</v>
          </cell>
          <cell r="C140">
            <v>-2.9003011264999996</v>
          </cell>
          <cell r="D140">
            <v>-3.0054183567659996</v>
          </cell>
          <cell r="E140">
            <v>-2.4237000000000002</v>
          </cell>
          <cell r="F140">
            <v>-3.0122390338019147</v>
          </cell>
          <cell r="G140">
            <v>-3.0698613412760358</v>
          </cell>
          <cell r="H140">
            <v>-3.1846406886802692</v>
          </cell>
          <cell r="I140">
            <v>-3.2982490722473194</v>
          </cell>
          <cell r="J140">
            <v>-3.4108915572887408</v>
          </cell>
          <cell r="K140">
            <v>-3.5132190669706258</v>
          </cell>
          <cell r="L140">
            <v>-3.6606803590801364</v>
          </cell>
          <cell r="M140">
            <v>-3.7705084164222096</v>
          </cell>
          <cell r="N140">
            <v>-3.8836366731719711</v>
          </cell>
          <cell r="O140">
            <v>-4.000162150284936</v>
          </cell>
          <cell r="P140">
            <v>-4.1201812673151927</v>
          </cell>
          <cell r="Q140">
            <v>-4.2721992590860749</v>
          </cell>
          <cell r="R140">
            <v>-4.4548725531643552</v>
          </cell>
          <cell r="S140">
            <v>-4.5885229731388666</v>
          </cell>
          <cell r="T140">
            <v>-4.7261822726047757</v>
          </cell>
          <cell r="U140">
            <v>-4.8679692912677544</v>
          </cell>
          <cell r="V140">
            <v>-5.0675916741260973</v>
          </cell>
          <cell r="W140">
            <v>-5.2196213765451436</v>
          </cell>
          <cell r="X140">
            <v>-5.3762112828073816</v>
          </cell>
          <cell r="Y140">
            <v>-5.537498406173837</v>
          </cell>
          <cell r="Z140">
            <v>-5.7036279851641751</v>
          </cell>
          <cell r="AA140">
            <v>-5.9335169601502367</v>
          </cell>
          <cell r="AB140">
            <v>-6.1115224689547425</v>
          </cell>
          <cell r="AC140">
            <v>-6.2948681430233853</v>
          </cell>
          <cell r="AD140">
            <v>-6.4837141873140878</v>
          </cell>
          <cell r="AE140">
            <v>-6.6782256129335087</v>
          </cell>
          <cell r="AF140">
            <v>-6.8785723813215149</v>
          </cell>
          <cell r="AG140">
            <v>-7.0849295527611602</v>
          </cell>
          <cell r="AH140">
            <v>-7.2974774393439956</v>
          </cell>
          <cell r="AI140">
            <v>-7.5164017625243158</v>
          </cell>
          <cell r="AJ140">
            <v>-7.7418938154000445</v>
          </cell>
          <cell r="AK140">
            <v>-7.9741506298620477</v>
          </cell>
          <cell r="AL140">
            <v>-8.2133751487579083</v>
          </cell>
          <cell r="AM140">
            <v>-8.4597764032206424</v>
          </cell>
          <cell r="AN140">
            <v>-8.7135696953172612</v>
          </cell>
          <cell r="AO140">
            <v>-8.9749767861767822</v>
          </cell>
          <cell r="AP140">
            <v>-9.2442260897620869</v>
          </cell>
          <cell r="AQ140">
            <v>-1.6660554449221581</v>
          </cell>
          <cell r="AR140">
            <v>0</v>
          </cell>
        </row>
        <row r="144">
          <cell r="A144" t="str">
            <v>OpEx VAT Paid</v>
          </cell>
          <cell r="C144">
            <v>11.123033440739725</v>
          </cell>
          <cell r="D144">
            <v>8.9321667661913384</v>
          </cell>
          <cell r="E144">
            <v>8.0347300327778264</v>
          </cell>
          <cell r="F144">
            <v>8.0720835320208266</v>
          </cell>
          <cell r="G144">
            <v>8.1602279308662116</v>
          </cell>
          <cell r="H144">
            <v>8.4921626699608748</v>
          </cell>
          <cell r="I144">
            <v>8.8303157446930864</v>
          </cell>
          <cell r="J144">
            <v>9.2066906289088042</v>
          </cell>
          <cell r="K144">
            <v>9.6308764823491089</v>
          </cell>
          <cell r="L144">
            <v>10.159783581767988</v>
          </cell>
          <cell r="M144">
            <v>10.622596399003159</v>
          </cell>
          <cell r="N144">
            <v>11.105515784916257</v>
          </cell>
          <cell r="O144">
            <v>11.610940599841545</v>
          </cell>
          <cell r="P144">
            <v>12.140544900863237</v>
          </cell>
          <cell r="Q144">
            <v>12.752186976658765</v>
          </cell>
          <cell r="R144">
            <v>13.442612767872991</v>
          </cell>
          <cell r="S144">
            <v>14.060915986273631</v>
          </cell>
          <cell r="T144">
            <v>14.712903695157753</v>
          </cell>
          <cell r="U144">
            <v>15.40104145780578</v>
          </cell>
          <cell r="V144">
            <v>16.236746264092954</v>
          </cell>
          <cell r="W144">
            <v>16.994761629577045</v>
          </cell>
          <cell r="X144">
            <v>17.781214511146139</v>
          </cell>
          <cell r="Y144">
            <v>18.611661209153532</v>
          </cell>
          <cell r="Z144">
            <v>19.488659921981796</v>
          </cell>
          <cell r="AA144">
            <v>20.539346966641901</v>
          </cell>
          <cell r="AB144">
            <v>21.524416255328749</v>
          </cell>
          <cell r="AC144">
            <v>22.567046739472474</v>
          </cell>
          <cell r="AD144">
            <v>23.671227374136905</v>
          </cell>
          <cell r="AE144">
            <v>24.841258635491776</v>
          </cell>
          <cell r="AF144">
            <v>26.08177869796641</v>
          </cell>
          <cell r="AG144">
            <v>27.316860281950085</v>
          </cell>
          <cell r="AH144">
            <v>28.541922892458132</v>
          </cell>
          <cell r="AI144">
            <v>29.838695772002843</v>
          </cell>
          <cell r="AJ144">
            <v>31.212473919826831</v>
          </cell>
          <cell r="AK144">
            <v>32.668999073262356</v>
          </cell>
          <cell r="AL144">
            <v>34.214499662739556</v>
          </cell>
          <cell r="AM144">
            <v>35.855734421239717</v>
          </cell>
          <cell r="AN144">
            <v>37.60003998519425</v>
          </cell>
          <cell r="AO144">
            <v>39.455382855000238</v>
          </cell>
          <cell r="AP144">
            <v>41.430416117377526</v>
          </cell>
          <cell r="AQ144">
            <v>7.7571122528958734</v>
          </cell>
          <cell r="AR144">
            <v>0</v>
          </cell>
        </row>
        <row r="146">
          <cell r="C146">
            <v>0</v>
          </cell>
          <cell r="D146">
            <v>0</v>
          </cell>
          <cell r="E146">
            <v>0.14053994758525085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5.6666817813830201</v>
          </cell>
          <cell r="I180">
            <v>11.33336356276604</v>
          </cell>
          <cell r="J180">
            <v>17.000045344149061</v>
          </cell>
          <cell r="K180">
            <v>2.691943464567089</v>
          </cell>
          <cell r="L180">
            <v>5.3838869291341762</v>
          </cell>
          <cell r="M180">
            <v>8.0758303937012634</v>
          </cell>
          <cell r="N180">
            <v>10.767773858268351</v>
          </cell>
          <cell r="O180">
            <v>13.459717322835438</v>
          </cell>
          <cell r="P180">
            <v>16.151660787402527</v>
          </cell>
          <cell r="Q180">
            <v>18.843604251969616</v>
          </cell>
          <cell r="R180">
            <v>21.535547716536705</v>
          </cell>
          <cell r="S180">
            <v>3.4100854479619009</v>
          </cell>
          <cell r="T180">
            <v>6.8201708959238001</v>
          </cell>
          <cell r="U180">
            <v>10.230256343885699</v>
          </cell>
          <cell r="V180">
            <v>13.640341791847598</v>
          </cell>
          <cell r="W180">
            <v>17.050427239809498</v>
          </cell>
          <cell r="X180">
            <v>20.460512687771399</v>
          </cell>
          <cell r="Y180">
            <v>23.870598135733296</v>
          </cell>
          <cell r="Z180">
            <v>27.280683583695193</v>
          </cell>
          <cell r="AA180">
            <v>4.3197942204534208</v>
          </cell>
          <cell r="AB180">
            <v>8.6395884409068415</v>
          </cell>
          <cell r="AC180">
            <v>12.959382661360262</v>
          </cell>
          <cell r="AD180">
            <v>17.279176881813683</v>
          </cell>
          <cell r="AE180">
            <v>21.598971102267104</v>
          </cell>
          <cell r="AF180">
            <v>25.918765322720525</v>
          </cell>
          <cell r="AG180">
            <v>30.238559543173945</v>
          </cell>
          <cell r="AH180">
            <v>34.558353763627366</v>
          </cell>
          <cell r="AI180">
            <v>5.4047144513287861</v>
          </cell>
          <cell r="AJ180">
            <v>10.809428902657579</v>
          </cell>
          <cell r="AK180">
            <v>16.214143353986373</v>
          </cell>
          <cell r="AL180">
            <v>21.618857805315166</v>
          </cell>
          <cell r="AM180">
            <v>27.023572256643959</v>
          </cell>
          <cell r="AN180">
            <v>32.428286707972752</v>
          </cell>
          <cell r="AO180">
            <v>37.833001159301546</v>
          </cell>
          <cell r="AP180">
            <v>43.237715610630339</v>
          </cell>
          <cell r="AQ180">
            <v>0</v>
          </cell>
          <cell r="AR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5.6666817813830201</v>
          </cell>
          <cell r="I181">
            <v>5.6666817813830201</v>
          </cell>
          <cell r="J181">
            <v>5.666681781383021</v>
          </cell>
          <cell r="K181">
            <v>-14.308101879581972</v>
          </cell>
          <cell r="L181">
            <v>2.6919434645670872</v>
          </cell>
          <cell r="M181">
            <v>2.6919434645670872</v>
          </cell>
          <cell r="N181">
            <v>2.6919434645670872</v>
          </cell>
          <cell r="O181">
            <v>2.6919434645670872</v>
          </cell>
          <cell r="P181">
            <v>2.691943464567089</v>
          </cell>
          <cell r="Q181">
            <v>2.691943464567089</v>
          </cell>
          <cell r="R181">
            <v>2.691943464567089</v>
          </cell>
          <cell r="S181">
            <v>-18.1254622685748</v>
          </cell>
          <cell r="T181">
            <v>3.4100854479618992</v>
          </cell>
          <cell r="U181">
            <v>3.4100854479618992</v>
          </cell>
          <cell r="V181">
            <v>3.4100854479618992</v>
          </cell>
          <cell r="W181">
            <v>3.4100854479618992</v>
          </cell>
          <cell r="X181">
            <v>3.4100854479619009</v>
          </cell>
          <cell r="Y181">
            <v>3.4100854479618974</v>
          </cell>
          <cell r="Z181">
            <v>3.4100854479618974</v>
          </cell>
          <cell r="AA181">
            <v>-22.960889363241773</v>
          </cell>
          <cell r="AB181">
            <v>4.3197942204534208</v>
          </cell>
          <cell r="AC181">
            <v>4.3197942204534208</v>
          </cell>
          <cell r="AD181">
            <v>4.3197942204534208</v>
          </cell>
          <cell r="AE181">
            <v>4.3197942204534208</v>
          </cell>
          <cell r="AF181">
            <v>4.3197942204534208</v>
          </cell>
          <cell r="AG181">
            <v>4.3197942204534208</v>
          </cell>
          <cell r="AH181">
            <v>4.3197942204534208</v>
          </cell>
          <cell r="AI181">
            <v>-29.153639312298587</v>
          </cell>
          <cell r="AJ181">
            <v>5.4047144513287932</v>
          </cell>
          <cell r="AK181">
            <v>5.4047144513287932</v>
          </cell>
          <cell r="AL181">
            <v>5.4047144513287932</v>
          </cell>
          <cell r="AM181">
            <v>5.4047144513287932</v>
          </cell>
          <cell r="AN181">
            <v>5.4047144513287932</v>
          </cell>
          <cell r="AO181">
            <v>5.4047144513287932</v>
          </cell>
          <cell r="AP181">
            <v>5.4047144513287932</v>
          </cell>
          <cell r="AQ181">
            <v>-43.237715610630353</v>
          </cell>
          <cell r="AR181">
            <v>0</v>
          </cell>
        </row>
      </sheetData>
      <sheetData sheetId="13" refreshError="1">
        <row r="13">
          <cell r="C13">
            <v>72.001011180600017</v>
          </cell>
        </row>
        <row r="57">
          <cell r="BB57">
            <v>0</v>
          </cell>
          <cell r="BD57">
            <v>0</v>
          </cell>
        </row>
        <row r="332">
          <cell r="C332">
            <v>52.949999999999996</v>
          </cell>
          <cell r="D332">
            <v>52.883688035225674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</row>
        <row r="336">
          <cell r="C336">
            <v>0</v>
          </cell>
          <cell r="D336">
            <v>0</v>
          </cell>
          <cell r="E336">
            <v>27.637858792898342</v>
          </cell>
          <cell r="F336">
            <v>68.523439172312422</v>
          </cell>
          <cell r="G336">
            <v>24.842091675740825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</row>
        <row r="361">
          <cell r="B361">
            <v>102.32166282754019</v>
          </cell>
          <cell r="C361">
            <v>4.9387655203957781</v>
          </cell>
          <cell r="D361">
            <v>6.0090049514736821</v>
          </cell>
          <cell r="E361">
            <v>30.534448662705763</v>
          </cell>
          <cell r="F361">
            <v>40.428071385359253</v>
          </cell>
          <cell r="G361">
            <v>20.411372307605713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</row>
        <row r="375">
          <cell r="C375">
            <v>0.18289812499999999</v>
          </cell>
          <cell r="D375">
            <v>2.1888287588497088</v>
          </cell>
          <cell r="E375">
            <v>8.9352651503430174</v>
          </cell>
          <cell r="F375">
            <v>20.176975273769763</v>
          </cell>
          <cell r="G375">
            <v>36.200727028119601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 t="e">
            <v>#N/A</v>
          </cell>
        </row>
        <row r="382">
          <cell r="C382">
            <v>51.864083829642169</v>
          </cell>
          <cell r="D382">
            <v>78.840229750563992</v>
          </cell>
          <cell r="E382">
            <v>19</v>
          </cell>
          <cell r="F382">
            <v>19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 t="e">
            <v>#N/A</v>
          </cell>
        </row>
        <row r="383">
          <cell r="C383">
            <v>51.864083829642169</v>
          </cell>
          <cell r="D383">
            <v>26.976145920921823</v>
          </cell>
          <cell r="E383">
            <v>-59.840229750563992</v>
          </cell>
          <cell r="F383">
            <v>0</v>
          </cell>
          <cell r="G383">
            <v>-19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 t="e">
            <v>#N/A</v>
          </cell>
        </row>
        <row r="470">
          <cell r="C470">
            <v>0.84532296569999987</v>
          </cell>
          <cell r="D470">
            <v>1.08961303</v>
          </cell>
          <cell r="E470">
            <v>2.3226350587873568</v>
          </cell>
          <cell r="F470">
            <v>1.776217601089654</v>
          </cell>
          <cell r="G470">
            <v>1.0154072610896547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4.3983669839296056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10.098656470426533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44.149550332583928</v>
          </cell>
          <cell r="AR526" t="e">
            <v>#N/A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25.507173857936365</v>
          </cell>
          <cell r="J527">
            <v>160.85403816914388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166.06672476654066</v>
          </cell>
          <cell r="Q527">
            <v>0</v>
          </cell>
          <cell r="R527">
            <v>68.713606481447613</v>
          </cell>
          <cell r="S527">
            <v>113.80263214950133</v>
          </cell>
          <cell r="T527">
            <v>153.46246789875431</v>
          </cell>
          <cell r="U527">
            <v>609.09670587053097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3.1338419746816477</v>
          </cell>
          <cell r="I545">
            <v>8.3569650468612942</v>
          </cell>
          <cell r="J545">
            <v>27.650323678514212</v>
          </cell>
          <cell r="K545">
            <v>8.0409911963905856</v>
          </cell>
          <cell r="L545">
            <v>2.0435495426022721</v>
          </cell>
          <cell r="M545">
            <v>4.3800131574365224</v>
          </cell>
          <cell r="N545">
            <v>1.6536263236427542</v>
          </cell>
          <cell r="O545">
            <v>6.7240103560347189</v>
          </cell>
          <cell r="P545">
            <v>35.948329928703828</v>
          </cell>
          <cell r="Q545">
            <v>20.298053346425835</v>
          </cell>
          <cell r="R545">
            <v>33.354528679998317</v>
          </cell>
          <cell r="S545">
            <v>47.821115708338752</v>
          </cell>
          <cell r="T545">
            <v>58.187510699877969</v>
          </cell>
          <cell r="U545">
            <v>136.05191849484103</v>
          </cell>
          <cell r="V545">
            <v>32.950967969851405</v>
          </cell>
          <cell r="W545">
            <v>6.4680834913284864</v>
          </cell>
          <cell r="X545">
            <v>21.21804149797924</v>
          </cell>
          <cell r="Y545">
            <v>60.143733113849969</v>
          </cell>
          <cell r="Z545">
            <v>21.714893869916683</v>
          </cell>
          <cell r="AA545">
            <v>17.239648747491174</v>
          </cell>
          <cell r="AB545">
            <v>3.7551467653603874</v>
          </cell>
          <cell r="AC545">
            <v>2.5993512510322243</v>
          </cell>
          <cell r="AD545">
            <v>2.8544138949458722</v>
          </cell>
          <cell r="AE545">
            <v>16.723043825205391</v>
          </cell>
          <cell r="AF545">
            <v>12.381627932013723</v>
          </cell>
          <cell r="AG545">
            <v>3.277553789517694</v>
          </cell>
          <cell r="AH545">
            <v>13.206289830453025</v>
          </cell>
          <cell r="AI545">
            <v>38.738453890432496</v>
          </cell>
          <cell r="AJ545">
            <v>23.6521253849095</v>
          </cell>
          <cell r="AK545">
            <v>19.441723396370314</v>
          </cell>
          <cell r="AL545">
            <v>3.2537910477270522</v>
          </cell>
          <cell r="AM545">
            <v>3.3514047791588628</v>
          </cell>
          <cell r="AN545">
            <v>4.6324952079789687</v>
          </cell>
          <cell r="AO545">
            <v>20.986263287086743</v>
          </cell>
          <cell r="AP545">
            <v>3.6621704901159271</v>
          </cell>
          <cell r="AQ545">
            <v>7.7827888099134634</v>
          </cell>
          <cell r="AR545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3.6230185285958969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3.8895563555890331</v>
          </cell>
          <cell r="Q553">
            <v>0</v>
          </cell>
          <cell r="R553">
            <v>7.8767976610763046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</row>
        <row r="555"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6.7601397173812767</v>
          </cell>
          <cell r="J555">
            <v>11.514626061033336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16.034040121887941</v>
          </cell>
          <cell r="Q555">
            <v>0</v>
          </cell>
          <cell r="R555">
            <v>19.106144484721639</v>
          </cell>
          <cell r="S555">
            <v>12.306903806237692</v>
          </cell>
          <cell r="T555">
            <v>25.490142031802094</v>
          </cell>
          <cell r="U555">
            <v>63.274716279870688</v>
          </cell>
          <cell r="V555">
            <v>93.688070342824943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</row>
        <row r="668">
          <cell r="A668" t="str">
            <v>Total Ongoing CapEx Expenditures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24.017416689296297</v>
          </cell>
          <cell r="I668">
            <v>64.046851567473084</v>
          </cell>
          <cell r="J668">
            <v>211.90900841394645</v>
          </cell>
          <cell r="K668">
            <v>59.391654420007136</v>
          </cell>
          <cell r="L668">
            <v>15.093883982720669</v>
          </cell>
          <cell r="M668">
            <v>32.351263848954758</v>
          </cell>
          <cell r="N668">
            <v>12.213867762683567</v>
          </cell>
          <cell r="O668">
            <v>49.664287601934213</v>
          </cell>
          <cell r="P668">
            <v>265.5183591122875</v>
          </cell>
          <cell r="Q668">
            <v>149.92367735596193</v>
          </cell>
          <cell r="R668">
            <v>246.36025488920981</v>
          </cell>
          <cell r="S668">
            <v>353.212074079091</v>
          </cell>
          <cell r="T668">
            <v>429.77941930826535</v>
          </cell>
          <cell r="U668">
            <v>1004.8945868827286</v>
          </cell>
          <cell r="V668">
            <v>243.37951064398581</v>
          </cell>
          <cell r="W668">
            <v>47.773983342895683</v>
          </cell>
          <cell r="X668">
            <v>156.71881206424109</v>
          </cell>
          <cell r="Y668">
            <v>444.22829541590852</v>
          </cell>
          <cell r="Z668">
            <v>160.38861888919018</v>
          </cell>
          <cell r="AA668">
            <v>127.33396116549731</v>
          </cell>
          <cell r="AB668">
            <v>27.735931247481304</v>
          </cell>
          <cell r="AC668">
            <v>19.199097156929678</v>
          </cell>
          <cell r="AD668">
            <v>21.083018185169649</v>
          </cell>
          <cell r="AE668">
            <v>123.51825980894759</v>
          </cell>
          <cell r="AF668">
            <v>91.452079642290272</v>
          </cell>
          <cell r="AG668">
            <v>24.208376462020968</v>
          </cell>
          <cell r="AH668">
            <v>97.543124053262773</v>
          </cell>
          <cell r="AI668">
            <v>286.12652470738891</v>
          </cell>
          <cell r="AJ668">
            <v>174.69722610687325</v>
          </cell>
          <cell r="AK668">
            <v>143.59872919707962</v>
          </cell>
          <cell r="AL668">
            <v>24.032862210850645</v>
          </cell>
          <cell r="AM668">
            <v>24.753848077176158</v>
          </cell>
          <cell r="AN668">
            <v>34.216124327822442</v>
          </cell>
          <cell r="AO668">
            <v>155.00687244545458</v>
          </cell>
          <cell r="AP668">
            <v>27.049198147828474</v>
          </cell>
          <cell r="AQ668">
            <v>57.484542904333054</v>
          </cell>
          <cell r="AR668">
            <v>0</v>
          </cell>
        </row>
      </sheetData>
      <sheetData sheetId="14" refreshError="1"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444.51109192264403</v>
          </cell>
          <cell r="H39">
            <v>428.9494830186589</v>
          </cell>
          <cell r="I39">
            <v>412.06768585454529</v>
          </cell>
          <cell r="J39">
            <v>393.63240296206538</v>
          </cell>
          <cell r="K39">
            <v>374.17754734525363</v>
          </cell>
          <cell r="L39">
            <v>347.07471845697097</v>
          </cell>
          <cell r="M39">
            <v>308.05715204802948</v>
          </cell>
          <cell r="N39">
            <v>258.26129182221507</v>
          </cell>
          <cell r="O39">
            <v>203.88827686094965</v>
          </cell>
          <cell r="P39">
            <v>146.56883946146809</v>
          </cell>
          <cell r="Q39">
            <v>83.988377147678563</v>
          </cell>
          <cell r="R39">
            <v>59.432207773380277</v>
          </cell>
          <cell r="S39">
            <v>32.60146546312788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177.94168156858822</v>
          </cell>
          <cell r="L42">
            <v>166.6297724420358</v>
          </cell>
          <cell r="M42">
            <v>153.54488300984613</v>
          </cell>
          <cell r="N42">
            <v>138.51405341119107</v>
          </cell>
          <cell r="O42">
            <v>121.41377779045015</v>
          </cell>
          <cell r="P42">
            <v>102.14631589007256</v>
          </cell>
          <cell r="Q42">
            <v>242.66719263293521</v>
          </cell>
          <cell r="R42">
            <v>213.45380378838661</v>
          </cell>
          <cell r="S42">
            <v>180.85872582583647</v>
          </cell>
          <cell r="T42">
            <v>144.56160651358741</v>
          </cell>
          <cell r="U42">
            <v>137.22470955210557</v>
          </cell>
          <cell r="V42">
            <v>129.01620561259611</v>
          </cell>
          <cell r="W42">
            <v>1048.8818203105286</v>
          </cell>
          <cell r="X42">
            <v>1008.4771449954877</v>
          </cell>
          <cell r="Y42">
            <v>963.30053547487228</v>
          </cell>
          <cell r="Z42">
            <v>912.75782243657488</v>
          </cell>
          <cell r="AA42">
            <v>856.49868086261563</v>
          </cell>
          <cell r="AB42">
            <v>793.9542865180922</v>
          </cell>
          <cell r="AC42">
            <v>724.4995479797708</v>
          </cell>
          <cell r="AD42">
            <v>647.44754241447538</v>
          </cell>
          <cell r="AE42">
            <v>562.04340112369255</v>
          </cell>
          <cell r="AF42">
            <v>490.39796516483983</v>
          </cell>
          <cell r="AG42">
            <v>411.04082852592336</v>
          </cell>
          <cell r="AH42">
            <v>323.20630996586738</v>
          </cell>
          <cell r="AI42">
            <v>226.05299653068215</v>
          </cell>
          <cell r="AJ42">
            <v>118.65625453974637</v>
          </cell>
          <cell r="AK42">
            <v>-9.2694445447846754E-13</v>
          </cell>
          <cell r="AL42">
            <v>-9.3151157433320825E-13</v>
          </cell>
          <cell r="AM42">
            <v>-9.3610119670540435E-13</v>
          </cell>
          <cell r="AN42">
            <v>-9.4071343246652671E-13</v>
          </cell>
          <cell r="AO42">
            <v>-9.4534839303431639E-13</v>
          </cell>
          <cell r="AP42">
            <v>-9.5000619037547765E-13</v>
          </cell>
          <cell r="AQ42">
            <v>-9.5075875686764075E-13</v>
          </cell>
          <cell r="AR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37.029756590412561</v>
          </cell>
          <cell r="I48">
            <v>35.712542945561523</v>
          </cell>
          <cell r="J48">
            <v>34.276579106898438</v>
          </cell>
          <cell r="K48">
            <v>51.409453503414127</v>
          </cell>
          <cell r="L48">
            <v>48.622634425809522</v>
          </cell>
          <cell r="M48">
            <v>44.942321971645512</v>
          </cell>
          <cell r="N48">
            <v>40.116045630306793</v>
          </cell>
          <cell r="O48">
            <v>34.324692931332905</v>
          </cell>
          <cell r="P48">
            <v>27.986088549973317</v>
          </cell>
          <cell r="Q48">
            <v>36.928014722464766</v>
          </cell>
          <cell r="R48">
            <v>29.963709008294732</v>
          </cell>
          <cell r="S48">
            <v>24.934267585419388</v>
          </cell>
          <cell r="T48">
            <v>19.360794450070102</v>
          </cell>
          <cell r="U48">
            <v>13.690157566172463</v>
          </cell>
          <cell r="V48">
            <v>12.994136461916241</v>
          </cell>
          <cell r="W48">
            <v>102.72974562263197</v>
          </cell>
          <cell r="X48">
            <v>99.314815659136386</v>
          </cell>
          <cell r="Y48">
            <v>95.4876422145216</v>
          </cell>
          <cell r="Z48">
            <v>91.202512321358512</v>
          </cell>
          <cell r="AA48">
            <v>86.417274237422632</v>
          </cell>
          <cell r="AB48">
            <v>81.090821210944569</v>
          </cell>
          <cell r="AC48">
            <v>75.169298606343972</v>
          </cell>
          <cell r="AD48">
            <v>68.593524573170271</v>
          </cell>
          <cell r="AE48">
            <v>61.298463241672081</v>
          </cell>
          <cell r="AF48">
            <v>53.21264582382134</v>
          </cell>
          <cell r="AG48">
            <v>46.42946288643698</v>
          </cell>
          <cell r="AH48">
            <v>38.916158402981409</v>
          </cell>
          <cell r="AI48">
            <v>30.600239885127479</v>
          </cell>
          <cell r="AJ48">
            <v>21.402044784711265</v>
          </cell>
          <cell r="AK48">
            <v>11.234031455544391</v>
          </cell>
          <cell r="AL48">
            <v>-8.7355646228013461E-14</v>
          </cell>
          <cell r="AM48">
            <v>-8.7786053578080737E-14</v>
          </cell>
          <cell r="AN48">
            <v>-8.8218581575123825E-14</v>
          </cell>
          <cell r="AO48">
            <v>-8.8653240667717988E-14</v>
          </cell>
          <cell r="AP48">
            <v>-8.909004135591935E-14</v>
          </cell>
          <cell r="AQ48">
            <v>-8.9344352365521717E-14</v>
          </cell>
          <cell r="AR48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-5.5222493244855286E-13</v>
          </cell>
          <cell r="H55">
            <v>3.6321756903251305</v>
          </cell>
          <cell r="I55">
            <v>4.2927534753387517</v>
          </cell>
          <cell r="J55">
            <v>4.7969146993219614</v>
          </cell>
          <cell r="K55">
            <v>4.5147993396863733</v>
          </cell>
          <cell r="L55">
            <v>4.1421104513030826</v>
          </cell>
          <cell r="M55">
            <v>3.4153622356859072</v>
          </cell>
          <cell r="N55">
            <v>2.5749050119937151</v>
          </cell>
          <cell r="O55">
            <v>1.8026065378328215</v>
          </cell>
          <cell r="P55">
            <v>1.2041888714354754</v>
          </cell>
          <cell r="Q55">
            <v>0.70560476976472131</v>
          </cell>
          <cell r="R55">
            <v>0.42056524915010507</v>
          </cell>
          <cell r="S55">
            <v>0.26052158121303981</v>
          </cell>
          <cell r="T55">
            <v>8.9749826824574525E-2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28.111770592361726</v>
          </cell>
          <cell r="H57">
            <v>28.443546792506908</v>
          </cell>
          <cell r="I57">
            <v>28.754388349350162</v>
          </cell>
          <cell r="J57">
            <v>28.341625967138754</v>
          </cell>
          <cell r="K57">
            <v>31.075713582647019</v>
          </cell>
          <cell r="L57">
            <v>35.397087123150818</v>
          </cell>
          <cell r="M57">
            <v>38.609012154829017</v>
          </cell>
          <cell r="N57">
            <v>38.367578471620895</v>
          </cell>
          <cell r="O57">
            <v>37.224780829280718</v>
          </cell>
          <cell r="P57">
            <v>37.142700952649236</v>
          </cell>
          <cell r="Q57">
            <v>15.793616913359571</v>
          </cell>
          <cell r="R57">
            <v>15.775623585063261</v>
          </cell>
          <cell r="S57">
            <v>17.394163115498362</v>
          </cell>
          <cell r="T57">
            <v>1.4911598234383357E-16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28.111770592361726</v>
          </cell>
          <cell r="H58">
            <v>0.33177620014518183</v>
          </cell>
          <cell r="I58">
            <v>0.3108415568432541</v>
          </cell>
          <cell r="J58">
            <v>-0.41276238221140815</v>
          </cell>
          <cell r="K58">
            <v>2.7340876155082654</v>
          </cell>
          <cell r="L58">
            <v>4.3213735405037994</v>
          </cell>
          <cell r="M58">
            <v>3.2119250316781986</v>
          </cell>
          <cell r="N58">
            <v>-0.24143368320812186</v>
          </cell>
          <cell r="O58">
            <v>-1.1427976423401773</v>
          </cell>
          <cell r="P58">
            <v>-8.2079876631482307E-2</v>
          </cell>
          <cell r="Q58">
            <v>-21.349084039289664</v>
          </cell>
          <cell r="R58">
            <v>-1.7993328296309841E-2</v>
          </cell>
          <cell r="S58">
            <v>1.6185395304351005</v>
          </cell>
          <cell r="T58">
            <v>-17.394163115498362</v>
          </cell>
          <cell r="U58">
            <v>-1.4911598234383357E-16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26.30944105157177</v>
          </cell>
          <cell r="I63">
            <v>25.37356790703949</v>
          </cell>
          <cell r="J63">
            <v>24.353323394406733</v>
          </cell>
          <cell r="K63">
            <v>23.242833075889081</v>
          </cell>
          <cell r="L63">
            <v>21.958891832740871</v>
          </cell>
          <cell r="M63">
            <v>20.150511048716677</v>
          </cell>
          <cell r="N63">
            <v>17.653842693992264</v>
          </cell>
          <cell r="O63">
            <v>14.607438331243129</v>
          </cell>
          <cell r="P63">
            <v>11.315290643332387</v>
          </cell>
          <cell r="Q63">
            <v>7.8149676839654481</v>
          </cell>
          <cell r="R63">
            <v>4.6967238006350787</v>
          </cell>
          <cell r="S63">
            <v>3.168793909688036</v>
          </cell>
          <cell r="T63">
            <v>1.4899859400182183</v>
          </cell>
          <cell r="U63">
            <v>9.6925388523491806E-16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39.946520817614129</v>
          </cell>
          <cell r="I65">
            <v>40.417971196107523</v>
          </cell>
          <cell r="J65">
            <v>40.859673673744865</v>
          </cell>
          <cell r="K65">
            <v>40.273142809758085</v>
          </cell>
          <cell r="L65">
            <v>44.158251628900103</v>
          </cell>
          <cell r="M65">
            <v>50.298876515164856</v>
          </cell>
          <cell r="N65">
            <v>54.862987115064641</v>
          </cell>
          <cell r="O65">
            <v>54.519912472339463</v>
          </cell>
          <cell r="P65">
            <v>52.896009429303604</v>
          </cell>
          <cell r="Q65">
            <v>52.779374815706639</v>
          </cell>
          <cell r="R65">
            <v>22.44255817121541</v>
          </cell>
          <cell r="S65">
            <v>22.41698984705009</v>
          </cell>
          <cell r="T65">
            <v>24.71691694819912</v>
          </cell>
          <cell r="U65">
            <v>9.6925388523491806E-16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10.720315538840788</v>
          </cell>
          <cell r="I71">
            <v>10.338975038522033</v>
          </cell>
          <cell r="J71">
            <v>9.9232557124917058</v>
          </cell>
          <cell r="K71">
            <v>9.4707639018902867</v>
          </cell>
          <cell r="L71">
            <v>8.9475959929674183</v>
          </cell>
          <cell r="M71">
            <v>8.2107345529575557</v>
          </cell>
          <cell r="N71">
            <v>7.1934163778576279</v>
          </cell>
          <cell r="O71">
            <v>5.9520971129004243</v>
          </cell>
          <cell r="P71">
            <v>4.6106447443120073</v>
          </cell>
          <cell r="Q71">
            <v>3.1843671377787888</v>
          </cell>
          <cell r="R71">
            <v>1.9137754026356837</v>
          </cell>
          <cell r="S71">
            <v>1.2911893689730518</v>
          </cell>
          <cell r="T71">
            <v>0.60712500102609712</v>
          </cell>
          <cell r="U71">
            <v>-6.7102192054725091E-16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16.277020367109323</v>
          </cell>
          <cell r="I73">
            <v>16.469122388906293</v>
          </cell>
          <cell r="J73">
            <v>16.649103024955458</v>
          </cell>
          <cell r="K73">
            <v>16.410109124519423</v>
          </cell>
          <cell r="L73">
            <v>17.993175536393935</v>
          </cell>
          <cell r="M73">
            <v>20.49529773113678</v>
          </cell>
          <cell r="N73">
            <v>22.3550371945934</v>
          </cell>
          <cell r="O73">
            <v>22.215244470902331</v>
          </cell>
          <cell r="P73">
            <v>21.553552229257836</v>
          </cell>
          <cell r="Q73">
            <v>21.506027089591836</v>
          </cell>
          <cell r="R73">
            <v>9.1446756555037307</v>
          </cell>
          <cell r="S73">
            <v>9.1342573230764348</v>
          </cell>
          <cell r="T73">
            <v>10.071409282797603</v>
          </cell>
          <cell r="U73">
            <v>-6.7102192054725091E-16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9">
          <cell r="A89" t="str">
            <v>Total annual interest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18.69585652563476</v>
          </cell>
          <cell r="L98">
            <v>17.716146600101236</v>
          </cell>
          <cell r="M98">
            <v>16.581076369971274</v>
          </cell>
          <cell r="N98">
            <v>15.268786558456901</v>
          </cell>
          <cell r="O98">
            <v>13.765157487189351</v>
          </cell>
          <cell r="P98">
            <v>12.060153162328923</v>
          </cell>
          <cell r="Q98">
            <v>25.928679900720528</v>
          </cell>
          <cell r="R98">
            <v>23.353209805023969</v>
          </cell>
          <cell r="S98">
            <v>20.4742843067583</v>
          </cell>
          <cell r="T98">
            <v>17.263683509025789</v>
          </cell>
          <cell r="U98">
            <v>13.690157566172463</v>
          </cell>
          <cell r="V98">
            <v>12.994136461916241</v>
          </cell>
          <cell r="W98">
            <v>102.72974562263197</v>
          </cell>
          <cell r="X98">
            <v>99.314815659136386</v>
          </cell>
          <cell r="Y98">
            <v>95.4876422145216</v>
          </cell>
          <cell r="Z98">
            <v>91.202512321358512</v>
          </cell>
          <cell r="AA98">
            <v>86.417274237422632</v>
          </cell>
          <cell r="AB98">
            <v>81.090821210944569</v>
          </cell>
          <cell r="AC98">
            <v>75.169298606343972</v>
          </cell>
          <cell r="AD98">
            <v>68.593524573170271</v>
          </cell>
          <cell r="AE98">
            <v>61.298463241672081</v>
          </cell>
          <cell r="AF98">
            <v>53.21264582382134</v>
          </cell>
          <cell r="AG98">
            <v>46.42946288643698</v>
          </cell>
          <cell r="AH98">
            <v>38.916158402981409</v>
          </cell>
          <cell r="AI98">
            <v>30.600239885127479</v>
          </cell>
          <cell r="AJ98">
            <v>21.402044784711265</v>
          </cell>
          <cell r="AK98">
            <v>11.234031455544391</v>
          </cell>
          <cell r="AL98">
            <v>-8.7355646228013461E-14</v>
          </cell>
          <cell r="AM98">
            <v>-8.7786053578080737E-14</v>
          </cell>
          <cell r="AN98">
            <v>-8.8218581575123825E-14</v>
          </cell>
          <cell r="AO98">
            <v>-8.8653240667717988E-14</v>
          </cell>
          <cell r="AP98">
            <v>-8.909004135591935E-14</v>
          </cell>
          <cell r="AQ98">
            <v>-8.9344352365521717E-14</v>
          </cell>
          <cell r="AR98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30.730829666798151</v>
          </cell>
          <cell r="L100">
            <v>31.08316471397157</v>
          </cell>
          <cell r="M100">
            <v>31.41184145424365</v>
          </cell>
          <cell r="N100">
            <v>31.701660196038702</v>
          </cell>
          <cell r="O100">
            <v>31.949691843047241</v>
          </cell>
          <cell r="P100">
            <v>32.164378475798728</v>
          </cell>
          <cell r="Q100">
            <v>53.693663392405163</v>
          </cell>
          <cell r="R100">
            <v>53.993244189182974</v>
          </cell>
          <cell r="S100">
            <v>54.280237790462294</v>
          </cell>
          <cell r="T100">
            <v>54.556588691142572</v>
          </cell>
          <cell r="U100">
            <v>21.81306054883748</v>
          </cell>
          <cell r="V100">
            <v>21.923169902499598</v>
          </cell>
          <cell r="W100">
            <v>144.38038251558606</v>
          </cell>
          <cell r="X100">
            <v>145.09312313483161</v>
          </cell>
          <cell r="Y100">
            <v>145.80120863991331</v>
          </cell>
          <cell r="Z100">
            <v>146.49147415632686</v>
          </cell>
          <cell r="AA100">
            <v>147.17363714247557</v>
          </cell>
          <cell r="AB100">
            <v>147.85524417965098</v>
          </cell>
          <cell r="AC100">
            <v>148.53590518400034</v>
          </cell>
          <cell r="AD100">
            <v>149.21518984605893</v>
          </cell>
          <cell r="AE100">
            <v>149.89262364479504</v>
          </cell>
          <cell r="AF100">
            <v>127.62730874562311</v>
          </cell>
          <cell r="AG100">
            <v>128.20282443786866</v>
          </cell>
          <cell r="AH100">
            <v>128.77590373903223</v>
          </cell>
          <cell r="AI100">
            <v>129.34601330892443</v>
          </cell>
          <cell r="AJ100">
            <v>129.91256562581529</v>
          </cell>
          <cell r="AK100">
            <v>130.47491362144487</v>
          </cell>
          <cell r="AL100">
            <v>-8.7355646228013461E-14</v>
          </cell>
          <cell r="AM100">
            <v>-8.7786053578080737E-14</v>
          </cell>
          <cell r="AN100">
            <v>-8.8218581575123825E-14</v>
          </cell>
          <cell r="AO100">
            <v>-8.8653240667717988E-14</v>
          </cell>
          <cell r="AP100">
            <v>-8.909004135591935E-14</v>
          </cell>
          <cell r="AQ100">
            <v>-8.9344352365521717E-14</v>
          </cell>
          <cell r="AR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15.935422554039938</v>
          </cell>
          <cell r="K101">
            <v>16.125081046173477</v>
          </cell>
          <cell r="L101">
            <v>16.313545196478163</v>
          </cell>
          <cell r="M101">
            <v>16.493163526259142</v>
          </cell>
          <cell r="N101">
            <v>16.654810745656718</v>
          </cell>
          <cell r="O101">
            <v>16.795985519303958</v>
          </cell>
          <cell r="P101">
            <v>29.560628302476651</v>
          </cell>
          <cell r="Q101">
            <v>29.753122998670761</v>
          </cell>
          <cell r="R101">
            <v>29.931831112089956</v>
          </cell>
          <cell r="S101">
            <v>30.104705278376624</v>
          </cell>
          <cell r="T101">
            <v>30.272963190851616</v>
          </cell>
          <cell r="U101">
            <v>30.438599561870507</v>
          </cell>
          <cell r="V101">
            <v>99.051427996425375</v>
          </cell>
          <cell r="W101">
            <v>99.567622980424758</v>
          </cell>
          <cell r="X101">
            <v>100.08016324094618</v>
          </cell>
          <cell r="Y101">
            <v>100.59141784215007</v>
          </cell>
          <cell r="Z101">
            <v>101.09540208711826</v>
          </cell>
          <cell r="AA101">
            <v>101.59350617077108</v>
          </cell>
          <cell r="AB101">
            <v>102.09406444791863</v>
          </cell>
          <cell r="AC101">
            <v>102.59708901054314</v>
          </cell>
          <cell r="AD101">
            <v>103.10259201020484</v>
          </cell>
          <cell r="AE101">
            <v>103.61058565833549</v>
          </cell>
          <cell r="AF101">
            <v>104.12108222653355</v>
          </cell>
          <cell r="AG101">
            <v>104.63409404686038</v>
          </cell>
          <cell r="AH101">
            <v>105.14963351213835</v>
          </cell>
          <cell r="AI101">
            <v>105.66771307625007</v>
          </cell>
          <cell r="AJ101">
            <v>106.18834525443928</v>
          </cell>
          <cell r="AK101">
            <v>106.71154262361333</v>
          </cell>
          <cell r="AL101">
            <v>107.23731782264667</v>
          </cell>
          <cell r="AM101">
            <v>107.76568355268653</v>
          </cell>
          <cell r="AN101">
            <v>108.29665257745953</v>
          </cell>
          <cell r="AO101">
            <v>108.83023772357998</v>
          </cell>
          <cell r="AP101">
            <v>109.36645188085993</v>
          </cell>
          <cell r="AQ101">
            <v>109.67864269782606</v>
          </cell>
          <cell r="AR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15.935422554039938</v>
          </cell>
          <cell r="K102">
            <v>0.18965849213353891</v>
          </cell>
          <cell r="L102">
            <v>0.18846415030468577</v>
          </cell>
          <cell r="M102">
            <v>0.17961832978097902</v>
          </cell>
          <cell r="N102">
            <v>0.16164721939757598</v>
          </cell>
          <cell r="O102">
            <v>0.14117477364723996</v>
          </cell>
          <cell r="P102">
            <v>12.764642783172693</v>
          </cell>
          <cell r="Q102">
            <v>0.1924946961941103</v>
          </cell>
          <cell r="R102">
            <v>0.17870811341919435</v>
          </cell>
          <cell r="S102">
            <v>0.17287416628666818</v>
          </cell>
          <cell r="T102">
            <v>0.16825791247499211</v>
          </cell>
          <cell r="U102">
            <v>0.16563637101889128</v>
          </cell>
          <cell r="V102">
            <v>68.612828434554871</v>
          </cell>
          <cell r="W102">
            <v>0.51619498399938379</v>
          </cell>
          <cell r="X102">
            <v>0.5125402605214191</v>
          </cell>
          <cell r="Y102">
            <v>0.51125460120388766</v>
          </cell>
          <cell r="Z102">
            <v>0.50398424496819416</v>
          </cell>
          <cell r="AA102">
            <v>0.49810408365281944</v>
          </cell>
          <cell r="AB102">
            <v>0.50055827714754741</v>
          </cell>
          <cell r="AC102">
            <v>0.50302456262451756</v>
          </cell>
          <cell r="AD102">
            <v>0.50550299966170087</v>
          </cell>
          <cell r="AE102">
            <v>0.5079936481306504</v>
          </cell>
          <cell r="AF102">
            <v>0.51049656819805023</v>
          </cell>
          <cell r="AG102">
            <v>0.51301182032683812</v>
          </cell>
          <cell r="AH102">
            <v>0.51553946527796768</v>
          </cell>
          <cell r="AI102">
            <v>0.51807956411171574</v>
          </cell>
          <cell r="AJ102">
            <v>0.52063217818921714</v>
          </cell>
          <cell r="AK102">
            <v>0.52319736917404214</v>
          </cell>
          <cell r="AL102">
            <v>0.52577519903334746</v>
          </cell>
          <cell r="AM102">
            <v>0.52836573003985166</v>
          </cell>
          <cell r="AN102">
            <v>0.53096902477300034</v>
          </cell>
          <cell r="AO102">
            <v>0.53358514612045838</v>
          </cell>
          <cell r="AP102">
            <v>0.53621415727994304</v>
          </cell>
          <cell r="AQ102">
            <v>0.31219081696613671</v>
          </cell>
          <cell r="AR102">
            <v>-109.67864269782606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2</v>
          </cell>
          <cell r="I143">
            <v>2</v>
          </cell>
          <cell r="J143">
            <v>2</v>
          </cell>
          <cell r="K143">
            <v>2</v>
          </cell>
          <cell r="L143">
            <v>2</v>
          </cell>
          <cell r="M143">
            <v>2</v>
          </cell>
          <cell r="N143">
            <v>2</v>
          </cell>
          <cell r="O143">
            <v>2</v>
          </cell>
          <cell r="P143">
            <v>2</v>
          </cell>
          <cell r="Q143">
            <v>2</v>
          </cell>
          <cell r="R143">
            <v>2</v>
          </cell>
          <cell r="S143">
            <v>2</v>
          </cell>
          <cell r="T143">
            <v>2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2</v>
          </cell>
          <cell r="M207">
            <v>2</v>
          </cell>
          <cell r="N207">
            <v>2</v>
          </cell>
          <cell r="O207">
            <v>2</v>
          </cell>
          <cell r="P207">
            <v>2</v>
          </cell>
          <cell r="Q207">
            <v>2</v>
          </cell>
          <cell r="R207">
            <v>2</v>
          </cell>
          <cell r="S207">
            <v>2</v>
          </cell>
          <cell r="T207">
            <v>2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</row>
      </sheetData>
      <sheetData sheetId="15" refreshError="1">
        <row r="13">
          <cell r="C13">
            <v>14.400202236120004</v>
          </cell>
        </row>
        <row r="59">
          <cell r="C59">
            <v>-42.105784172221711</v>
          </cell>
          <cell r="D59">
            <v>-30.761734362336316</v>
          </cell>
          <cell r="E59">
            <v>-37.524288730696455</v>
          </cell>
          <cell r="F59">
            <v>-38.855844859907208</v>
          </cell>
          <cell r="G59">
            <v>-46.070619730736524</v>
          </cell>
          <cell r="H59">
            <v>-52.159257660731882</v>
          </cell>
          <cell r="I59">
            <v>-56.08492440808773</v>
          </cell>
          <cell r="J59">
            <v>-61.037973629666048</v>
          </cell>
          <cell r="K59">
            <v>-67.729316336101533</v>
          </cell>
          <cell r="L59">
            <v>-74.432990085774208</v>
          </cell>
          <cell r="M59">
            <v>-81.136520522336681</v>
          </cell>
          <cell r="N59">
            <v>-91.30845061126962</v>
          </cell>
          <cell r="O59">
            <v>-99.052053138739609</v>
          </cell>
          <cell r="P59">
            <v>-106.16784387825754</v>
          </cell>
          <cell r="Q59">
            <v>-119.93075661667184</v>
          </cell>
          <cell r="R59">
            <v>-127.640089050707</v>
          </cell>
          <cell r="S59">
            <v>-137.10706584606564</v>
          </cell>
          <cell r="T59">
            <v>-151.31978863201837</v>
          </cell>
          <cell r="U59">
            <v>-157.10769666143588</v>
          </cell>
          <cell r="V59">
            <v>-161.84244549796634</v>
          </cell>
          <cell r="W59">
            <v>-180.90577442065276</v>
          </cell>
          <cell r="X59">
            <v>-194.84147596881388</v>
          </cell>
          <cell r="Y59">
            <v>-209.53293487072096</v>
          </cell>
          <cell r="Z59">
            <v>-234.17313243661198</v>
          </cell>
          <cell r="AA59">
            <v>-251.62824406352684</v>
          </cell>
          <cell r="AB59">
            <v>-270.72753108160998</v>
          </cell>
          <cell r="AC59">
            <v>-307.58287546683511</v>
          </cell>
          <cell r="AD59">
            <v>-331.74641334331159</v>
          </cell>
          <cell r="AE59">
            <v>-358.86295627896328</v>
          </cell>
          <cell r="AF59">
            <v>-400.65264062896119</v>
          </cell>
          <cell r="AG59">
            <v>-425.79692324537638</v>
          </cell>
          <cell r="AH59">
            <v>-460.6517440619308</v>
          </cell>
          <cell r="AI59">
            <v>-516.55955958490722</v>
          </cell>
          <cell r="AJ59">
            <v>-535.08826941615848</v>
          </cell>
          <cell r="AK59">
            <v>-568.30141294281805</v>
          </cell>
          <cell r="AL59">
            <v>-639.17442884088928</v>
          </cell>
          <cell r="AM59">
            <v>-692.3632358905013</v>
          </cell>
          <cell r="AN59">
            <v>-753.07246223643858</v>
          </cell>
          <cell r="AO59">
            <v>-858.52753910850947</v>
          </cell>
          <cell r="AP59">
            <v>-915.6781963504618</v>
          </cell>
          <cell r="AQ59">
            <v>-0.84034574250120109</v>
          </cell>
          <cell r="AR59">
            <v>0</v>
          </cell>
        </row>
        <row r="72">
          <cell r="C72">
            <v>30.487289960736</v>
          </cell>
          <cell r="D72">
            <v>38.361412375000725</v>
          </cell>
          <cell r="E72">
            <v>41.834657969473582</v>
          </cell>
          <cell r="F72">
            <v>43.995437159968461</v>
          </cell>
          <cell r="G72">
            <v>55.287498851921647</v>
          </cell>
          <cell r="H72">
            <v>63.891084230108561</v>
          </cell>
          <cell r="I72">
            <v>69.160240575161339</v>
          </cell>
          <cell r="J72">
            <v>75.580873025682237</v>
          </cell>
          <cell r="K72">
            <v>85.088326935940799</v>
          </cell>
          <cell r="L72">
            <v>92.703660911408249</v>
          </cell>
          <cell r="M72">
            <v>100.09072764836064</v>
          </cell>
          <cell r="N72">
            <v>111.69493194928272</v>
          </cell>
          <cell r="O72">
            <v>119.9347620271314</v>
          </cell>
          <cell r="P72">
            <v>129.21062482007341</v>
          </cell>
          <cell r="Q72">
            <v>145.97742712185428</v>
          </cell>
          <cell r="R72">
            <v>157.28284086092759</v>
          </cell>
          <cell r="S72">
            <v>168.87838290809015</v>
          </cell>
          <cell r="T72">
            <v>189.45483359197027</v>
          </cell>
          <cell r="U72">
            <v>202.75800080749184</v>
          </cell>
          <cell r="V72">
            <v>219.25018716967816</v>
          </cell>
          <cell r="W72">
            <v>246.14605540666298</v>
          </cell>
          <cell r="X72">
            <v>263.36125522439738</v>
          </cell>
          <cell r="Y72">
            <v>282.98737145937218</v>
          </cell>
          <cell r="Z72">
            <v>319.29736482589038</v>
          </cell>
          <cell r="AA72">
            <v>342.69886211274405</v>
          </cell>
          <cell r="AB72">
            <v>368.31358816342828</v>
          </cell>
          <cell r="AC72">
            <v>413.89683005148839</v>
          </cell>
          <cell r="AD72">
            <v>443.02733673810633</v>
          </cell>
          <cell r="AE72">
            <v>476.1748421074841</v>
          </cell>
          <cell r="AF72">
            <v>538.30523727818013</v>
          </cell>
          <cell r="AG72">
            <v>580.36646209959542</v>
          </cell>
          <cell r="AH72">
            <v>628.94637410377038</v>
          </cell>
          <cell r="AI72">
            <v>711.04636688505389</v>
          </cell>
          <cell r="AJ72">
            <v>765.77804404327401</v>
          </cell>
          <cell r="AK72">
            <v>829.89108487590568</v>
          </cell>
          <cell r="AL72">
            <v>939.75340452193484</v>
          </cell>
          <cell r="AM72">
            <v>1017.6418585121762</v>
          </cell>
          <cell r="AN72">
            <v>1104.7472386244917</v>
          </cell>
          <cell r="AO72">
            <v>1249.9505262526591</v>
          </cell>
          <cell r="AP72">
            <v>1348.7856550764043</v>
          </cell>
          <cell r="AQ72">
            <v>377.19868257590247</v>
          </cell>
          <cell r="AR72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5.5222493244855286E-13</v>
          </cell>
          <cell r="H91">
            <v>-3.6321756903251305</v>
          </cell>
          <cell r="I91">
            <v>-4.2927534753387517</v>
          </cell>
          <cell r="J91">
            <v>-4.7969146993219614</v>
          </cell>
          <cell r="K91">
            <v>-6.7354973228955153</v>
          </cell>
          <cell r="L91">
            <v>-6.1972194386209738</v>
          </cell>
          <cell r="M91">
            <v>-5.1612378877686194</v>
          </cell>
          <cell r="N91">
            <v>-3.9769490509204704</v>
          </cell>
          <cell r="O91">
            <v>-2.886865272949783</v>
          </cell>
          <cell r="P91">
            <v>-2.0409522845276933</v>
          </cell>
          <cell r="Q91">
            <v>-2.3544533775924981</v>
          </cell>
          <cell r="R91">
            <v>-1.8472107887605314</v>
          </cell>
          <cell r="S91">
            <v>-1.4713971023668675</v>
          </cell>
          <cell r="T91">
            <v>-1.0855356966923213</v>
          </cell>
          <cell r="U91">
            <v>-0.78600602118318286</v>
          </cell>
          <cell r="V91">
            <v>-0.72052950107390268</v>
          </cell>
          <cell r="W91">
            <v>-5.6114776924063863</v>
          </cell>
          <cell r="X91">
            <v>-5.3736321606542425</v>
          </cell>
          <cell r="Y91">
            <v>-5.1369569047762207</v>
          </cell>
          <cell r="Z91">
            <v>-4.7462487966710194</v>
          </cell>
          <cell r="AA91">
            <v>-4.4972213310938933</v>
          </cell>
          <cell r="AB91">
            <v>-4.2200286241828637</v>
          </cell>
          <cell r="AC91">
            <v>-3.9118680393349616</v>
          </cell>
          <cell r="AD91">
            <v>-3.5696597075933605</v>
          </cell>
          <cell r="AE91">
            <v>-3.1900191123401527</v>
          </cell>
          <cell r="AF91">
            <v>-2.7692269629490496</v>
          </cell>
          <cell r="AG91">
            <v>-2.4162249125152035</v>
          </cell>
          <cell r="AH91">
            <v>-2.0252267759948306</v>
          </cell>
          <cell r="AI91">
            <v>-1.5924599886117583</v>
          </cell>
          <cell r="AJ91">
            <v>-1.1137788501682426</v>
          </cell>
          <cell r="AK91">
            <v>-0.58462762615318542</v>
          </cell>
          <cell r="AL91">
            <v>4.5671198547404537E-15</v>
          </cell>
          <cell r="AM91">
            <v>4.5896223721963396E-15</v>
          </cell>
          <cell r="AN91">
            <v>4.6122357611222463E-15</v>
          </cell>
          <cell r="AO91">
            <v>4.6349605677896462E-15</v>
          </cell>
          <cell r="AP91">
            <v>4.6577973411612898E-15</v>
          </cell>
          <cell r="AQ91">
            <v>7.5256649216312618E-16</v>
          </cell>
          <cell r="AR91">
            <v>0</v>
          </cell>
        </row>
        <row r="97">
          <cell r="C97">
            <v>0</v>
          </cell>
          <cell r="D97">
            <v>-1.0589999999999999</v>
          </cell>
          <cell r="E97">
            <v>-2.6723172008806415</v>
          </cell>
          <cell r="F97">
            <v>-3.2869501570831887</v>
          </cell>
          <cell r="G97">
            <v>-3.3855586617956845</v>
          </cell>
          <cell r="H97">
            <v>-3.4871254216495551</v>
          </cell>
          <cell r="I97">
            <v>-3.5917391842990414</v>
          </cell>
          <cell r="J97">
            <v>-3.6994913598280128</v>
          </cell>
          <cell r="K97">
            <v>-3.8104761006228531</v>
          </cell>
          <cell r="L97">
            <v>-3.9247903836415388</v>
          </cell>
          <cell r="M97">
            <v>-4.0425340951507849</v>
          </cell>
          <cell r="N97">
            <v>-4.1638101180053084</v>
          </cell>
          <cell r="O97">
            <v>-4.2887244215454681</v>
          </cell>
          <cell r="P97">
            <v>-4.4173861541918322</v>
          </cell>
          <cell r="Q97">
            <v>-4.5499077388175868</v>
          </cell>
          <cell r="R97">
            <v>-4.8183559805000025</v>
          </cell>
          <cell r="S97">
            <v>-4.9629066599150029</v>
          </cell>
          <cell r="T97">
            <v>-5.1117938597124528</v>
          </cell>
          <cell r="U97">
            <v>-5.2651476755038269</v>
          </cell>
          <cell r="V97">
            <v>-5.4231021057689421</v>
          </cell>
          <cell r="W97">
            <v>-5.5857951689420107</v>
          </cell>
          <cell r="X97">
            <v>-5.7533690240102713</v>
          </cell>
          <cell r="Y97">
            <v>-5.9259700947305793</v>
          </cell>
          <cell r="Z97">
            <v>-6.4067088916852928</v>
          </cell>
          <cell r="AA97">
            <v>-6.598910158435852</v>
          </cell>
          <cell r="AB97">
            <v>-6.7968774631889275</v>
          </cell>
          <cell r="AC97">
            <v>-7.000783787084595</v>
          </cell>
          <cell r="AD97">
            <v>-7.2108073006971329</v>
          </cell>
          <cell r="AE97">
            <v>-7.4271315197180474</v>
          </cell>
          <cell r="AF97">
            <v>-7.6499454653095889</v>
          </cell>
          <cell r="AG97">
            <v>-7.879443829268876</v>
          </cell>
          <cell r="AH97">
            <v>-8.1158271441469427</v>
          </cell>
          <cell r="AI97">
            <v>-8.3593019584713506</v>
          </cell>
          <cell r="AJ97">
            <v>-8.6100810172254914</v>
          </cell>
          <cell r="AK97">
            <v>-8.8683834477422554</v>
          </cell>
          <cell r="AL97">
            <v>-9.1344349511745229</v>
          </cell>
          <cell r="AM97">
            <v>-9.4084679997097584</v>
          </cell>
          <cell r="AN97">
            <v>-9.6907220397010523</v>
          </cell>
          <cell r="AO97">
            <v>-9.9814437008920827</v>
          </cell>
          <cell r="AP97">
            <v>-10.280887011918846</v>
          </cell>
          <cell r="AQ97">
            <v>0</v>
          </cell>
          <cell r="AR97">
            <v>0</v>
          </cell>
        </row>
        <row r="106">
          <cell r="C106">
            <v>0</v>
          </cell>
          <cell r="D106">
            <v>0</v>
          </cell>
          <cell r="E106">
            <v>7.1054273576010019E-15</v>
          </cell>
          <cell r="F106">
            <v>-2.8421709430404007E-14</v>
          </cell>
          <cell r="G106">
            <v>16.184606759598164</v>
          </cell>
          <cell r="H106">
            <v>19.323563014147954</v>
          </cell>
          <cell r="I106">
            <v>19.577447971221986</v>
          </cell>
          <cell r="J106">
            <v>20.983434235260397</v>
          </cell>
          <cell r="K106">
            <v>26.10112497953061</v>
          </cell>
          <cell r="L106">
            <v>26.924780797981292</v>
          </cell>
          <cell r="M106">
            <v>26.558195812674263</v>
          </cell>
          <cell r="N106">
            <v>26.562691102989191</v>
          </cell>
          <cell r="O106">
            <v>26.028998919576459</v>
          </cell>
          <cell r="P106">
            <v>26.443932835202808</v>
          </cell>
          <cell r="Q106">
            <v>32.545321204877098</v>
          </cell>
          <cell r="R106">
            <v>35.07886874771161</v>
          </cell>
          <cell r="S106">
            <v>40.157916487112786</v>
          </cell>
          <cell r="T106">
            <v>47.113429563957709</v>
          </cell>
          <cell r="U106">
            <v>55.649327127243225</v>
          </cell>
          <cell r="V106">
            <v>77.740386449577386</v>
          </cell>
          <cell r="W106">
            <v>80.541513371122392</v>
          </cell>
          <cell r="X106">
            <v>75.212316175635777</v>
          </cell>
          <cell r="Y106">
            <v>71.831232607109428</v>
          </cell>
          <cell r="Z106">
            <v>74.02050281651168</v>
          </cell>
          <cell r="AA106">
            <v>68.061050160461946</v>
          </cell>
          <cell r="AB106">
            <v>60.127173040846344</v>
          </cell>
          <cell r="AC106">
            <v>48.962531403713029</v>
          </cell>
          <cell r="AD106">
            <v>36.939043228672517</v>
          </cell>
          <cell r="AE106">
            <v>24.188676286341291</v>
          </cell>
          <cell r="AF106">
            <v>10.690867599266767</v>
          </cell>
          <cell r="AG106">
            <v>-6.7902758377070143</v>
          </cell>
          <cell r="AH106">
            <v>-27.74207319111315</v>
          </cell>
          <cell r="AI106">
            <v>-50.495680220295128</v>
          </cell>
          <cell r="AJ106">
            <v>-76.913871768315943</v>
          </cell>
          <cell r="AK106">
            <v>-112.32794958509589</v>
          </cell>
          <cell r="AL106">
            <v>-154.29990949297678</v>
          </cell>
          <cell r="AM106">
            <v>-202.09512155255845</v>
          </cell>
          <cell r="AN106">
            <v>-252.63139708434875</v>
          </cell>
          <cell r="AO106">
            <v>-306.4102149886665</v>
          </cell>
          <cell r="AP106">
            <v>-363.96758236132052</v>
          </cell>
          <cell r="AQ106">
            <v>0.35080541486026462</v>
          </cell>
          <cell r="AR106">
            <v>0</v>
          </cell>
        </row>
        <row r="120">
          <cell r="C120">
            <v>0</v>
          </cell>
          <cell r="D120">
            <v>5.9155739999999986</v>
          </cell>
          <cell r="E120">
            <v>6.957110892755721</v>
          </cell>
          <cell r="F120">
            <v>4.4070006378188928</v>
          </cell>
          <cell r="G120">
            <v>7.7186705616905957</v>
          </cell>
          <cell r="H120">
            <v>8.7312058047808438</v>
          </cell>
          <cell r="I120">
            <v>9.1378771016967306</v>
          </cell>
          <cell r="J120">
            <v>10.664322749895486</v>
          </cell>
          <cell r="K120">
            <v>11.749401625011153</v>
          </cell>
          <cell r="L120">
            <v>15.659668228598111</v>
          </cell>
          <cell r="M120">
            <v>20.208449429983819</v>
          </cell>
          <cell r="N120">
            <v>27.338510496399991</v>
          </cell>
          <cell r="O120">
            <v>33.181481906703738</v>
          </cell>
          <cell r="P120">
            <v>35.579334894560617</v>
          </cell>
          <cell r="Q120">
            <v>43.694942430445991</v>
          </cell>
          <cell r="R120">
            <v>44.021802291960633</v>
          </cell>
          <cell r="S120">
            <v>48.638006422612492</v>
          </cell>
          <cell r="T120">
            <v>51.453964260199506</v>
          </cell>
          <cell r="U120">
            <v>42.788137740149281</v>
          </cell>
          <cell r="V120">
            <v>25.597029978329545</v>
          </cell>
          <cell r="W120">
            <v>31.166389006363428</v>
          </cell>
          <cell r="X120">
            <v>38.951854381680704</v>
          </cell>
          <cell r="Y120">
            <v>44.874635152256012</v>
          </cell>
          <cell r="Z120">
            <v>50.901731675893615</v>
          </cell>
          <cell r="AA120">
            <v>57.977260565476591</v>
          </cell>
          <cell r="AB120">
            <v>66.18168683154731</v>
          </cell>
          <cell r="AC120">
            <v>90.300981662884524</v>
          </cell>
          <cell r="AD120">
            <v>106.29877453211412</v>
          </cell>
          <cell r="AE120">
            <v>124.05350622580984</v>
          </cell>
          <cell r="AF120">
            <v>135.00357388915612</v>
          </cell>
          <cell r="AG120">
            <v>134.5325116700842</v>
          </cell>
          <cell r="AH120">
            <v>151.623774960156</v>
          </cell>
          <cell r="AI120">
            <v>171.16965690024068</v>
          </cell>
          <cell r="AJ120">
            <v>133.07548317508869</v>
          </cell>
          <cell r="AK120">
            <v>121.88793186543155</v>
          </cell>
          <cell r="AL120">
            <v>140.47939381331116</v>
          </cell>
          <cell r="AM120">
            <v>164.71651797394057</v>
          </cell>
          <cell r="AN120">
            <v>195.40996469498225</v>
          </cell>
          <cell r="AO120">
            <v>253.50699541846785</v>
          </cell>
          <cell r="AP120">
            <v>255.51971204829812</v>
          </cell>
          <cell r="AQ120">
            <v>0</v>
          </cell>
          <cell r="AR120" t="e">
            <v>#N/A</v>
          </cell>
        </row>
        <row r="152">
          <cell r="C152">
            <v>0</v>
          </cell>
          <cell r="D152">
            <v>5.9155739999999986</v>
          </cell>
          <cell r="E152">
            <v>6.957110892755721</v>
          </cell>
          <cell r="F152">
            <v>4.4070006378188928</v>
          </cell>
          <cell r="G152">
            <v>7.7186705616905957</v>
          </cell>
          <cell r="H152">
            <v>8.7312058047808438</v>
          </cell>
          <cell r="I152">
            <v>9.1378771016967306</v>
          </cell>
          <cell r="J152">
            <v>10.664322749895486</v>
          </cell>
          <cell r="K152">
            <v>11.749401625011153</v>
          </cell>
          <cell r="L152">
            <v>15.659668228598111</v>
          </cell>
          <cell r="M152">
            <v>20.208449429983819</v>
          </cell>
          <cell r="N152">
            <v>27.338510496399991</v>
          </cell>
          <cell r="O152">
            <v>33.181481906703738</v>
          </cell>
          <cell r="P152">
            <v>35.579334894560617</v>
          </cell>
          <cell r="Q152">
            <v>43.694942430445991</v>
          </cell>
          <cell r="R152">
            <v>44.021802291960633</v>
          </cell>
          <cell r="S152">
            <v>48.638006422612492</v>
          </cell>
          <cell r="T152">
            <v>51.453964260199506</v>
          </cell>
          <cell r="U152">
            <v>42.788137740149281</v>
          </cell>
          <cell r="V152">
            <v>25.597029978329545</v>
          </cell>
          <cell r="W152">
            <v>31.166389006363428</v>
          </cell>
          <cell r="X152">
            <v>38.951854381680704</v>
          </cell>
          <cell r="Y152">
            <v>44.874635152256012</v>
          </cell>
          <cell r="Z152">
            <v>50.901731675893615</v>
          </cell>
          <cell r="AA152">
            <v>57.977260565476591</v>
          </cell>
          <cell r="AB152">
            <v>66.18168683154731</v>
          </cell>
          <cell r="AC152">
            <v>90.300981662884524</v>
          </cell>
          <cell r="AD152">
            <v>106.29877453211412</v>
          </cell>
          <cell r="AE152">
            <v>124.05350622580984</v>
          </cell>
          <cell r="AF152">
            <v>135.00357388915612</v>
          </cell>
          <cell r="AG152">
            <v>134.5325116700842</v>
          </cell>
          <cell r="AH152">
            <v>151.623774960156</v>
          </cell>
          <cell r="AI152">
            <v>171.16965690024068</v>
          </cell>
          <cell r="AJ152">
            <v>133.07548317508869</v>
          </cell>
          <cell r="AK152">
            <v>121.88793186543155</v>
          </cell>
          <cell r="AL152">
            <v>140.47939381331116</v>
          </cell>
          <cell r="AM152">
            <v>164.71651797394057</v>
          </cell>
          <cell r="AN152">
            <v>195.40996469498225</v>
          </cell>
          <cell r="AO152">
            <v>253.50699541846785</v>
          </cell>
          <cell r="AP152">
            <v>255.51971204829812</v>
          </cell>
          <cell r="AQ152">
            <v>0</v>
          </cell>
          <cell r="AR152" t="e">
            <v>#N/A</v>
          </cell>
        </row>
      </sheetData>
      <sheetData sheetId="16" refreshError="1">
        <row r="13">
          <cell r="C13">
            <v>2005</v>
          </cell>
        </row>
        <row r="204">
          <cell r="C204">
            <v>0</v>
          </cell>
          <cell r="D204">
            <v>-1.6691557400718484</v>
          </cell>
          <cell r="E204">
            <v>-1.669155740071858</v>
          </cell>
          <cell r="F204">
            <v>6.4726218048509452</v>
          </cell>
          <cell r="G204">
            <v>22.657228564448985</v>
          </cell>
          <cell r="H204">
            <v>25.113564959484052</v>
          </cell>
          <cell r="I204">
            <v>24.482124849128809</v>
          </cell>
          <cell r="J204">
            <v>25.021974145221407</v>
          </cell>
          <cell r="K204">
            <v>29.242082796508839</v>
          </cell>
          <cell r="L204">
            <v>28.754978346501616</v>
          </cell>
          <cell r="M204">
            <v>26.901600896605828</v>
          </cell>
          <cell r="N204">
            <v>25.538802583900292</v>
          </cell>
          <cell r="O204">
            <v>23.651282698919317</v>
          </cell>
          <cell r="P204">
            <v>23.414263445350798</v>
          </cell>
          <cell r="Q204">
            <v>29.334787525990464</v>
          </cell>
          <cell r="R204">
            <v>30.517606767624329</v>
          </cell>
          <cell r="S204">
            <v>33.393798167971113</v>
          </cell>
          <cell r="T204">
            <v>37.765179006808694</v>
          </cell>
          <cell r="U204">
            <v>43.742264448076639</v>
          </cell>
          <cell r="V204">
            <v>61.424928397584154</v>
          </cell>
          <cell r="W204">
            <v>56.894083567798134</v>
          </cell>
          <cell r="X204">
            <v>43.265485700191675</v>
          </cell>
          <cell r="Y204">
            <v>31.194714110785071</v>
          </cell>
          <cell r="Z204">
            <v>24.477798895870365</v>
          </cell>
          <cell r="AA204">
            <v>8.5043949669791346</v>
          </cell>
          <cell r="AB204">
            <v>-10.985973992323125</v>
          </cell>
          <cell r="AC204">
            <v>-34.098766235750873</v>
          </cell>
          <cell r="AD204">
            <v>-57.783612596160765</v>
          </cell>
          <cell r="AE204">
            <v>-82.264770917159012</v>
          </cell>
          <cell r="AF204">
            <v>-105.01913012099328</v>
          </cell>
          <cell r="AG204">
            <v>-138.6822630319067</v>
          </cell>
          <cell r="AH204">
            <v>-179.55612814591677</v>
          </cell>
          <cell r="AI204">
            <v>-222.88209379639284</v>
          </cell>
          <cell r="AJ204">
            <v>-271.43161739322795</v>
          </cell>
          <cell r="AK204">
            <v>-336.74900375506195</v>
          </cell>
          <cell r="AL204">
            <v>-413.98129780288673</v>
          </cell>
          <cell r="AM204">
            <v>-495.75986046534217</v>
          </cell>
          <cell r="AN204">
            <v>-577.85759297829281</v>
          </cell>
          <cell r="AO204">
            <v>-671.75178052217507</v>
          </cell>
          <cell r="AP204">
            <v>-774.8472503500152</v>
          </cell>
          <cell r="AQ204">
            <v>-463.26534718644507</v>
          </cell>
        </row>
      </sheetData>
      <sheetData sheetId="17" refreshError="1"/>
      <sheetData sheetId="18" refreshError="1"/>
      <sheetData sheetId="19" refreshError="1">
        <row r="57">
          <cell r="BB57">
            <v>0</v>
          </cell>
        </row>
        <row r="68">
          <cell r="C68">
            <v>12.282191285770523</v>
          </cell>
          <cell r="D68">
            <v>51.746744822199787</v>
          </cell>
          <cell r="E68">
            <v>70.137288859197184</v>
          </cell>
          <cell r="F68">
            <v>77.147835163380449</v>
          </cell>
          <cell r="G68">
            <v>114.10412451385349</v>
          </cell>
          <cell r="H68">
            <v>138.9229652747706</v>
          </cell>
          <cell r="I68">
            <v>153.64359112190635</v>
          </cell>
          <cell r="J68">
            <v>171.93622699353875</v>
          </cell>
          <cell r="K68">
            <v>200.38148218647808</v>
          </cell>
          <cell r="L68">
            <v>221.81045702653375</v>
          </cell>
          <cell r="M68">
            <v>242.81955152481601</v>
          </cell>
          <cell r="N68">
            <v>275.84513957813391</v>
          </cell>
          <cell r="O68">
            <v>299.09024123233803</v>
          </cell>
          <cell r="P68">
            <v>325.88844291491387</v>
          </cell>
          <cell r="Q68">
            <v>374.35745763972227</v>
          </cell>
          <cell r="R68">
            <v>406.73275412533576</v>
          </cell>
          <cell r="S68">
            <v>440.02471190801282</v>
          </cell>
          <cell r="T68">
            <v>499.27180220241269</v>
          </cell>
          <cell r="U68">
            <v>536.91934159203902</v>
          </cell>
          <cell r="V68">
            <v>583.96594777506743</v>
          </cell>
          <cell r="W68">
            <v>662.98691732603493</v>
          </cell>
          <cell r="X68">
            <v>714.29564016887343</v>
          </cell>
          <cell r="Y68">
            <v>773.79573753185241</v>
          </cell>
          <cell r="Z68">
            <v>882.56525516696274</v>
          </cell>
          <cell r="AA68">
            <v>953.06103534600015</v>
          </cell>
          <cell r="AB68">
            <v>1031.930129431018</v>
          </cell>
          <cell r="AC68">
            <v>1169.3773796358046</v>
          </cell>
          <cell r="AD68">
            <v>1258.3555383507739</v>
          </cell>
          <cell r="AE68">
            <v>1361.4655945558345</v>
          </cell>
          <cell r="AF68">
            <v>1552.0315637070416</v>
          </cell>
          <cell r="AG68">
            <v>1686.2484703822101</v>
          </cell>
          <cell r="AH68">
            <v>1845.8124835953581</v>
          </cell>
          <cell r="AI68">
            <v>2103.4520467759812</v>
          </cell>
          <cell r="AJ68">
            <v>2280.6474171923064</v>
          </cell>
          <cell r="AK68">
            <v>2493.2984339952031</v>
          </cell>
          <cell r="AL68">
            <v>2841.0484629486673</v>
          </cell>
          <cell r="AM68">
            <v>3099.0816785281804</v>
          </cell>
          <cell r="AN68">
            <v>3390.134692101461</v>
          </cell>
          <cell r="AO68">
            <v>3853.1757743035532</v>
          </cell>
          <cell r="AP68">
            <v>4179.4341897604636</v>
          </cell>
          <cell r="AQ68">
            <v>1278.8981470370516</v>
          </cell>
          <cell r="AR68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10.306867554894531</v>
          </cell>
          <cell r="I111">
            <v>0</v>
          </cell>
          <cell r="J111">
            <v>0</v>
          </cell>
          <cell r="K111">
            <v>6.24859075336704</v>
          </cell>
          <cell r="L111">
            <v>31.672078932757955</v>
          </cell>
          <cell r="M111">
            <v>19.50177401666339</v>
          </cell>
          <cell r="N111">
            <v>54.046187566057469</v>
          </cell>
          <cell r="O111">
            <v>31.312104147429039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1.4192431559218548</v>
          </cell>
          <cell r="W111">
            <v>271.47196445523139</v>
          </cell>
          <cell r="X111">
            <v>201.0193295720307</v>
          </cell>
          <cell r="Y111">
            <v>0</v>
          </cell>
          <cell r="Z111">
            <v>318.28763551663872</v>
          </cell>
          <cell r="AA111">
            <v>409.65183446056125</v>
          </cell>
          <cell r="AB111">
            <v>518.88187280012664</v>
          </cell>
          <cell r="AC111">
            <v>620.42092598404884</v>
          </cell>
          <cell r="AD111">
            <v>654.52468010595271</v>
          </cell>
          <cell r="AE111">
            <v>546.50656374083758</v>
          </cell>
          <cell r="AF111">
            <v>362.44901541347315</v>
          </cell>
          <cell r="AG111">
            <v>353.33281645748878</v>
          </cell>
          <cell r="AH111">
            <v>400.62199004967255</v>
          </cell>
          <cell r="AI111">
            <v>455.04812703376552</v>
          </cell>
          <cell r="AJ111">
            <v>344.50690857111147</v>
          </cell>
          <cell r="AK111">
            <v>311.0110300657783</v>
          </cell>
          <cell r="AL111">
            <v>363.14471923756287</v>
          </cell>
          <cell r="AM111">
            <v>432.89867006393183</v>
          </cell>
          <cell r="AN111">
            <v>522.47165174197505</v>
          </cell>
          <cell r="AO111">
            <v>687.58957060285309</v>
          </cell>
          <cell r="AP111">
            <v>692.21711298947798</v>
          </cell>
          <cell r="AQ111">
            <v>0</v>
          </cell>
          <cell r="AR111">
            <v>0</v>
          </cell>
        </row>
        <row r="113">
          <cell r="C113">
            <v>0</v>
          </cell>
          <cell r="D113">
            <v>51.864083829642176</v>
          </cell>
          <cell r="E113">
            <v>78.840229750563978</v>
          </cell>
          <cell r="F113">
            <v>19.576576989846004</v>
          </cell>
          <cell r="G113">
            <v>21.272816295903155</v>
          </cell>
          <cell r="H113">
            <v>20.776031334384399</v>
          </cell>
          <cell r="I113">
            <v>19</v>
          </cell>
          <cell r="J113">
            <v>19</v>
          </cell>
          <cell r="K113">
            <v>19</v>
          </cell>
          <cell r="L113">
            <v>19</v>
          </cell>
          <cell r="M113">
            <v>19</v>
          </cell>
          <cell r="N113">
            <v>19</v>
          </cell>
          <cell r="O113">
            <v>19</v>
          </cell>
          <cell r="P113">
            <v>19</v>
          </cell>
          <cell r="Q113">
            <v>19</v>
          </cell>
          <cell r="R113">
            <v>19</v>
          </cell>
          <cell r="S113">
            <v>19</v>
          </cell>
          <cell r="T113">
            <v>19</v>
          </cell>
          <cell r="U113">
            <v>19</v>
          </cell>
          <cell r="V113">
            <v>19</v>
          </cell>
          <cell r="W113">
            <v>19</v>
          </cell>
          <cell r="X113">
            <v>19</v>
          </cell>
          <cell r="Y113">
            <v>19</v>
          </cell>
          <cell r="Z113">
            <v>19</v>
          </cell>
          <cell r="AA113">
            <v>19</v>
          </cell>
          <cell r="AB113">
            <v>19</v>
          </cell>
          <cell r="AC113">
            <v>19</v>
          </cell>
          <cell r="AD113">
            <v>19</v>
          </cell>
          <cell r="AE113">
            <v>19</v>
          </cell>
          <cell r="AF113">
            <v>98.509327731603321</v>
          </cell>
          <cell r="AG113">
            <v>556.20280786892135</v>
          </cell>
          <cell r="AH113">
            <v>1163.1695467784389</v>
          </cell>
          <cell r="AI113">
            <v>1769.403595452975</v>
          </cell>
          <cell r="AJ113">
            <v>2383.3087239833094</v>
          </cell>
          <cell r="AK113">
            <v>3300.492967588073</v>
          </cell>
          <cell r="AL113">
            <v>4460.7617613437251</v>
          </cell>
          <cell r="AM113">
            <v>6079.2539473458255</v>
          </cell>
          <cell r="AN113">
            <v>7776.263717457934</v>
          </cell>
          <cell r="AO113">
            <v>9567.6255898036325</v>
          </cell>
          <cell r="AP113">
            <v>11419.092912122231</v>
          </cell>
          <cell r="AQ113">
            <v>13567.35338906281</v>
          </cell>
          <cell r="AR113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13634.028351921555</v>
          </cell>
          <cell r="AR116" t="e">
            <v>#N/A</v>
          </cell>
        </row>
        <row r="117">
          <cell r="C117">
            <v>51.864083829642176</v>
          </cell>
          <cell r="D117">
            <v>78.840229750563978</v>
          </cell>
          <cell r="E117">
            <v>19.576576989846004</v>
          </cell>
          <cell r="F117">
            <v>21.272816295903155</v>
          </cell>
          <cell r="G117">
            <v>20.776031334384399</v>
          </cell>
          <cell r="H117">
            <v>19</v>
          </cell>
          <cell r="I117">
            <v>19</v>
          </cell>
          <cell r="J117">
            <v>19</v>
          </cell>
          <cell r="K117">
            <v>19</v>
          </cell>
          <cell r="L117">
            <v>19</v>
          </cell>
          <cell r="M117">
            <v>19</v>
          </cell>
          <cell r="N117">
            <v>19</v>
          </cell>
          <cell r="O117">
            <v>19</v>
          </cell>
          <cell r="P117">
            <v>19</v>
          </cell>
          <cell r="Q117">
            <v>19</v>
          </cell>
          <cell r="R117">
            <v>19</v>
          </cell>
          <cell r="S117">
            <v>19</v>
          </cell>
          <cell r="T117">
            <v>19</v>
          </cell>
          <cell r="U117">
            <v>19</v>
          </cell>
          <cell r="V117">
            <v>19</v>
          </cell>
          <cell r="W117">
            <v>19</v>
          </cell>
          <cell r="X117">
            <v>19</v>
          </cell>
          <cell r="Y117">
            <v>19</v>
          </cell>
          <cell r="Z117">
            <v>19</v>
          </cell>
          <cell r="AA117">
            <v>19</v>
          </cell>
          <cell r="AB117">
            <v>19</v>
          </cell>
          <cell r="AC117">
            <v>19</v>
          </cell>
          <cell r="AD117">
            <v>19</v>
          </cell>
          <cell r="AE117">
            <v>98.509327731603321</v>
          </cell>
          <cell r="AF117">
            <v>556.20280786892135</v>
          </cell>
          <cell r="AG117">
            <v>1163.1695467784389</v>
          </cell>
          <cell r="AH117">
            <v>1769.403595452975</v>
          </cell>
          <cell r="AI117">
            <v>2383.3087239833094</v>
          </cell>
          <cell r="AJ117">
            <v>3300.492967588073</v>
          </cell>
          <cell r="AK117">
            <v>4460.7617613437251</v>
          </cell>
          <cell r="AL117">
            <v>6079.2539473458255</v>
          </cell>
          <cell r="AM117">
            <v>7776.263717457934</v>
          </cell>
          <cell r="AN117">
            <v>9567.6255898036325</v>
          </cell>
          <cell r="AO117">
            <v>11419.092912122231</v>
          </cell>
          <cell r="AP117">
            <v>13567.35338906281</v>
          </cell>
          <cell r="AQ117">
            <v>0</v>
          </cell>
          <cell r="AR117" t="e">
            <v>#N/A</v>
          </cell>
        </row>
      </sheetData>
      <sheetData sheetId="20" refreshError="1">
        <row r="39">
          <cell r="C39">
            <v>0</v>
          </cell>
        </row>
        <row r="57">
          <cell r="C57">
            <v>-2.3731602547111565</v>
          </cell>
          <cell r="D57">
            <v>24.394348241422957</v>
          </cell>
          <cell r="E57">
            <v>35.477580556192621</v>
          </cell>
          <cell r="F57">
            <v>36.752001986734172</v>
          </cell>
          <cell r="G57">
            <v>64.169788448594787</v>
          </cell>
          <cell r="H57">
            <v>35.455656931173948</v>
          </cell>
          <cell r="I57">
            <v>44.389901738641655</v>
          </cell>
          <cell r="J57">
            <v>55.18991162268459</v>
          </cell>
          <cell r="K57">
            <v>49.211071204356543</v>
          </cell>
          <cell r="L57">
            <v>63.683680439369944</v>
          </cell>
          <cell r="M57">
            <v>80.121293315172352</v>
          </cell>
          <cell r="N57">
            <v>106.37425240955039</v>
          </cell>
          <cell r="O57">
            <v>127.74920006983569</v>
          </cell>
          <cell r="P57">
            <v>152.0979019987748</v>
          </cell>
          <cell r="Q57">
            <v>166.60915629855447</v>
          </cell>
          <cell r="R57">
            <v>186.33651622647938</v>
          </cell>
          <cell r="S57">
            <v>195.48236359724075</v>
          </cell>
          <cell r="T57">
            <v>218.02285555528795</v>
          </cell>
          <cell r="U57">
            <v>219.70842866711985</v>
          </cell>
          <cell r="V57">
            <v>177.64240207249725</v>
          </cell>
          <cell r="W57">
            <v>100.51189671683892</v>
          </cell>
          <cell r="X57">
            <v>129.57076918101808</v>
          </cell>
          <cell r="Y57">
            <v>151.41608965399382</v>
          </cell>
          <cell r="Z57">
            <v>173.4865642892529</v>
          </cell>
          <cell r="AA57">
            <v>199.72243717380519</v>
          </cell>
          <cell r="AB57">
            <v>230.26380962598409</v>
          </cell>
          <cell r="AC57">
            <v>322.195820488143</v>
          </cell>
          <cell r="AD57">
            <v>382.7100975999162</v>
          </cell>
          <cell r="AE57">
            <v>449.94315839522528</v>
          </cell>
          <cell r="AF57">
            <v>490.83408195548657</v>
          </cell>
          <cell r="AG57">
            <v>487.6667729071587</v>
          </cell>
          <cell r="AH57">
            <v>552.23980835321606</v>
          </cell>
          <cell r="AI57">
            <v>626.21760523430783</v>
          </cell>
          <cell r="AJ57">
            <v>477.58238638520925</v>
          </cell>
          <cell r="AK57">
            <v>432.89896177038008</v>
          </cell>
          <cell r="AL57">
            <v>503.62411304604916</v>
          </cell>
          <cell r="AM57">
            <v>597.61518803772765</v>
          </cell>
          <cell r="AN57">
            <v>717.88161643695298</v>
          </cell>
          <cell r="AO57">
            <v>941.09656602132077</v>
          </cell>
          <cell r="AP57">
            <v>947.73682503777604</v>
          </cell>
          <cell r="AQ57">
            <v>-877.82252101230256</v>
          </cell>
          <cell r="AR57">
            <v>0</v>
          </cell>
        </row>
        <row r="61">
          <cell r="C61">
            <v>-2.3731602547111565</v>
          </cell>
          <cell r="D61">
            <v>18.478774241422958</v>
          </cell>
          <cell r="E61">
            <v>28.520469663436899</v>
          </cell>
          <cell r="F61">
            <v>32.345001348915275</v>
          </cell>
          <cell r="G61">
            <v>56.451117886904193</v>
          </cell>
          <cell r="H61">
            <v>26.724451126393106</v>
          </cell>
          <cell r="I61">
            <v>35.252024636944924</v>
          </cell>
          <cell r="J61">
            <v>44.5255888727891</v>
          </cell>
          <cell r="K61">
            <v>37.46166957934539</v>
          </cell>
          <cell r="L61">
            <v>48.024012210771829</v>
          </cell>
          <cell r="M61">
            <v>59.912843885188536</v>
          </cell>
          <cell r="N61">
            <v>79.035741913150403</v>
          </cell>
          <cell r="O61">
            <v>94.567718163131957</v>
          </cell>
          <cell r="P61">
            <v>116.51856710421418</v>
          </cell>
          <cell r="Q61">
            <v>122.91421386810848</v>
          </cell>
          <cell r="R61">
            <v>142.31471393451875</v>
          </cell>
          <cell r="S61">
            <v>146.84435717462827</v>
          </cell>
          <cell r="T61">
            <v>166.56889129508843</v>
          </cell>
          <cell r="U61">
            <v>176.92029092697055</v>
          </cell>
          <cell r="V61">
            <v>152.0453720941677</v>
          </cell>
          <cell r="W61">
            <v>69.345507710475488</v>
          </cell>
          <cell r="X61">
            <v>90.618914799337375</v>
          </cell>
          <cell r="Y61">
            <v>106.5414545017378</v>
          </cell>
          <cell r="Z61">
            <v>122.58483261335928</v>
          </cell>
          <cell r="AA61">
            <v>141.74517660832859</v>
          </cell>
          <cell r="AB61">
            <v>164.08212279443677</v>
          </cell>
          <cell r="AC61">
            <v>231.89483882525849</v>
          </cell>
          <cell r="AD61">
            <v>276.41132306780207</v>
          </cell>
          <cell r="AE61">
            <v>325.88965216941546</v>
          </cell>
          <cell r="AF61">
            <v>355.83050806633048</v>
          </cell>
          <cell r="AG61">
            <v>353.1342612370745</v>
          </cell>
          <cell r="AH61">
            <v>400.61603339306009</v>
          </cell>
          <cell r="AI61">
            <v>455.04794833406714</v>
          </cell>
          <cell r="AJ61">
            <v>344.50690321012053</v>
          </cell>
          <cell r="AK61">
            <v>311.01102990494854</v>
          </cell>
          <cell r="AL61">
            <v>363.144719232738</v>
          </cell>
          <cell r="AM61">
            <v>432.89867006378711</v>
          </cell>
          <cell r="AN61">
            <v>522.47165174197073</v>
          </cell>
          <cell r="AO61">
            <v>687.58957060285297</v>
          </cell>
          <cell r="AP61">
            <v>692.21711298947798</v>
          </cell>
          <cell r="AQ61">
            <v>-877.82252101230256</v>
          </cell>
          <cell r="AR61" t="e">
            <v>#N/A</v>
          </cell>
        </row>
      </sheetData>
      <sheetData sheetId="21" refreshError="1">
        <row r="59">
          <cell r="C59">
            <v>-42.105784172221711</v>
          </cell>
        </row>
        <row r="67">
          <cell r="C67">
            <v>0</v>
          </cell>
          <cell r="D67">
            <v>-2.3731602547111565</v>
          </cell>
          <cell r="E67">
            <v>16.058150781617577</v>
          </cell>
          <cell r="F67">
            <v>44.980074214594914</v>
          </cell>
          <cell r="G67">
            <v>78.674477789948028</v>
          </cell>
          <cell r="H67">
            <v>137.48583001055064</v>
          </cell>
          <cell r="I67">
            <v>158.02798848236577</v>
          </cell>
          <cell r="J67">
            <v>198.02085277378166</v>
          </cell>
          <cell r="K67">
            <v>248.48706722978423</v>
          </cell>
          <cell r="L67">
            <v>287.15475807265614</v>
          </cell>
          <cell r="M67">
            <v>312.12133409284974</v>
          </cell>
          <cell r="N67">
            <v>361.89604398416037</v>
          </cell>
          <cell r="O67">
            <v>397.74247965077808</v>
          </cell>
          <cell r="P67">
            <v>472.93036805600428</v>
          </cell>
          <cell r="Q67">
            <v>603.63684620189861</v>
          </cell>
          <cell r="R67">
            <v>744.66016545606408</v>
          </cell>
          <cell r="S67">
            <v>909.31468435426473</v>
          </cell>
          <cell r="T67">
            <v>1083.4384820595208</v>
          </cell>
          <cell r="U67">
            <v>1282.5105278163949</v>
          </cell>
          <cell r="V67">
            <v>1497.9061345778571</v>
          </cell>
          <cell r="W67">
            <v>1693.4694475534388</v>
          </cell>
          <cell r="X67">
            <v>1542.147074235286</v>
          </cell>
          <cell r="Y67">
            <v>1478.0110716896511</v>
          </cell>
          <cell r="Z67">
            <v>1628.8928583420786</v>
          </cell>
          <cell r="AA67">
            <v>1482.0568411890617</v>
          </cell>
          <cell r="AB67">
            <v>1258.6118885725009</v>
          </cell>
          <cell r="AC67">
            <v>941.57049522398609</v>
          </cell>
          <cell r="AD67">
            <v>581.29152292191532</v>
          </cell>
          <cell r="AE67">
            <v>220.61691157142212</v>
          </cell>
          <cell r="AF67">
            <v>6.6185073471426632</v>
          </cell>
          <cell r="AG67">
            <v>0.19855522041427989</v>
          </cell>
          <cell r="AH67">
            <v>5.9566566124283965E-3</v>
          </cell>
          <cell r="AI67">
            <v>1.7869969837285189E-4</v>
          </cell>
          <cell r="AJ67">
            <v>5.3609909511855569E-6</v>
          </cell>
          <cell r="AK67">
            <v>1.6082972853556669E-7</v>
          </cell>
          <cell r="AL67">
            <v>4.8248918560670005E-9</v>
          </cell>
          <cell r="AM67">
            <v>1.4474675568201001E-10</v>
          </cell>
          <cell r="AN67">
            <v>4.3424026704603E-12</v>
          </cell>
          <cell r="AO67">
            <v>1.3027208011380899E-13</v>
          </cell>
          <cell r="AP67">
            <v>3.9081624034142692E-15</v>
          </cell>
          <cell r="AQ67">
            <v>1.1724487210242807E-16</v>
          </cell>
          <cell r="AR67">
            <v>-14511.850872933857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10.306867554894531</v>
          </cell>
          <cell r="I70">
            <v>0</v>
          </cell>
          <cell r="J70">
            <v>0</v>
          </cell>
          <cell r="K70">
            <v>6.24859075336704</v>
          </cell>
          <cell r="L70">
            <v>31.672078932757955</v>
          </cell>
          <cell r="M70">
            <v>19.50177401666339</v>
          </cell>
          <cell r="N70">
            <v>54.046187566057469</v>
          </cell>
          <cell r="O70">
            <v>31.312104147429039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1.4192431559218548</v>
          </cell>
          <cell r="W70">
            <v>271.47196445523139</v>
          </cell>
          <cell r="X70">
            <v>201.0193295720307</v>
          </cell>
          <cell r="Y70">
            <v>0</v>
          </cell>
          <cell r="Z70">
            <v>318.28763551663872</v>
          </cell>
          <cell r="AA70">
            <v>409.65183446056125</v>
          </cell>
          <cell r="AB70">
            <v>518.88187280012664</v>
          </cell>
          <cell r="AC70">
            <v>620.42092598404884</v>
          </cell>
          <cell r="AD70">
            <v>654.52468010595271</v>
          </cell>
          <cell r="AE70">
            <v>546.50656374083758</v>
          </cell>
          <cell r="AF70">
            <v>362.44901541347315</v>
          </cell>
          <cell r="AG70">
            <v>353.33281645748878</v>
          </cell>
          <cell r="AH70">
            <v>400.62199004967255</v>
          </cell>
          <cell r="AI70">
            <v>455.04812703376552</v>
          </cell>
          <cell r="AJ70">
            <v>344.50690857111147</v>
          </cell>
          <cell r="AK70">
            <v>311.0110300657783</v>
          </cell>
          <cell r="AL70">
            <v>363.14471923756287</v>
          </cell>
          <cell r="AM70">
            <v>432.89867006393183</v>
          </cell>
          <cell r="AN70">
            <v>522.47165174197505</v>
          </cell>
          <cell r="AO70">
            <v>687.58957060285309</v>
          </cell>
          <cell r="AP70">
            <v>692.21711298947798</v>
          </cell>
          <cell r="AQ70">
            <v>0</v>
          </cell>
          <cell r="AR70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>
        <row r="13">
          <cell r="C13">
            <v>2005</v>
          </cell>
        </row>
        <row r="17">
          <cell r="C17">
            <v>0.5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Chart1"/>
      <sheetName val="Graph Data"/>
      <sheetName val="Graph DE Ratio"/>
      <sheetName val="Assumptions"/>
      <sheetName val="Scenarios"/>
      <sheetName val="Pax"/>
      <sheetName val="Traffic"/>
      <sheetName val="Parking"/>
      <sheetName val="Airbridge"/>
      <sheetName val="Ground Handling"/>
      <sheetName val="Cargo"/>
      <sheetName val="Fuel"/>
      <sheetName val="Aeronautical"/>
      <sheetName val="Commercial"/>
      <sheetName val="OPEX"/>
      <sheetName val="CAPEX"/>
      <sheetName val="Depreciation"/>
      <sheetName val="Debt Service"/>
      <sheetName val="Taxes"/>
      <sheetName val="P&amp;L"/>
      <sheetName val="WK"/>
      <sheetName val="Cash Flow"/>
      <sheetName val="Balance Sheet"/>
      <sheetName val="CF Differences"/>
      <sheetName val="Fraport"/>
      <sheetName val="P&amp;L Comparative"/>
      <sheetName val="BS Comparative"/>
      <sheetName val="CF Diff Comp"/>
      <sheetName val="Stat Comp"/>
      <sheetName val="Tariff Comp"/>
      <sheetName val="Commer Rat Comp"/>
      <sheetName val="F"/>
      <sheetName val="CONS-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5">
          <cell r="AB135">
            <v>5.2020266338471721</v>
          </cell>
          <cell r="AC135">
            <v>8.2565931052601105</v>
          </cell>
          <cell r="AD135">
            <v>5.3065757984170467</v>
          </cell>
          <cell r="AF135">
            <v>5.7191537649974071</v>
          </cell>
          <cell r="AG135">
            <v>3.3371357321994184</v>
          </cell>
          <cell r="AH135">
            <v>1.6564865696851523</v>
          </cell>
          <cell r="AI135">
            <v>1.9117689199864398</v>
          </cell>
          <cell r="AJ135">
            <v>1.4794894694077994</v>
          </cell>
          <cell r="AK135">
            <v>3.2722467527674359</v>
          </cell>
          <cell r="AL135">
            <v>1.1961066273500396</v>
          </cell>
          <cell r="AM135">
            <v>0.17162257961774796</v>
          </cell>
          <cell r="AN135">
            <v>0.45105816884923122</v>
          </cell>
          <cell r="AO135">
            <v>1.0891870987504237</v>
          </cell>
          <cell r="AP135">
            <v>1.7959080572208821</v>
          </cell>
          <cell r="AQ135">
            <v>5.8575703345282388</v>
          </cell>
          <cell r="AS135">
            <v>1.2411768358699484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0.76992828630818133</v>
          </cell>
          <cell r="BB135">
            <v>9.3873291626140443E-2</v>
          </cell>
          <cell r="BC135">
            <v>1.1134168460686324</v>
          </cell>
          <cell r="BD135">
            <v>2.4290972709286569</v>
          </cell>
          <cell r="BF135">
            <v>1.4595970781985372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</row>
        <row r="140">
          <cell r="AB140">
            <v>5.2020266338471721</v>
          </cell>
          <cell r="AC140">
            <v>8.2565931052601105</v>
          </cell>
          <cell r="AD140">
            <v>5.3065757984170467</v>
          </cell>
          <cell r="AF140">
            <v>5.7191537649974071</v>
          </cell>
          <cell r="AG140">
            <v>3.3371357321994184</v>
          </cell>
          <cell r="AH140">
            <v>1.6564865696851523</v>
          </cell>
          <cell r="AI140">
            <v>1.9117689199864398</v>
          </cell>
          <cell r="AJ140">
            <v>1.4794894694077994</v>
          </cell>
          <cell r="AK140">
            <v>3.2722467527674359</v>
          </cell>
          <cell r="AL140">
            <v>1.1961066273500396</v>
          </cell>
          <cell r="AM140">
            <v>0.17162257961774796</v>
          </cell>
          <cell r="AN140">
            <v>0.45105816884923122</v>
          </cell>
          <cell r="AO140">
            <v>1.0891870987504237</v>
          </cell>
          <cell r="AP140">
            <v>1.7959080572208821</v>
          </cell>
          <cell r="AQ140">
            <v>5.8575703345282388</v>
          </cell>
          <cell r="AS140">
            <v>1.2411768358699298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0.76992828610442987</v>
          </cell>
          <cell r="BB140">
            <v>9.3873291558254301E-2</v>
          </cell>
          <cell r="BC140">
            <v>1.1134168460007463</v>
          </cell>
          <cell r="BD140">
            <v>2.4290972708607717</v>
          </cell>
          <cell r="BF140">
            <v>1.4595970780403595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D141">
            <v>5.6559912309239735E-10</v>
          </cell>
        </row>
      </sheetData>
      <sheetData sheetId="23" refreshError="1">
        <row r="1">
          <cell r="AE1">
            <v>-9.5582208814448677E-5</v>
          </cell>
          <cell r="AF1">
            <v>-9.5553787105018273E-5</v>
          </cell>
          <cell r="AG1">
            <v>-9.5553787105018273E-5</v>
          </cell>
          <cell r="AI1">
            <v>-9.5582208814448677E-5</v>
          </cell>
          <cell r="AJ1">
            <v>-9.5582208814448677E-5</v>
          </cell>
          <cell r="AK1">
            <v>-9.5582208814448677E-5</v>
          </cell>
          <cell r="AL1">
            <v>-9.5582208814448677E-5</v>
          </cell>
          <cell r="AM1">
            <v>-9.5582208814448677E-5</v>
          </cell>
          <cell r="AN1">
            <v>-9.5610630523879081E-5</v>
          </cell>
          <cell r="AO1">
            <v>-9.5610630523879081E-5</v>
          </cell>
          <cell r="AP1">
            <v>-9.5639052233309485E-5</v>
          </cell>
          <cell r="AQ1">
            <v>-9.5610630523879081E-5</v>
          </cell>
          <cell r="AR1">
            <v>-9.5610630523879081E-5</v>
          </cell>
          <cell r="AS1">
            <v>-9.5610630523879081E-5</v>
          </cell>
          <cell r="AT1">
            <v>-9.5553787105018273E-5</v>
          </cell>
          <cell r="AV1">
            <v>-9.5582208814448677E-5</v>
          </cell>
          <cell r="AW1">
            <v>-9.5582208814448677E-5</v>
          </cell>
          <cell r="AX1">
            <v>-9.5582208814448677E-5</v>
          </cell>
          <cell r="AY1">
            <v>-9.5553787105018273E-5</v>
          </cell>
          <cell r="AZ1">
            <v>-9.5553787105018273E-5</v>
          </cell>
          <cell r="BA1">
            <v>-9.5553787105018273E-5</v>
          </cell>
          <cell r="BB1">
            <v>-9.5582208814448677E-5</v>
          </cell>
          <cell r="BC1">
            <v>-9.5582208814448677E-5</v>
          </cell>
          <cell r="BD1">
            <v>1.0820144780154806E-4</v>
          </cell>
          <cell r="BE1">
            <v>1.7601564650249202E-4</v>
          </cell>
          <cell r="BF1">
            <v>2.4391511033172719E-4</v>
          </cell>
          <cell r="BG1">
            <v>3.1178615245153196E-4</v>
          </cell>
          <cell r="BI1">
            <v>4.6995296543173026E-4</v>
          </cell>
          <cell r="BJ1">
            <v>4.6998138714116067E-4</v>
          </cell>
          <cell r="BK1">
            <v>4.6998138714116067E-4</v>
          </cell>
          <cell r="BL1">
            <v>4.6998138714116067E-4</v>
          </cell>
          <cell r="BM1">
            <v>4.6995296543173026E-4</v>
          </cell>
          <cell r="BN1">
            <v>4.6998138714116067E-4</v>
          </cell>
          <cell r="BO1">
            <v>4.6998138714116067E-4</v>
          </cell>
          <cell r="BP1">
            <v>4.6995296543173026E-4</v>
          </cell>
          <cell r="BQ1">
            <v>4.6995296543173026E-4</v>
          </cell>
          <cell r="BR1">
            <v>4.6992454372229986E-4</v>
          </cell>
          <cell r="BS1">
            <v>4.6995296543173026E-4</v>
          </cell>
          <cell r="BT1">
            <v>4.6998138714116067E-4</v>
          </cell>
          <cell r="BV1">
            <v>4.2810768263734644E-3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S"/>
      <sheetName val="METRADOS"/>
      <sheetName val="BACKUP"/>
      <sheetName val="Qty&amp;Hrs (2)"/>
      <sheetName val="Contr%-a (3b)"/>
      <sheetName val="Avance Detallado"/>
      <sheetName val="mayor"/>
    </sheetNames>
    <sheetDataSet>
      <sheetData sheetId="0"/>
      <sheetData sheetId="1"/>
      <sheetData sheetId="2" refreshError="1">
        <row r="8">
          <cell r="A8" t="str">
            <v>01.0</v>
          </cell>
          <cell r="B8" t="str">
            <v>Terminal</v>
          </cell>
          <cell r="C8" t="str">
            <v>Lot</v>
          </cell>
        </row>
        <row r="9">
          <cell r="A9" t="str">
            <v>01.4</v>
          </cell>
          <cell r="B9" t="str">
            <v>COMMUNICATION SYSTEM</v>
          </cell>
          <cell r="C9" t="str">
            <v>Lot </v>
          </cell>
        </row>
        <row r="10">
          <cell r="A10" t="str">
            <v>01.04.01</v>
          </cell>
          <cell r="B10" t="str">
            <v>Sealing in penetration through CMU Wall</v>
          </cell>
          <cell r="C10" t="str">
            <v>Lot </v>
          </cell>
          <cell r="D10">
            <v>11090</v>
          </cell>
          <cell r="G10">
            <v>78</v>
          </cell>
          <cell r="H10">
            <v>38</v>
          </cell>
          <cell r="I10">
            <v>0</v>
          </cell>
          <cell r="K10">
            <v>0</v>
          </cell>
          <cell r="L10">
            <v>0.48717948717948717</v>
          </cell>
        </row>
        <row r="11">
          <cell r="A11" t="str">
            <v>01.04.01.01</v>
          </cell>
          <cell r="B11" t="str">
            <v>Penetraciones de Bandejas 12x4"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K11">
            <v>0</v>
          </cell>
          <cell r="L11">
            <v>1</v>
          </cell>
        </row>
        <row r="12">
          <cell r="A12" t="str">
            <v>01.04.01.03</v>
          </cell>
          <cell r="B12" t="str">
            <v>Penetraciones de Ductos Telecom (muro)</v>
          </cell>
          <cell r="D12">
            <v>360</v>
          </cell>
          <cell r="E12">
            <v>360</v>
          </cell>
          <cell r="F12">
            <v>3.2461677186654644E-2</v>
          </cell>
          <cell r="G12">
            <v>19</v>
          </cell>
          <cell r="H12">
            <v>1</v>
          </cell>
          <cell r="J12">
            <v>0</v>
          </cell>
          <cell r="K12">
            <v>0</v>
          </cell>
          <cell r="L12">
            <v>1</v>
          </cell>
        </row>
        <row r="13">
          <cell r="A13" t="str">
            <v>01.04.01.06</v>
          </cell>
          <cell r="B13" t="str">
            <v>Penetraciones de Tuberias EMT ( 3/4" - 2")</v>
          </cell>
          <cell r="D13">
            <v>10730</v>
          </cell>
          <cell r="E13">
            <v>11090</v>
          </cell>
          <cell r="F13">
            <v>0.9675383228133454</v>
          </cell>
          <cell r="G13">
            <v>57</v>
          </cell>
          <cell r="H13">
            <v>37</v>
          </cell>
          <cell r="J13">
            <v>0</v>
          </cell>
          <cell r="K13">
            <v>0</v>
          </cell>
          <cell r="L13">
            <v>1</v>
          </cell>
        </row>
        <row r="14">
          <cell r="A14" t="str">
            <v>01.04.02</v>
          </cell>
          <cell r="B14" t="str">
            <v>Sealing in penetration through Drywall Wall</v>
          </cell>
          <cell r="C14" t="str">
            <v>Lot </v>
          </cell>
          <cell r="D14">
            <v>660</v>
          </cell>
          <cell r="G14">
            <v>81</v>
          </cell>
          <cell r="H14">
            <v>1</v>
          </cell>
          <cell r="I14">
            <v>0</v>
          </cell>
          <cell r="K14">
            <v>0</v>
          </cell>
          <cell r="L14">
            <v>1.2345679012345678E-2</v>
          </cell>
        </row>
        <row r="15">
          <cell r="A15" t="str">
            <v>01.04.02.01</v>
          </cell>
          <cell r="B15" t="str">
            <v>Penetraciones de Bandejas 12x4"</v>
          </cell>
          <cell r="D15">
            <v>660</v>
          </cell>
          <cell r="E15">
            <v>660</v>
          </cell>
          <cell r="F15">
            <v>1</v>
          </cell>
          <cell r="G15">
            <v>12</v>
          </cell>
          <cell r="H15">
            <v>1</v>
          </cell>
          <cell r="J15">
            <v>0</v>
          </cell>
          <cell r="K15">
            <v>0</v>
          </cell>
          <cell r="L15">
            <v>1</v>
          </cell>
        </row>
        <row r="16">
          <cell r="A16" t="str">
            <v>01.04.02.03</v>
          </cell>
          <cell r="B16" t="str">
            <v>Penetraciones de Ductos Telecom (muro)</v>
          </cell>
          <cell r="E16">
            <v>660</v>
          </cell>
          <cell r="F16">
            <v>0</v>
          </cell>
          <cell r="G16">
            <v>15</v>
          </cell>
          <cell r="K16">
            <v>0</v>
          </cell>
          <cell r="L16">
            <v>1</v>
          </cell>
        </row>
        <row r="17">
          <cell r="A17" t="str">
            <v>01.04.02.06</v>
          </cell>
          <cell r="B17" t="str">
            <v>Penetraciones de Tuberias EMT ( 3/4" - 2")</v>
          </cell>
          <cell r="E17">
            <v>660</v>
          </cell>
          <cell r="F17">
            <v>0</v>
          </cell>
          <cell r="G17">
            <v>54</v>
          </cell>
          <cell r="K17">
            <v>0</v>
          </cell>
          <cell r="L17">
            <v>1</v>
          </cell>
        </row>
        <row r="18">
          <cell r="A18" t="str">
            <v>01.04.03</v>
          </cell>
          <cell r="B18" t="str">
            <v>Sealing in penetration through Concrete Slab</v>
          </cell>
          <cell r="C18" t="str">
            <v>Lot </v>
          </cell>
          <cell r="D18">
            <v>960</v>
          </cell>
          <cell r="G18">
            <v>36</v>
          </cell>
          <cell r="H18">
            <v>4</v>
          </cell>
          <cell r="I18">
            <v>4</v>
          </cell>
          <cell r="K18">
            <v>0.1111111111111111</v>
          </cell>
          <cell r="L18">
            <v>0.1111111111111111</v>
          </cell>
        </row>
        <row r="19">
          <cell r="A19" t="str">
            <v>01.04.03.04</v>
          </cell>
          <cell r="B19" t="str">
            <v>Penetraciones de Ductos Telecom (losa)</v>
          </cell>
          <cell r="E19">
            <v>0</v>
          </cell>
          <cell r="F19">
            <v>0</v>
          </cell>
          <cell r="G19">
            <v>16</v>
          </cell>
          <cell r="K19">
            <v>0</v>
          </cell>
          <cell r="L19">
            <v>1</v>
          </cell>
        </row>
        <row r="20">
          <cell r="A20" t="str">
            <v>01.04.03.05</v>
          </cell>
          <cell r="B20" t="str">
            <v>Penetraciones de Ductos Telecom (piso)</v>
          </cell>
          <cell r="D20">
            <v>960</v>
          </cell>
          <cell r="E20">
            <v>960</v>
          </cell>
          <cell r="F20">
            <v>1</v>
          </cell>
          <cell r="G20">
            <v>20</v>
          </cell>
          <cell r="H20">
            <v>4</v>
          </cell>
          <cell r="I20">
            <v>4</v>
          </cell>
          <cell r="J20">
            <v>1</v>
          </cell>
          <cell r="K20">
            <v>1</v>
          </cell>
          <cell r="L20">
            <v>1</v>
          </cell>
        </row>
        <row r="21">
          <cell r="A21" t="str">
            <v>01.04.03.06</v>
          </cell>
          <cell r="B21" t="str">
            <v>Penetraciones de Tuberias EMT ( 3/4" - 2")</v>
          </cell>
          <cell r="E21">
            <v>960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</row>
        <row r="22">
          <cell r="A22" t="str">
            <v>01.5</v>
          </cell>
          <cell r="B22" t="str">
            <v>ELECTRICAL SYSTEM</v>
          </cell>
          <cell r="C22" t="str">
            <v>Lot</v>
          </cell>
        </row>
        <row r="23">
          <cell r="A23" t="str">
            <v>01.05.01</v>
          </cell>
          <cell r="B23" t="str">
            <v>Sealing in penetration through CMU Wall</v>
          </cell>
          <cell r="C23" t="str">
            <v>Lot </v>
          </cell>
          <cell r="D23">
            <v>32690</v>
          </cell>
          <cell r="G23">
            <v>161</v>
          </cell>
          <cell r="H23">
            <v>107</v>
          </cell>
          <cell r="I23">
            <v>0</v>
          </cell>
          <cell r="K23">
            <v>0</v>
          </cell>
          <cell r="L23">
            <v>0.6645962732919255</v>
          </cell>
        </row>
        <row r="24">
          <cell r="A24" t="str">
            <v>01.05.01.01</v>
          </cell>
          <cell r="B24" t="str">
            <v>Penetraciones de Bandejas 12x4"</v>
          </cell>
          <cell r="D24">
            <v>660</v>
          </cell>
          <cell r="E24">
            <v>660</v>
          </cell>
          <cell r="F24">
            <v>2.018966044661976E-2</v>
          </cell>
          <cell r="G24">
            <v>4</v>
          </cell>
          <cell r="H24">
            <v>1</v>
          </cell>
          <cell r="J24">
            <v>0</v>
          </cell>
          <cell r="K24">
            <v>0</v>
          </cell>
          <cell r="L24">
            <v>1</v>
          </cell>
        </row>
        <row r="25">
          <cell r="A25" t="str">
            <v>01.05.01.02</v>
          </cell>
          <cell r="B25" t="str">
            <v>Penetraciones de Bandejas 24x4"</v>
          </cell>
          <cell r="D25">
            <v>2160</v>
          </cell>
          <cell r="E25">
            <v>2820</v>
          </cell>
          <cell r="F25">
            <v>6.607525237075558E-2</v>
          </cell>
          <cell r="G25">
            <v>9</v>
          </cell>
          <cell r="H25">
            <v>3</v>
          </cell>
          <cell r="J25">
            <v>0</v>
          </cell>
          <cell r="K25">
            <v>0</v>
          </cell>
          <cell r="L25">
            <v>1</v>
          </cell>
        </row>
        <row r="26">
          <cell r="A26" t="str">
            <v>01.05.01.06</v>
          </cell>
          <cell r="B26" t="str">
            <v>Penetraciones de Tuberias EMT ( 3/4" - 2")</v>
          </cell>
          <cell r="D26">
            <v>29870</v>
          </cell>
          <cell r="E26">
            <v>32690</v>
          </cell>
          <cell r="F26">
            <v>0.91373508718262464</v>
          </cell>
          <cell r="G26">
            <v>148</v>
          </cell>
          <cell r="H26">
            <v>103</v>
          </cell>
          <cell r="J26">
            <v>0</v>
          </cell>
          <cell r="K26">
            <v>0</v>
          </cell>
          <cell r="L26">
            <v>1</v>
          </cell>
        </row>
        <row r="27">
          <cell r="A27" t="str">
            <v>01.05.02</v>
          </cell>
          <cell r="B27" t="str">
            <v>Sealing in penetration through Drywall Wall</v>
          </cell>
          <cell r="C27" t="str">
            <v>Lot </v>
          </cell>
          <cell r="D27">
            <v>3190</v>
          </cell>
          <cell r="G27">
            <v>137</v>
          </cell>
          <cell r="H27">
            <v>11</v>
          </cell>
          <cell r="I27">
            <v>0</v>
          </cell>
          <cell r="K27">
            <v>0</v>
          </cell>
          <cell r="L27">
            <v>8.0291970802919707E-2</v>
          </cell>
        </row>
        <row r="28">
          <cell r="A28" t="str">
            <v>01.05.02.06</v>
          </cell>
          <cell r="B28" t="str">
            <v>Penetraciones de Tuberias EMT ( 3/4" - 2")</v>
          </cell>
          <cell r="D28">
            <v>3190</v>
          </cell>
          <cell r="E28">
            <v>3190</v>
          </cell>
          <cell r="F28">
            <v>1</v>
          </cell>
          <cell r="G28">
            <v>137</v>
          </cell>
          <cell r="H28">
            <v>11</v>
          </cell>
          <cell r="J28">
            <v>0</v>
          </cell>
          <cell r="K28">
            <v>0</v>
          </cell>
          <cell r="L28">
            <v>1</v>
          </cell>
        </row>
        <row r="29">
          <cell r="A29" t="str">
            <v>01.05.03</v>
          </cell>
          <cell r="B29" t="str">
            <v>Sealing in penetration through Concrete Slab</v>
          </cell>
          <cell r="C29" t="str">
            <v>Lot </v>
          </cell>
          <cell r="D29">
            <v>0</v>
          </cell>
          <cell r="G29">
            <v>5</v>
          </cell>
          <cell r="H29">
            <v>5</v>
          </cell>
          <cell r="I29">
            <v>0</v>
          </cell>
          <cell r="K29">
            <v>0</v>
          </cell>
          <cell r="L29">
            <v>1</v>
          </cell>
        </row>
        <row r="30">
          <cell r="A30" t="str">
            <v>01.05.03.06</v>
          </cell>
          <cell r="B30" t="str">
            <v>Penetraciones de Tuberias EMT ( 3/4" - 2")</v>
          </cell>
          <cell r="E30">
            <v>0</v>
          </cell>
          <cell r="F30">
            <v>0</v>
          </cell>
          <cell r="G30">
            <v>5</v>
          </cell>
          <cell r="H30">
            <v>5</v>
          </cell>
          <cell r="K30">
            <v>0</v>
          </cell>
          <cell r="L30">
            <v>1</v>
          </cell>
        </row>
        <row r="31">
          <cell r="A31" t="str">
            <v>02</v>
          </cell>
          <cell r="B31" t="str">
            <v xml:space="preserve">PERU PLAZA </v>
          </cell>
          <cell r="C31" t="str">
            <v>Lot</v>
          </cell>
        </row>
        <row r="32">
          <cell r="A32" t="str">
            <v>02.1</v>
          </cell>
          <cell r="B32" t="str">
            <v>FIRE PROTECTION SYSTEM</v>
          </cell>
          <cell r="C32" t="str">
            <v>Lot</v>
          </cell>
        </row>
        <row r="33">
          <cell r="A33" t="str">
            <v>02.01.01</v>
          </cell>
          <cell r="B33" t="str">
            <v>Sealing in penetration through CMU Wall</v>
          </cell>
          <cell r="C33" t="str">
            <v>Lot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</row>
        <row r="34">
          <cell r="A34" t="str">
            <v>02.01.02</v>
          </cell>
          <cell r="B34" t="str">
            <v>Sealing in penetration through Drywall Wall</v>
          </cell>
          <cell r="C34" t="str">
            <v>Lot</v>
          </cell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</row>
        <row r="35">
          <cell r="A35" t="str">
            <v>02.01.03</v>
          </cell>
          <cell r="B35" t="str">
            <v>Sealing in penetration through Concrete Slab</v>
          </cell>
          <cell r="C35" t="str">
            <v>Lot </v>
          </cell>
          <cell r="D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</row>
        <row r="36">
          <cell r="A36" t="str">
            <v>2.2.0</v>
          </cell>
          <cell r="B36" t="str">
            <v>PLUMBING AND DRAINAGE</v>
          </cell>
          <cell r="C36" t="str">
            <v>Lot </v>
          </cell>
        </row>
        <row r="37">
          <cell r="A37" t="str">
            <v>02.02.01</v>
          </cell>
          <cell r="B37" t="str">
            <v>Sealing in penetration through CMU Wall</v>
          </cell>
          <cell r="C37" t="str">
            <v>Lot </v>
          </cell>
          <cell r="D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</row>
        <row r="38">
          <cell r="A38" t="str">
            <v>02.02.02</v>
          </cell>
          <cell r="B38" t="str">
            <v>Sealing in penetration through Drywall Wall</v>
          </cell>
          <cell r="C38" t="str">
            <v>Lot</v>
          </cell>
          <cell r="D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</row>
        <row r="39">
          <cell r="A39" t="str">
            <v>02.02.03</v>
          </cell>
          <cell r="B39" t="str">
            <v>Sealing in penetration through Concrete Slab</v>
          </cell>
          <cell r="C39" t="str">
            <v>Lot 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</row>
        <row r="40">
          <cell r="A40" t="str">
            <v>02.4</v>
          </cell>
          <cell r="B40" t="str">
            <v>COMMUNICATION SYSTEM</v>
          </cell>
          <cell r="C40" t="str">
            <v>Lot</v>
          </cell>
        </row>
        <row r="41">
          <cell r="A41" t="str">
            <v>02.04.01</v>
          </cell>
          <cell r="B41" t="str">
            <v>Sealing in penetration through CMU Wall</v>
          </cell>
          <cell r="C41" t="str">
            <v>Lot </v>
          </cell>
          <cell r="D41">
            <v>17290</v>
          </cell>
          <cell r="G41">
            <v>56</v>
          </cell>
          <cell r="H41">
            <v>56</v>
          </cell>
          <cell r="I41">
            <v>0</v>
          </cell>
          <cell r="K41">
            <v>0</v>
          </cell>
          <cell r="L41">
            <v>1</v>
          </cell>
        </row>
        <row r="42">
          <cell r="A42" t="str">
            <v>02.04.01.03</v>
          </cell>
          <cell r="B42" t="str">
            <v>Penetraciones de Ductos Telecom (muro)</v>
          </cell>
          <cell r="D42">
            <v>5400</v>
          </cell>
          <cell r="E42">
            <v>5400</v>
          </cell>
          <cell r="F42">
            <v>0.31231925968768076</v>
          </cell>
          <cell r="G42">
            <v>15</v>
          </cell>
          <cell r="H42">
            <v>15</v>
          </cell>
          <cell r="J42">
            <v>0</v>
          </cell>
          <cell r="K42">
            <v>0</v>
          </cell>
          <cell r="L42">
            <v>1</v>
          </cell>
        </row>
        <row r="43">
          <cell r="A43" t="str">
            <v>02.04.01.06</v>
          </cell>
          <cell r="B43" t="str">
            <v>Penetraciones de Tuberias EMT ( 3/4" - 2")</v>
          </cell>
          <cell r="D43">
            <v>11890</v>
          </cell>
          <cell r="E43">
            <v>17290</v>
          </cell>
          <cell r="F43">
            <v>0.68768074031231929</v>
          </cell>
          <cell r="G43">
            <v>41</v>
          </cell>
          <cell r="H43">
            <v>41</v>
          </cell>
          <cell r="J43">
            <v>0</v>
          </cell>
          <cell r="K43">
            <v>0</v>
          </cell>
          <cell r="L43">
            <v>1</v>
          </cell>
        </row>
        <row r="44">
          <cell r="A44" t="str">
            <v>02.04.02</v>
          </cell>
          <cell r="B44" t="str">
            <v>Sealing in penetration through Drywall Wall</v>
          </cell>
          <cell r="C44" t="str">
            <v>Lot</v>
          </cell>
          <cell r="D44">
            <v>0</v>
          </cell>
          <cell r="G44">
            <v>0</v>
          </cell>
          <cell r="H44">
            <v>0</v>
          </cell>
          <cell r="J44">
            <v>1</v>
          </cell>
          <cell r="K44">
            <v>1</v>
          </cell>
          <cell r="L44">
            <v>1</v>
          </cell>
        </row>
        <row r="45">
          <cell r="A45" t="str">
            <v>02.04.03</v>
          </cell>
          <cell r="B45" t="str">
            <v>Sealing in penetration through Concrete Slab</v>
          </cell>
          <cell r="C45" t="str">
            <v>Lot </v>
          </cell>
          <cell r="D45">
            <v>6000</v>
          </cell>
          <cell r="G45">
            <v>22</v>
          </cell>
          <cell r="H45">
            <v>22</v>
          </cell>
          <cell r="I45">
            <v>0</v>
          </cell>
          <cell r="K45">
            <v>0</v>
          </cell>
          <cell r="L45">
            <v>1</v>
          </cell>
        </row>
        <row r="46">
          <cell r="A46" t="str">
            <v>02.04.03.04</v>
          </cell>
          <cell r="B46" t="str">
            <v>Penetraciones de Ductos Telecom (losa)</v>
          </cell>
          <cell r="D46">
            <v>2160</v>
          </cell>
          <cell r="E46">
            <v>2160</v>
          </cell>
          <cell r="F46">
            <v>0.36</v>
          </cell>
          <cell r="G46">
            <v>6</v>
          </cell>
          <cell r="H46">
            <v>6</v>
          </cell>
          <cell r="J46">
            <v>0</v>
          </cell>
          <cell r="K46">
            <v>0</v>
          </cell>
          <cell r="L46">
            <v>1</v>
          </cell>
        </row>
        <row r="47">
          <cell r="A47" t="str">
            <v>02.04.03.05</v>
          </cell>
          <cell r="B47" t="str">
            <v>Penetraciones de Ductos Telecom (piso)</v>
          </cell>
          <cell r="D47">
            <v>3840</v>
          </cell>
          <cell r="E47">
            <v>6000</v>
          </cell>
          <cell r="F47">
            <v>0.64</v>
          </cell>
          <cell r="G47">
            <v>16</v>
          </cell>
          <cell r="H47">
            <v>16</v>
          </cell>
          <cell r="J47">
            <v>0</v>
          </cell>
          <cell r="K47">
            <v>0</v>
          </cell>
          <cell r="L47">
            <v>1</v>
          </cell>
        </row>
        <row r="48">
          <cell r="A48" t="str">
            <v>02.5</v>
          </cell>
          <cell r="B48" t="str">
            <v>ELECTRICAL SYSTEM</v>
          </cell>
          <cell r="C48" t="str">
            <v>Lot</v>
          </cell>
        </row>
        <row r="49">
          <cell r="A49" t="str">
            <v>02.05.01</v>
          </cell>
          <cell r="B49" t="str">
            <v>Sealing in penetration through CMU Wall</v>
          </cell>
          <cell r="C49" t="str">
            <v>Lot </v>
          </cell>
          <cell r="D49">
            <v>32280</v>
          </cell>
          <cell r="G49">
            <v>106</v>
          </cell>
          <cell r="H49">
            <v>106</v>
          </cell>
          <cell r="I49">
            <v>0</v>
          </cell>
          <cell r="K49">
            <v>0</v>
          </cell>
          <cell r="L49">
            <v>1</v>
          </cell>
        </row>
        <row r="50">
          <cell r="A50" t="str">
            <v>02.05.01.01</v>
          </cell>
          <cell r="B50" t="str">
            <v>Penetraciones de Bandejas 12x4"</v>
          </cell>
          <cell r="D50">
            <v>1980</v>
          </cell>
          <cell r="E50">
            <v>1980</v>
          </cell>
          <cell r="F50">
            <v>6.1338289962825282E-2</v>
          </cell>
          <cell r="G50">
            <v>3</v>
          </cell>
          <cell r="H50">
            <v>3</v>
          </cell>
          <cell r="J50">
            <v>0</v>
          </cell>
          <cell r="K50">
            <v>0</v>
          </cell>
          <cell r="L50">
            <v>1</v>
          </cell>
        </row>
        <row r="51">
          <cell r="A51" t="str">
            <v>02.05.01.02</v>
          </cell>
          <cell r="B51" t="str">
            <v>Penetraciones de Bandejas 24x4"</v>
          </cell>
          <cell r="D51">
            <v>720</v>
          </cell>
          <cell r="E51">
            <v>2700</v>
          </cell>
          <cell r="F51">
            <v>2.2304832713754646E-2</v>
          </cell>
          <cell r="G51">
            <v>1</v>
          </cell>
          <cell r="H51">
            <v>1</v>
          </cell>
          <cell r="J51">
            <v>0</v>
          </cell>
          <cell r="K51">
            <v>0</v>
          </cell>
          <cell r="L51">
            <v>1</v>
          </cell>
        </row>
        <row r="52">
          <cell r="A52" t="str">
            <v>02.05.01.06</v>
          </cell>
          <cell r="B52" t="str">
            <v>Penetraciones de Tuberias EMT ( 3/4" - 2")</v>
          </cell>
          <cell r="D52">
            <v>29580</v>
          </cell>
          <cell r="E52">
            <v>32280</v>
          </cell>
          <cell r="F52">
            <v>0.91635687732342008</v>
          </cell>
          <cell r="G52">
            <v>102</v>
          </cell>
          <cell r="H52">
            <v>102</v>
          </cell>
          <cell r="J52">
            <v>0</v>
          </cell>
          <cell r="K52">
            <v>0</v>
          </cell>
          <cell r="L52">
            <v>1</v>
          </cell>
        </row>
        <row r="53">
          <cell r="A53" t="str">
            <v>02.05.02</v>
          </cell>
          <cell r="B53" t="str">
            <v>Sealing in penetration through Drywall Wall</v>
          </cell>
          <cell r="C53" t="str">
            <v>Lot </v>
          </cell>
          <cell r="D53">
            <v>580</v>
          </cell>
          <cell r="G53">
            <v>2</v>
          </cell>
          <cell r="H53">
            <v>2</v>
          </cell>
          <cell r="I53">
            <v>0</v>
          </cell>
          <cell r="K53">
            <v>0</v>
          </cell>
          <cell r="L53">
            <v>1</v>
          </cell>
        </row>
        <row r="54">
          <cell r="A54" t="str">
            <v>02.05.02.06</v>
          </cell>
          <cell r="B54" t="str">
            <v>Penetraciones de Tuberias EMT ( 3/4" - 2")</v>
          </cell>
          <cell r="D54">
            <v>580</v>
          </cell>
          <cell r="E54">
            <v>580</v>
          </cell>
          <cell r="F54">
            <v>1</v>
          </cell>
          <cell r="G54">
            <v>2</v>
          </cell>
          <cell r="H54">
            <v>2</v>
          </cell>
          <cell r="J54">
            <v>0</v>
          </cell>
          <cell r="K54">
            <v>0</v>
          </cell>
          <cell r="L54">
            <v>1</v>
          </cell>
        </row>
        <row r="55">
          <cell r="A55" t="str">
            <v>02.05.03</v>
          </cell>
          <cell r="B55" t="str">
            <v>Sealing in penetration through Concrete Slab</v>
          </cell>
          <cell r="C55" t="str">
            <v>Lot </v>
          </cell>
          <cell r="D55">
            <v>3460</v>
          </cell>
          <cell r="G55">
            <v>6</v>
          </cell>
          <cell r="H55">
            <v>6</v>
          </cell>
          <cell r="I55">
            <v>0</v>
          </cell>
          <cell r="K55">
            <v>0</v>
          </cell>
          <cell r="L55">
            <v>1</v>
          </cell>
        </row>
        <row r="56">
          <cell r="A56" t="str">
            <v>02.05.03.02</v>
          </cell>
          <cell r="B56" t="str">
            <v>Penetraciones de Bandejas 24x4"</v>
          </cell>
          <cell r="D56">
            <v>2880</v>
          </cell>
          <cell r="E56">
            <v>2880</v>
          </cell>
          <cell r="F56">
            <v>0.83236994219653182</v>
          </cell>
          <cell r="G56">
            <v>4</v>
          </cell>
          <cell r="H56">
            <v>4</v>
          </cell>
          <cell r="J56">
            <v>0</v>
          </cell>
          <cell r="K56">
            <v>0</v>
          </cell>
          <cell r="L56">
            <v>1</v>
          </cell>
        </row>
        <row r="57">
          <cell r="A57" t="str">
            <v>02.05.03.06</v>
          </cell>
          <cell r="B57" t="str">
            <v>Penetraciones de Tuberias EMT ( 3/4" - 2")</v>
          </cell>
          <cell r="D57">
            <v>580</v>
          </cell>
          <cell r="E57">
            <v>3460</v>
          </cell>
          <cell r="F57">
            <v>0.16763005780346821</v>
          </cell>
          <cell r="G57">
            <v>2</v>
          </cell>
          <cell r="H57">
            <v>2</v>
          </cell>
          <cell r="J57">
            <v>0</v>
          </cell>
          <cell r="K57">
            <v>0</v>
          </cell>
          <cell r="L57">
            <v>1</v>
          </cell>
        </row>
      </sheetData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puts"/>
      <sheetName val="Results 1"/>
      <sheetName val="Results 2-Fee Summary"/>
      <sheetName val="Fee Graph"/>
      <sheetName val="perPax"/>
      <sheetName val="CAPEX"/>
      <sheetName val="CAPEXSumm"/>
      <sheetName val="CAPEX Chart"/>
      <sheetName val="Non-CAPEX Costs"/>
      <sheetName val="Traffic Est."/>
      <sheetName val="Space"/>
      <sheetName val="1. Airside Revenue"/>
      <sheetName val="2. Terminal-Comm-Land Rev."/>
      <sheetName val="Actual Debt"/>
      <sheetName val="Cash Acct."/>
      <sheetName val="Virtual Debt"/>
      <sheetName val="Allocate"/>
      <sheetName val="Timing Chart"/>
      <sheetName val="Sources-Uses"/>
      <sheetName val="Op. Expenses"/>
      <sheetName val="Income"/>
      <sheetName val="CAFDS"/>
      <sheetName val="Reserves"/>
      <sheetName val="IRR-NPV"/>
      <sheetName val="Balance"/>
      <sheetName val="Cashflow"/>
      <sheetName val="Deprec-Termin"/>
      <sheetName val="Module1"/>
      <sheetName val="Module2"/>
      <sheetName val="Module3"/>
      <sheetName val="Module4"/>
      <sheetName val="Module5"/>
      <sheetName val="Module7"/>
      <sheetName val="Module6"/>
      <sheetName val="datos"/>
      <sheetName val="START"/>
      <sheetName val="EV"/>
      <sheetName val="AJBA2003"/>
    </sheetNames>
    <sheetDataSet>
      <sheetData sheetId="0" refreshError="1"/>
      <sheetData sheetId="1" refreshError="1">
        <row r="14">
          <cell r="I14">
            <v>1000</v>
          </cell>
        </row>
        <row r="15">
          <cell r="I15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I14">
            <v>1000</v>
          </cell>
        </row>
        <row r="40">
          <cell r="G40">
            <v>99652306.530522704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05">
          <cell r="F20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Summary Page"/>
      <sheetName val="Disclaimer"/>
      <sheetName val="Graphs"/>
      <sheetName val="Summary"/>
      <sheetName val="Summary Calcs"/>
      <sheetName val="Lenders Cases vs LAP Base Case"/>
      <sheetName val="Input"/>
      <sheetName val="Inputs-NonAeroRevs"/>
      <sheetName val="1. Time &amp; Esc"/>
      <sheetName val="Fcst"/>
      <sheetName val="2&amp;3 AeroRevs"/>
      <sheetName val="4. Non-AeroRevs"/>
      <sheetName val="5. Govt Revs"/>
      <sheetName val="6. OpEx"/>
      <sheetName val="7 &amp; 8A. SandU"/>
      <sheetName val="8b-8e. Debt"/>
      <sheetName val="9&amp;11. WC&amp;Tax"/>
      <sheetName val="10. Assets"/>
      <sheetName val="CashF"/>
      <sheetName val="P&amp;L"/>
      <sheetName val="Bal"/>
      <sheetName val="$Fin's"/>
      <sheetName val="Module2"/>
      <sheetName val="Introduction"/>
      <sheetName val="Module1"/>
      <sheetName val="Module3"/>
      <sheetName val="Sens"/>
      <sheetName val="DCF"/>
      <sheetName val="Title"/>
      <sheetName val="33602"/>
      <sheetName val="EEFF"/>
    </sheetNames>
    <sheetDataSet>
      <sheetData sheetId="0" refreshError="1">
        <row r="15">
          <cell r="C1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o inp"/>
      <sheetName val="combo inp (usd) ye dec"/>
      <sheetName val="combo inp (usd) (2)"/>
      <sheetName val="EXPLANATIONS"/>
      <sheetName val="Scenario"/>
      <sheetName val="CovSheet"/>
      <sheetName val="Aero"/>
      <sheetName val="Sensitivity"/>
      <sheetName val="IRR"/>
      <sheetName val="Controls"/>
      <sheetName val="Acq Data"/>
      <sheetName val="CFS"/>
      <sheetName val="BS"/>
      <sheetName val="Tax"/>
      <sheetName val="Results"/>
      <sheetName val="S&amp;UConst"/>
      <sheetName val="Reserves"/>
      <sheetName val="SeniorDebt"/>
      <sheetName val="SD(Const)"/>
      <sheetName val="Proj Finance  Summ"/>
      <sheetName val="Exit"/>
      <sheetName val="Indices"/>
      <sheetName val="Shareholders"/>
      <sheetName val="Feeder sheets"/>
      <sheetName val="PjFin Feed"/>
      <sheetName val="OLD BS"/>
      <sheetName val="OLD PL"/>
      <sheetName val="PL"/>
      <sheetName val="DCF"/>
      <sheetName val="Aero_Conc"/>
      <sheetName val="CFlow"/>
      <sheetName val="Phase2"/>
      <sheetName val="Costs"/>
      <sheetName val="Empl"/>
      <sheetName val="CCA - "/>
      <sheetName val="Comm"/>
      <sheetName val="Flex"/>
      <sheetName val="Alt Tracking"/>
      <sheetName val="Fact Sheet"/>
      <sheetName val="Data"/>
      <sheetName val="Annex"/>
      <sheetName val="Sensitivity Summary Page"/>
      <sheetName val="CONSOLIDADO-Dsctos.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A9">
            <v>1</v>
          </cell>
          <cell r="B9" t="str">
            <v>Base assumptions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1</v>
          </cell>
          <cell r="M9">
            <v>0</v>
          </cell>
          <cell r="N9">
            <v>160000</v>
          </cell>
          <cell r="O9">
            <v>0</v>
          </cell>
        </row>
        <row r="10">
          <cell r="A10">
            <v>2</v>
          </cell>
          <cell r="B10" t="str">
            <v>Reduce EJ Price and traffic short term</v>
          </cell>
          <cell r="C10">
            <v>-1.5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0.5</v>
          </cell>
          <cell r="L10">
            <v>1</v>
          </cell>
          <cell r="M10">
            <v>0</v>
          </cell>
          <cell r="N10">
            <v>160000</v>
          </cell>
          <cell r="O10">
            <v>0</v>
          </cell>
        </row>
        <row r="11">
          <cell r="A11">
            <v>3</v>
          </cell>
          <cell r="B11" t="str">
            <v>Further Reduction</v>
          </cell>
          <cell r="C11">
            <v>-3</v>
          </cell>
          <cell r="D11">
            <v>0</v>
          </cell>
          <cell r="E11">
            <v>0</v>
          </cell>
          <cell r="F11">
            <v>0</v>
          </cell>
          <cell r="G11">
            <v>-0.5</v>
          </cell>
          <cell r="H11">
            <v>0</v>
          </cell>
          <cell r="I11">
            <v>0</v>
          </cell>
          <cell r="J11">
            <v>-1</v>
          </cell>
          <cell r="K11">
            <v>0</v>
          </cell>
          <cell r="L11">
            <v>0.5</v>
          </cell>
          <cell r="M11">
            <v>0</v>
          </cell>
          <cell r="N11">
            <v>160000</v>
          </cell>
          <cell r="O11">
            <v>0</v>
          </cell>
        </row>
        <row r="12">
          <cell r="A12">
            <v>4</v>
          </cell>
          <cell r="B12" t="str">
            <v>Bond Financing 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160000</v>
          </cell>
          <cell r="O12">
            <v>0</v>
          </cell>
        </row>
        <row r="13">
          <cell r="A13">
            <v>5</v>
          </cell>
          <cell r="B13" t="str">
            <v>Bond Financing 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0.5</v>
          </cell>
          <cell r="L13">
            <v>1</v>
          </cell>
          <cell r="M13">
            <v>1</v>
          </cell>
          <cell r="N13">
            <v>160000</v>
          </cell>
          <cell r="O13">
            <v>0</v>
          </cell>
        </row>
        <row r="14">
          <cell r="A14">
            <v>6</v>
          </cell>
          <cell r="B14" t="str">
            <v>Bond Financing 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-0.5</v>
          </cell>
          <cell r="H14">
            <v>0</v>
          </cell>
          <cell r="I14">
            <v>0</v>
          </cell>
          <cell r="J14">
            <v>-1</v>
          </cell>
          <cell r="K14">
            <v>0</v>
          </cell>
          <cell r="L14">
            <v>0.5</v>
          </cell>
          <cell r="M14">
            <v>1</v>
          </cell>
          <cell r="N14">
            <v>160000</v>
          </cell>
          <cell r="O14">
            <v>0</v>
          </cell>
        </row>
        <row r="15">
          <cell r="A15">
            <v>7</v>
          </cell>
          <cell r="B15" t="str">
            <v>easyJet Disaster Case 2002/03 50%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-0.5</v>
          </cell>
          <cell r="H15">
            <v>-0.9</v>
          </cell>
          <cell r="I15">
            <v>0</v>
          </cell>
          <cell r="J15">
            <v>1</v>
          </cell>
          <cell r="K15">
            <v>1.5</v>
          </cell>
          <cell r="L15">
            <v>1.5</v>
          </cell>
          <cell r="M15">
            <v>0</v>
          </cell>
          <cell r="N15">
            <v>160000</v>
          </cell>
          <cell r="O15">
            <v>0</v>
          </cell>
        </row>
        <row r="16">
          <cell r="A16">
            <v>8</v>
          </cell>
          <cell r="B16" t="str">
            <v>Bond Financing 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-0.5</v>
          </cell>
          <cell r="H16">
            <v>-0.9</v>
          </cell>
          <cell r="I16">
            <v>0</v>
          </cell>
          <cell r="J16">
            <v>1</v>
          </cell>
          <cell r="K16">
            <v>1.5</v>
          </cell>
          <cell r="L16">
            <v>1.5</v>
          </cell>
          <cell r="M16">
            <v>1</v>
          </cell>
          <cell r="N16">
            <v>160000</v>
          </cell>
          <cell r="O16">
            <v>0</v>
          </cell>
        </row>
        <row r="17">
          <cell r="A17">
            <v>9</v>
          </cell>
          <cell r="B17" t="str">
            <v>Base assumptions +10% opex</v>
          </cell>
          <cell r="C17">
            <v>0</v>
          </cell>
          <cell r="D17">
            <v>0</v>
          </cell>
          <cell r="E17">
            <v>0</v>
          </cell>
          <cell r="F17">
            <v>0.1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1</v>
          </cell>
          <cell r="L17">
            <v>1</v>
          </cell>
          <cell r="M17">
            <v>0</v>
          </cell>
          <cell r="N17">
            <v>160000</v>
          </cell>
          <cell r="O17">
            <v>0</v>
          </cell>
        </row>
        <row r="18">
          <cell r="A18">
            <v>10</v>
          </cell>
          <cell r="B18" t="str">
            <v>Red EJ inc &amp; traffic s-term +10% opex</v>
          </cell>
          <cell r="C18">
            <v>-1.5</v>
          </cell>
          <cell r="D18">
            <v>0</v>
          </cell>
          <cell r="E18">
            <v>0</v>
          </cell>
          <cell r="F18">
            <v>0.1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0.5</v>
          </cell>
          <cell r="L18">
            <v>1</v>
          </cell>
          <cell r="M18">
            <v>0</v>
          </cell>
          <cell r="N18">
            <v>160000</v>
          </cell>
          <cell r="O18">
            <v>0</v>
          </cell>
        </row>
        <row r="19">
          <cell r="A19">
            <v>11</v>
          </cell>
          <cell r="B19" t="str">
            <v>Further Reduction +10% opex</v>
          </cell>
          <cell r="C19">
            <v>-3</v>
          </cell>
          <cell r="D19">
            <v>0</v>
          </cell>
          <cell r="E19">
            <v>0</v>
          </cell>
          <cell r="F19">
            <v>0.1</v>
          </cell>
          <cell r="G19">
            <v>-0.5</v>
          </cell>
          <cell r="H19">
            <v>0</v>
          </cell>
          <cell r="I19">
            <v>0</v>
          </cell>
          <cell r="J19">
            <v>-1</v>
          </cell>
          <cell r="K19">
            <v>0</v>
          </cell>
          <cell r="L19">
            <v>0.5</v>
          </cell>
          <cell r="M19">
            <v>0</v>
          </cell>
          <cell r="N19">
            <v>160000</v>
          </cell>
          <cell r="O19">
            <v>0</v>
          </cell>
        </row>
        <row r="20">
          <cell r="A20">
            <v>12</v>
          </cell>
          <cell r="B20" t="str">
            <v>Bond Financing 9</v>
          </cell>
          <cell r="C20">
            <v>0</v>
          </cell>
          <cell r="D20">
            <v>0</v>
          </cell>
          <cell r="E20">
            <v>0</v>
          </cell>
          <cell r="F20">
            <v>0.1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160000</v>
          </cell>
          <cell r="O20">
            <v>0</v>
          </cell>
        </row>
        <row r="21">
          <cell r="A21">
            <v>13</v>
          </cell>
          <cell r="B21" t="str">
            <v>Bond Financing 10</v>
          </cell>
          <cell r="C21">
            <v>0</v>
          </cell>
          <cell r="D21">
            <v>0</v>
          </cell>
          <cell r="E21">
            <v>0</v>
          </cell>
          <cell r="F21">
            <v>0.1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</v>
          </cell>
          <cell r="L21">
            <v>1</v>
          </cell>
          <cell r="M21">
            <v>1</v>
          </cell>
          <cell r="N21">
            <v>160000</v>
          </cell>
          <cell r="O21">
            <v>0</v>
          </cell>
        </row>
        <row r="22">
          <cell r="A22">
            <v>14</v>
          </cell>
          <cell r="B22" t="str">
            <v>Bond Financing 11</v>
          </cell>
          <cell r="C22">
            <v>0</v>
          </cell>
          <cell r="D22">
            <v>0</v>
          </cell>
          <cell r="E22">
            <v>0</v>
          </cell>
          <cell r="F22">
            <v>0.1</v>
          </cell>
          <cell r="G22">
            <v>-0.5</v>
          </cell>
          <cell r="H22">
            <v>0</v>
          </cell>
          <cell r="I22">
            <v>0</v>
          </cell>
          <cell r="J22">
            <v>-1</v>
          </cell>
          <cell r="K22">
            <v>0</v>
          </cell>
          <cell r="L22">
            <v>0.5</v>
          </cell>
          <cell r="M22">
            <v>1</v>
          </cell>
          <cell r="N22">
            <v>160000</v>
          </cell>
          <cell r="O22">
            <v>0</v>
          </cell>
        </row>
        <row r="23">
          <cell r="A23">
            <v>15</v>
          </cell>
          <cell r="B23" t="str">
            <v>easyJet Disaster Case 2002/03 +10%opex</v>
          </cell>
          <cell r="C23">
            <v>0</v>
          </cell>
          <cell r="D23">
            <v>0</v>
          </cell>
          <cell r="E23">
            <v>0</v>
          </cell>
          <cell r="F23">
            <v>0.1</v>
          </cell>
          <cell r="G23">
            <v>-0.5</v>
          </cell>
          <cell r="H23">
            <v>-0.9</v>
          </cell>
          <cell r="I23">
            <v>0</v>
          </cell>
          <cell r="J23">
            <v>1</v>
          </cell>
          <cell r="K23">
            <v>1.5</v>
          </cell>
          <cell r="L23">
            <v>1.5</v>
          </cell>
          <cell r="M23">
            <v>0</v>
          </cell>
          <cell r="N23">
            <v>160000</v>
          </cell>
          <cell r="O23">
            <v>0</v>
          </cell>
        </row>
        <row r="24">
          <cell r="A24">
            <v>16</v>
          </cell>
          <cell r="B24" t="str">
            <v>Bond Financing 15</v>
          </cell>
          <cell r="C24">
            <v>0</v>
          </cell>
          <cell r="D24">
            <v>0</v>
          </cell>
          <cell r="E24">
            <v>0</v>
          </cell>
          <cell r="F24">
            <v>0.1</v>
          </cell>
          <cell r="G24">
            <v>-0.5</v>
          </cell>
          <cell r="H24">
            <v>-0.9</v>
          </cell>
          <cell r="I24">
            <v>0</v>
          </cell>
          <cell r="J24">
            <v>1</v>
          </cell>
          <cell r="K24">
            <v>1.5</v>
          </cell>
          <cell r="L24">
            <v>1.5</v>
          </cell>
          <cell r="M24">
            <v>1</v>
          </cell>
          <cell r="N24">
            <v>160000</v>
          </cell>
          <cell r="O24">
            <v>0</v>
          </cell>
        </row>
        <row r="25">
          <cell r="A25">
            <v>17</v>
          </cell>
          <cell r="B25" t="str">
            <v>Base assumptions (price change)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1</v>
          </cell>
          <cell r="L25">
            <v>1</v>
          </cell>
          <cell r="M25">
            <v>0</v>
          </cell>
          <cell r="N25">
            <v>120000</v>
          </cell>
          <cell r="O25">
            <v>0</v>
          </cell>
        </row>
        <row r="26">
          <cell r="A26">
            <v>18</v>
          </cell>
          <cell r="B26" t="str">
            <v>Reduce EJ Price and traffic short term (price change)</v>
          </cell>
          <cell r="C26">
            <v>-1.5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0.5</v>
          </cell>
          <cell r="L26">
            <v>1</v>
          </cell>
          <cell r="M26">
            <v>0</v>
          </cell>
          <cell r="N26">
            <v>120000</v>
          </cell>
          <cell r="O26">
            <v>0</v>
          </cell>
        </row>
        <row r="27">
          <cell r="A27">
            <v>19</v>
          </cell>
          <cell r="B27" t="str">
            <v>Further Reduction (price change</v>
          </cell>
          <cell r="C27">
            <v>-3</v>
          </cell>
          <cell r="D27">
            <v>0</v>
          </cell>
          <cell r="E27">
            <v>0</v>
          </cell>
          <cell r="F27">
            <v>0</v>
          </cell>
          <cell r="G27">
            <v>-0.5</v>
          </cell>
          <cell r="H27">
            <v>0</v>
          </cell>
          <cell r="I27">
            <v>0</v>
          </cell>
          <cell r="J27">
            <v>-1</v>
          </cell>
          <cell r="K27">
            <v>0</v>
          </cell>
          <cell r="L27">
            <v>0.5</v>
          </cell>
          <cell r="M27">
            <v>0</v>
          </cell>
          <cell r="N27">
            <v>120000</v>
          </cell>
          <cell r="O27">
            <v>0</v>
          </cell>
        </row>
        <row r="28">
          <cell r="A28">
            <v>20</v>
          </cell>
          <cell r="B28" t="str">
            <v>Bond Financing 17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120000</v>
          </cell>
          <cell r="O28">
            <v>0</v>
          </cell>
        </row>
        <row r="29">
          <cell r="A29">
            <v>21</v>
          </cell>
          <cell r="B29" t="str">
            <v>Bond Financing 18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0.5</v>
          </cell>
          <cell r="L29">
            <v>1</v>
          </cell>
          <cell r="M29">
            <v>1</v>
          </cell>
          <cell r="N29">
            <v>120000</v>
          </cell>
          <cell r="O29">
            <v>0</v>
          </cell>
        </row>
        <row r="30">
          <cell r="A30">
            <v>22</v>
          </cell>
          <cell r="B30" t="str">
            <v>Bond Financing 19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-0.5</v>
          </cell>
          <cell r="H30">
            <v>0</v>
          </cell>
          <cell r="I30">
            <v>0</v>
          </cell>
          <cell r="J30">
            <v>-1</v>
          </cell>
          <cell r="K30">
            <v>0</v>
          </cell>
          <cell r="L30">
            <v>0.5</v>
          </cell>
          <cell r="M30">
            <v>1</v>
          </cell>
          <cell r="N30">
            <v>120000</v>
          </cell>
          <cell r="O30">
            <v>0</v>
          </cell>
        </row>
        <row r="31">
          <cell r="A31">
            <v>23</v>
          </cell>
          <cell r="B31" t="str">
            <v>easyJet Disaster Case 2002/03 50% (price change)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-0.5</v>
          </cell>
          <cell r="H31">
            <v>-0.9</v>
          </cell>
          <cell r="I31">
            <v>0</v>
          </cell>
          <cell r="J31">
            <v>1</v>
          </cell>
          <cell r="K31">
            <v>1.5</v>
          </cell>
          <cell r="L31">
            <v>1.5</v>
          </cell>
          <cell r="M31">
            <v>0</v>
          </cell>
          <cell r="N31">
            <v>120000</v>
          </cell>
          <cell r="O31">
            <v>0</v>
          </cell>
        </row>
        <row r="32">
          <cell r="A32">
            <v>24</v>
          </cell>
          <cell r="B32" t="str">
            <v>Bond Financing 23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-0.5</v>
          </cell>
          <cell r="H32">
            <v>-0.9</v>
          </cell>
          <cell r="I32">
            <v>0</v>
          </cell>
          <cell r="J32">
            <v>1</v>
          </cell>
          <cell r="K32">
            <v>1.5</v>
          </cell>
          <cell r="L32">
            <v>1.5</v>
          </cell>
          <cell r="M32">
            <v>1</v>
          </cell>
          <cell r="N32">
            <v>120000</v>
          </cell>
          <cell r="O32">
            <v>0</v>
          </cell>
        </row>
        <row r="33">
          <cell r="A33">
            <v>25</v>
          </cell>
          <cell r="B33" t="str">
            <v>Base assumptions +10% opex (price change)</v>
          </cell>
          <cell r="C33">
            <v>0</v>
          </cell>
          <cell r="D33">
            <v>0</v>
          </cell>
          <cell r="E33">
            <v>0</v>
          </cell>
          <cell r="F33">
            <v>0.1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1</v>
          </cell>
          <cell r="L33">
            <v>1</v>
          </cell>
          <cell r="M33">
            <v>0</v>
          </cell>
          <cell r="N33">
            <v>120000</v>
          </cell>
          <cell r="O33">
            <v>0</v>
          </cell>
        </row>
        <row r="34">
          <cell r="A34">
            <v>26</v>
          </cell>
          <cell r="B34" t="str">
            <v>Red EJ inc &amp; traffic s-term +10% opex (price change)</v>
          </cell>
          <cell r="C34">
            <v>-1.5</v>
          </cell>
          <cell r="D34">
            <v>0</v>
          </cell>
          <cell r="E34">
            <v>0</v>
          </cell>
          <cell r="F34">
            <v>0.1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0.5</v>
          </cell>
          <cell r="L34">
            <v>1</v>
          </cell>
          <cell r="M34">
            <v>0</v>
          </cell>
          <cell r="N34">
            <v>120000</v>
          </cell>
          <cell r="O34">
            <v>0</v>
          </cell>
        </row>
        <row r="35">
          <cell r="A35">
            <v>27</v>
          </cell>
          <cell r="B35" t="str">
            <v>Further Reduction +10% opex (price change)</v>
          </cell>
          <cell r="C35">
            <v>-3</v>
          </cell>
          <cell r="D35">
            <v>0</v>
          </cell>
          <cell r="E35">
            <v>0</v>
          </cell>
          <cell r="F35">
            <v>0.1</v>
          </cell>
          <cell r="G35">
            <v>-0.5</v>
          </cell>
          <cell r="H35">
            <v>0</v>
          </cell>
          <cell r="I35">
            <v>0</v>
          </cell>
          <cell r="J35">
            <v>-1</v>
          </cell>
          <cell r="K35">
            <v>0</v>
          </cell>
          <cell r="L35">
            <v>0.5</v>
          </cell>
          <cell r="M35">
            <v>0</v>
          </cell>
          <cell r="N35">
            <v>120000</v>
          </cell>
          <cell r="O35">
            <v>0</v>
          </cell>
        </row>
        <row r="36">
          <cell r="A36">
            <v>28</v>
          </cell>
          <cell r="B36" t="str">
            <v>Bond Financing 25</v>
          </cell>
          <cell r="C36">
            <v>0</v>
          </cell>
          <cell r="D36">
            <v>0</v>
          </cell>
          <cell r="E36">
            <v>0</v>
          </cell>
          <cell r="F36">
            <v>0.1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120000</v>
          </cell>
          <cell r="O36">
            <v>0</v>
          </cell>
        </row>
        <row r="37">
          <cell r="A37">
            <v>29</v>
          </cell>
          <cell r="B37" t="str">
            <v>Bond Financing 26</v>
          </cell>
          <cell r="C37">
            <v>0</v>
          </cell>
          <cell r="D37">
            <v>0</v>
          </cell>
          <cell r="E37">
            <v>0</v>
          </cell>
          <cell r="F37">
            <v>0.1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0.5</v>
          </cell>
          <cell r="L37">
            <v>1</v>
          </cell>
          <cell r="M37">
            <v>1</v>
          </cell>
          <cell r="N37">
            <v>120000</v>
          </cell>
          <cell r="O37">
            <v>0</v>
          </cell>
        </row>
        <row r="38">
          <cell r="A38">
            <v>30</v>
          </cell>
          <cell r="B38" t="str">
            <v>Bond Financing 27</v>
          </cell>
          <cell r="C38">
            <v>0</v>
          </cell>
          <cell r="D38">
            <v>0</v>
          </cell>
          <cell r="E38">
            <v>0</v>
          </cell>
          <cell r="F38">
            <v>0.1</v>
          </cell>
          <cell r="G38">
            <v>-0.5</v>
          </cell>
          <cell r="H38">
            <v>0</v>
          </cell>
          <cell r="I38">
            <v>0</v>
          </cell>
          <cell r="J38">
            <v>-1</v>
          </cell>
          <cell r="K38">
            <v>0</v>
          </cell>
          <cell r="L38">
            <v>0.5</v>
          </cell>
          <cell r="M38">
            <v>1</v>
          </cell>
          <cell r="N38">
            <v>120000</v>
          </cell>
          <cell r="O38">
            <v>0</v>
          </cell>
        </row>
        <row r="39">
          <cell r="A39">
            <v>31</v>
          </cell>
          <cell r="B39" t="str">
            <v>easyJet Disaster Case 2002/03 +10%opex (price change)</v>
          </cell>
          <cell r="C39">
            <v>0</v>
          </cell>
          <cell r="D39">
            <v>0</v>
          </cell>
          <cell r="E39">
            <v>0</v>
          </cell>
          <cell r="F39">
            <v>0.1</v>
          </cell>
          <cell r="G39">
            <v>-0.5</v>
          </cell>
          <cell r="H39">
            <v>-0.9</v>
          </cell>
          <cell r="I39">
            <v>0</v>
          </cell>
          <cell r="J39">
            <v>1</v>
          </cell>
          <cell r="K39">
            <v>1.5</v>
          </cell>
          <cell r="L39">
            <v>1.5</v>
          </cell>
          <cell r="M39">
            <v>0</v>
          </cell>
          <cell r="N39">
            <v>120000</v>
          </cell>
          <cell r="O39">
            <v>0</v>
          </cell>
        </row>
        <row r="40">
          <cell r="A40">
            <v>32</v>
          </cell>
          <cell r="B40" t="str">
            <v>Bond Financing 31</v>
          </cell>
          <cell r="C40">
            <v>0</v>
          </cell>
          <cell r="D40">
            <v>0</v>
          </cell>
          <cell r="E40">
            <v>0</v>
          </cell>
          <cell r="F40">
            <v>0.1</v>
          </cell>
          <cell r="G40">
            <v>-0.5</v>
          </cell>
          <cell r="H40">
            <v>-0.9</v>
          </cell>
          <cell r="I40">
            <v>0</v>
          </cell>
          <cell r="J40">
            <v>1</v>
          </cell>
          <cell r="K40">
            <v>1.5</v>
          </cell>
          <cell r="L40">
            <v>1.5</v>
          </cell>
          <cell r="M40">
            <v>1</v>
          </cell>
          <cell r="N40">
            <v>120000</v>
          </cell>
          <cell r="O40">
            <v>0</v>
          </cell>
        </row>
        <row r="41">
          <cell r="A41">
            <v>33</v>
          </cell>
          <cell r="B41" t="str">
            <v>Base assumptions 200mn purchase price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1</v>
          </cell>
          <cell r="L41">
            <v>1</v>
          </cell>
          <cell r="M41">
            <v>0</v>
          </cell>
          <cell r="N41">
            <v>200000</v>
          </cell>
          <cell r="O41">
            <v>0</v>
          </cell>
        </row>
        <row r="42">
          <cell r="A42">
            <v>34</v>
          </cell>
          <cell r="B42" t="str">
            <v>Case 3 with no reduction in EJ tariff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-0.5</v>
          </cell>
          <cell r="H42">
            <v>0</v>
          </cell>
          <cell r="I42">
            <v>0</v>
          </cell>
          <cell r="J42">
            <v>-1</v>
          </cell>
          <cell r="K42">
            <v>0</v>
          </cell>
          <cell r="L42">
            <v>0.5</v>
          </cell>
          <cell r="M42">
            <v>0</v>
          </cell>
          <cell r="N42">
            <v>160000</v>
          </cell>
          <cell r="O42">
            <v>0</v>
          </cell>
        </row>
        <row r="43">
          <cell r="A43">
            <v>35</v>
          </cell>
          <cell r="B43" t="str">
            <v>Case 34 with no reduction in traffic 2002/03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-0.25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0.5</v>
          </cell>
          <cell r="M43">
            <v>0</v>
          </cell>
          <cell r="N43">
            <v>160000</v>
          </cell>
          <cell r="O43">
            <v>0</v>
          </cell>
        </row>
        <row r="56">
          <cell r="A56">
            <v>1</v>
          </cell>
        </row>
        <row r="66">
          <cell r="A66">
            <v>1</v>
          </cell>
          <cell r="B66" t="str">
            <v>Base assumptions</v>
          </cell>
          <cell r="C66">
            <v>386.88476863642251</v>
          </cell>
          <cell r="D66">
            <v>322.99376863642249</v>
          </cell>
          <cell r="E66">
            <v>109000</v>
          </cell>
          <cell r="F66">
            <v>0.16770154833793643</v>
          </cell>
          <cell r="G66">
            <v>0.30567973256111147</v>
          </cell>
          <cell r="H66">
            <v>0</v>
          </cell>
          <cell r="I66">
            <v>10.51988783882023</v>
          </cell>
          <cell r="J66">
            <v>91454.715283840749</v>
          </cell>
          <cell r="P66">
            <v>0</v>
          </cell>
        </row>
        <row r="69">
          <cell r="C69" t="str">
            <v>16 sensitivity cases run in 37 seconds</v>
          </cell>
        </row>
        <row r="75">
          <cell r="A75" t="str">
            <v>SensOutput</v>
          </cell>
        </row>
      </sheetData>
      <sheetData sheetId="8" refreshError="1"/>
      <sheetData sheetId="9" refreshError="1">
        <row r="5">
          <cell r="C5" t="str">
            <v>Luton Airport</v>
          </cell>
        </row>
        <row r="6">
          <cell r="C6" t="str">
            <v>Base Case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12">
          <cell r="E212">
            <v>114952.58888888887</v>
          </cell>
          <cell r="F212">
            <v>114952.58888888887</v>
          </cell>
          <cell r="G212">
            <v>114952.58888888887</v>
          </cell>
          <cell r="H212">
            <v>214952.58888888889</v>
          </cell>
          <cell r="I212">
            <v>214952.58888888889</v>
          </cell>
          <cell r="J212">
            <v>100000</v>
          </cell>
          <cell r="K212">
            <v>100000</v>
          </cell>
          <cell r="L212">
            <v>100000</v>
          </cell>
          <cell r="M212">
            <v>0</v>
          </cell>
          <cell r="N212">
            <v>902287.73437499965</v>
          </cell>
          <cell r="O212">
            <v>1827132.6621093743</v>
          </cell>
          <cell r="P212">
            <v>2775098.7130371081</v>
          </cell>
          <cell r="Q212">
            <v>3777432.007682675</v>
          </cell>
          <cell r="R212">
            <v>4837610.1256246343</v>
          </cell>
          <cell r="S212">
            <v>5057056.1799314041</v>
          </cell>
          <cell r="T212">
            <v>5319460.7662560334</v>
          </cell>
          <cell r="U212">
            <v>5628486.2525930749</v>
          </cell>
          <cell r="V212">
            <v>5947775.7623897307</v>
          </cell>
          <cell r="W212">
            <v>6287623.2782569807</v>
          </cell>
          <cell r="X212">
            <v>6649411.4215436857</v>
          </cell>
          <cell r="Y212">
            <v>7034617.3825953696</v>
          </cell>
          <cell r="Z212">
            <v>7444819.4297183314</v>
          </cell>
          <cell r="AA212">
            <v>7891325.3725225497</v>
          </cell>
          <cell r="AB212">
            <v>8366980.0893433793</v>
          </cell>
          <cell r="AC212">
            <v>9371328.8245893419</v>
          </cell>
          <cell r="AD212">
            <v>11319633.630872991</v>
          </cell>
          <cell r="AE212">
            <v>15236849.907784451</v>
          </cell>
          <cell r="AF212">
            <v>25285976.434578333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428571.42857142858</v>
          </cell>
          <cell r="K256">
            <v>867857.14285714272</v>
          </cell>
          <cell r="L256">
            <v>1318124.9999999998</v>
          </cell>
          <cell r="M256">
            <v>1779649.5535714282</v>
          </cell>
          <cell r="N256">
            <v>1779649.5535714282</v>
          </cell>
          <cell r="O256">
            <v>1779649.5535714282</v>
          </cell>
          <cell r="P256">
            <v>1779649.5535714282</v>
          </cell>
          <cell r="Q256">
            <v>1351078.1249999995</v>
          </cell>
          <cell r="R256">
            <v>911792.41071428533</v>
          </cell>
          <cell r="S256">
            <v>461524.55357142835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301">
          <cell r="E301">
            <v>71845.368055555547</v>
          </cell>
          <cell r="F301">
            <v>71845.368055555547</v>
          </cell>
          <cell r="G301">
            <v>71845.368055555547</v>
          </cell>
          <cell r="H301">
            <v>134345.36805555556</v>
          </cell>
          <cell r="I301">
            <v>134345.36805555556</v>
          </cell>
          <cell r="J301">
            <v>134345.36805555556</v>
          </cell>
          <cell r="K301">
            <v>134345.36805555556</v>
          </cell>
          <cell r="L301">
            <v>134345.36805555556</v>
          </cell>
          <cell r="M301">
            <v>62500</v>
          </cell>
          <cell r="N301">
            <v>62500</v>
          </cell>
          <cell r="O301">
            <v>62500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434">
          <cell r="E434">
            <v>153270.11851851849</v>
          </cell>
          <cell r="F434">
            <v>153270.11851851849</v>
          </cell>
          <cell r="G434">
            <v>153270.11851851849</v>
          </cell>
          <cell r="H434">
            <v>153270.11851851849</v>
          </cell>
          <cell r="I434">
            <v>153270.11851851849</v>
          </cell>
          <cell r="J434">
            <v>153270.11851851849</v>
          </cell>
          <cell r="K434">
            <v>153270.11851851849</v>
          </cell>
          <cell r="L434">
            <v>153270.11851851849</v>
          </cell>
          <cell r="M434">
            <v>153270.11851851849</v>
          </cell>
          <cell r="N434">
            <v>153270.11851851849</v>
          </cell>
          <cell r="O434">
            <v>153270.11851851849</v>
          </cell>
          <cell r="P434">
            <v>153270.11851851849</v>
          </cell>
          <cell r="Q434">
            <v>153270.11851851849</v>
          </cell>
          <cell r="R434">
            <v>153270.11851851849</v>
          </cell>
          <cell r="S434">
            <v>153270.11851851849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79"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523">
          <cell r="E523">
            <v>229905.1777777778</v>
          </cell>
          <cell r="F523">
            <v>229905.1777777778</v>
          </cell>
          <cell r="G523">
            <v>229905.1777777778</v>
          </cell>
          <cell r="H523">
            <v>989905.17777777778</v>
          </cell>
          <cell r="I523">
            <v>1823238.5111111111</v>
          </cell>
          <cell r="J523">
            <v>1823238.5111111111</v>
          </cell>
          <cell r="K523">
            <v>1823238.5111111111</v>
          </cell>
          <cell r="L523">
            <v>2489905.1777777779</v>
          </cell>
          <cell r="M523">
            <v>3189905.1777777779</v>
          </cell>
          <cell r="N523">
            <v>3926747.2830409356</v>
          </cell>
          <cell r="O523">
            <v>3926747.2830409356</v>
          </cell>
          <cell r="P523">
            <v>3926747.2830409356</v>
          </cell>
          <cell r="Q523">
            <v>3926747.2830409356</v>
          </cell>
          <cell r="R523">
            <v>3926747.2830409356</v>
          </cell>
          <cell r="S523">
            <v>3926747.2830409356</v>
          </cell>
          <cell r="T523">
            <v>3926747.2830409356</v>
          </cell>
          <cell r="U523">
            <v>3926747.2830409356</v>
          </cell>
          <cell r="V523">
            <v>3926747.2830409356</v>
          </cell>
          <cell r="W523">
            <v>3926747.2830409356</v>
          </cell>
          <cell r="X523">
            <v>3926747.2830409356</v>
          </cell>
          <cell r="Y523">
            <v>3926747.2830409356</v>
          </cell>
          <cell r="Z523">
            <v>3926747.2830409356</v>
          </cell>
          <cell r="AA523">
            <v>3926747.2830409356</v>
          </cell>
          <cell r="AB523">
            <v>3926747.2830409356</v>
          </cell>
          <cell r="AC523">
            <v>3926747.2830409356</v>
          </cell>
          <cell r="AD523">
            <v>3696842.1052631577</v>
          </cell>
          <cell r="AE523">
            <v>3696842.1052631577</v>
          </cell>
          <cell r="AF523">
            <v>3696842.1052631577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C-Summary"/>
      <sheetName val="Scenario Manager"/>
      <sheetName val="Scenario Output"/>
      <sheetName val="AR GRP PL"/>
      <sheetName val="Airport Company"/>
      <sheetName val="Cork"/>
      <sheetName val="Shannon"/>
      <sheetName val="Dublin"/>
      <sheetName val="ARI"/>
      <sheetName val="GSH"/>
      <sheetName val="Misc BS"/>
      <sheetName val="Capex '99-'03"/>
      <sheetName val="Capex Scenarios"/>
      <sheetName val="Aviation charges"/>
      <sheetName val="Aviation forecasts"/>
      <sheetName val="DCF"/>
      <sheetName val="DCF-APV"/>
      <sheetName val="Taxshield"/>
      <sheetName val="CapitalCost"/>
      <sheetName val="DCF-WACC"/>
      <sheetName val="T_C__2_"/>
      <sheetName val="BG"/>
      <sheetName val="Semanal"/>
      <sheetName val="Receita"/>
      <sheetName val="C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97">
          <cell r="K397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ments"/>
      <sheetName val="APV"/>
      <sheetName val="CapitalCost"/>
      <sheetName val="Sheet2"/>
      <sheetName val="Sheet3"/>
      <sheetName val="1. Time &amp; Esc"/>
      <sheetName val="Input"/>
      <sheetName val="Fcst"/>
      <sheetName val="7 &amp; 8A. SandU"/>
      <sheetName val="2&amp;3 AeroRevs"/>
      <sheetName val="4. Non-AeroRevs"/>
      <sheetName val="Aspectos e Perigos padronizados"/>
    </sheetNames>
    <sheetDataSet>
      <sheetData sheetId="0" refreshError="1"/>
      <sheetData sheetId="1" refreshError="1">
        <row r="12">
          <cell r="E12">
            <v>0.02</v>
          </cell>
        </row>
        <row r="140">
          <cell r="Q140">
            <v>197963.00488209852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sumen LG"/>
      <sheetName val="Ponderación"/>
      <sheetName val="Control"/>
      <sheetName val="Avance Resumen"/>
      <sheetName val="QURR"/>
      <sheetName val="QURR-Adicionales"/>
      <sheetName val="Curva S"/>
      <sheetName val="Curva S Perú Plaza"/>
    </sheetNames>
    <sheetDataSet>
      <sheetData sheetId="0" refreshError="1"/>
      <sheetData sheetId="1" refreshError="1"/>
      <sheetData sheetId="2" refreshError="1"/>
      <sheetData sheetId="3" refreshError="1">
        <row r="729">
          <cell r="A729" t="str">
            <v>1 - 4</v>
          </cell>
        </row>
        <row r="743">
          <cell r="A743" t="str">
            <v>2 - 4.01</v>
          </cell>
          <cell r="B743" t="str">
            <v>500-FC1-EED0-00003</v>
          </cell>
          <cell r="C743" t="str">
            <v>2024-42.41</v>
          </cell>
          <cell r="D743">
            <v>2</v>
          </cell>
          <cell r="E743">
            <v>4.01</v>
          </cell>
          <cell r="F743" t="str">
            <v>FIDS, GIDS, BMS  ADS, IT, SCS</v>
          </cell>
          <cell r="G743" t="str">
            <v>Enginn.,configurat.,detail eng.,programming,setup,</v>
          </cell>
          <cell r="K743" t="str">
            <v>2 - 4.01</v>
          </cell>
          <cell r="L743" t="str">
            <v>LOT</v>
          </cell>
          <cell r="M743">
            <v>1</v>
          </cell>
          <cell r="N743" t="str">
            <v>GE</v>
          </cell>
          <cell r="O743">
            <v>0</v>
          </cell>
        </row>
        <row r="744">
          <cell r="A744" t="str">
            <v>2 - 4.03</v>
          </cell>
          <cell r="B744" t="str">
            <v>500-FC1-EED0-00003</v>
          </cell>
          <cell r="C744" t="str">
            <v>2024-42.41</v>
          </cell>
          <cell r="D744">
            <v>2</v>
          </cell>
          <cell r="E744">
            <v>4.03</v>
          </cell>
          <cell r="F744" t="str">
            <v>FIDS, GIDS, BMS  ADS, IT, SCS</v>
          </cell>
          <cell r="G744" t="str">
            <v>Cabinet,rack, patch panel, patch cords,data outlet</v>
          </cell>
          <cell r="K744" t="str">
            <v>2 - 4.03</v>
          </cell>
          <cell r="L744" t="str">
            <v>LOT</v>
          </cell>
          <cell r="M744">
            <v>1</v>
          </cell>
          <cell r="N744" t="str">
            <v>GE</v>
          </cell>
          <cell r="O744">
            <v>0</v>
          </cell>
        </row>
        <row r="745">
          <cell r="A745" t="str">
            <v>2 - 4.04</v>
          </cell>
          <cell r="B745" t="str">
            <v>500-FC1-EED0-00003</v>
          </cell>
          <cell r="C745" t="str">
            <v>2024-42.41</v>
          </cell>
          <cell r="D745">
            <v>2</v>
          </cell>
          <cell r="E745">
            <v>4.04</v>
          </cell>
          <cell r="F745" t="str">
            <v>FIDS, GIDS, BMS  ADS, IT, SCS</v>
          </cell>
          <cell r="G745" t="str">
            <v>Instal., hook up, power up, tests, reports, commis</v>
          </cell>
          <cell r="K745" t="str">
            <v>2 - 4.04</v>
          </cell>
          <cell r="L745" t="str">
            <v>LOT</v>
          </cell>
          <cell r="M745">
            <v>1</v>
          </cell>
          <cell r="N745" t="str">
            <v>GE</v>
          </cell>
          <cell r="O745">
            <v>0</v>
          </cell>
        </row>
        <row r="746">
          <cell r="A746" t="str">
            <v>2 - 4.05</v>
          </cell>
          <cell r="B746" t="str">
            <v>500-FC1-EED0-00003</v>
          </cell>
          <cell r="C746" t="str">
            <v>2024-42.41</v>
          </cell>
          <cell r="D746">
            <v>2</v>
          </cell>
          <cell r="E746">
            <v>4.05</v>
          </cell>
          <cell r="F746" t="str">
            <v>FIDS, GIDS, BMS  ADS, IT, SCS</v>
          </cell>
          <cell r="G746" t="str">
            <v>Raceways: installation of cable trays per drawings</v>
          </cell>
          <cell r="K746" t="str">
            <v>2 - 4.05</v>
          </cell>
          <cell r="L746" t="str">
            <v>LOT</v>
          </cell>
          <cell r="M746">
            <v>1</v>
          </cell>
          <cell r="N746" t="str">
            <v>GE</v>
          </cell>
          <cell r="O746">
            <v>0</v>
          </cell>
        </row>
        <row r="747">
          <cell r="A747" t="str">
            <v>2 - 4.06</v>
          </cell>
          <cell r="B747" t="str">
            <v>500-FC1-EED0-00003</v>
          </cell>
          <cell r="C747" t="str">
            <v>2024-42.41</v>
          </cell>
          <cell r="D747">
            <v>2</v>
          </cell>
          <cell r="E747">
            <v>4.0599999999999996</v>
          </cell>
          <cell r="F747" t="str">
            <v>FIDS, GIDS, BMS  ADS, IT, SCS</v>
          </cell>
          <cell r="G747" t="str">
            <v>1Km fiber optic backbone cabling, (1-12 fiber cabl</v>
          </cell>
          <cell r="K747" t="str">
            <v>2 - 4.06</v>
          </cell>
          <cell r="L747" t="str">
            <v>LOT</v>
          </cell>
          <cell r="M747">
            <v>1</v>
          </cell>
          <cell r="N747" t="str">
            <v>GE</v>
          </cell>
          <cell r="O747">
            <v>0</v>
          </cell>
        </row>
        <row r="748">
          <cell r="A748" t="str">
            <v>2 - 4.07</v>
          </cell>
          <cell r="B748" t="str">
            <v>500-FC1-EED0-00003</v>
          </cell>
          <cell r="C748" t="str">
            <v>2024-42.41</v>
          </cell>
          <cell r="D748">
            <v>2</v>
          </cell>
          <cell r="E748">
            <v>4.07</v>
          </cell>
          <cell r="F748" t="str">
            <v>FIDS, GIDS, BMS  ADS, IT, SCS</v>
          </cell>
          <cell r="G748" t="str">
            <v>Fire stopping: supply and install fire barriers</v>
          </cell>
          <cell r="K748" t="str">
            <v>2 - 4.07</v>
          </cell>
          <cell r="L748" t="str">
            <v>LOT</v>
          </cell>
          <cell r="M748">
            <v>1</v>
          </cell>
          <cell r="N748" t="str">
            <v>GE</v>
          </cell>
          <cell r="O748">
            <v>0</v>
          </cell>
        </row>
        <row r="749">
          <cell r="A749" t="str">
            <v>2 - 4.08</v>
          </cell>
          <cell r="B749" t="str">
            <v>500-FC1-EED0-00003</v>
          </cell>
          <cell r="C749" t="str">
            <v>2024-42.41</v>
          </cell>
          <cell r="D749">
            <v>2</v>
          </cell>
          <cell r="E749">
            <v>4.08</v>
          </cell>
          <cell r="F749" t="str">
            <v>FIDS, GIDS, BMS  ADS, IT, SCS</v>
          </cell>
          <cell r="G749" t="str">
            <v>Start up and testing</v>
          </cell>
          <cell r="K749" t="str">
            <v>2 - 4.08</v>
          </cell>
          <cell r="L749" t="str">
            <v>LOT</v>
          </cell>
          <cell r="M749">
            <v>1</v>
          </cell>
          <cell r="N749" t="str">
            <v>GE</v>
          </cell>
          <cell r="O749">
            <v>0</v>
          </cell>
        </row>
        <row r="750">
          <cell r="A750" t="str">
            <v>2 - 4.09</v>
          </cell>
          <cell r="B750" t="str">
            <v>500-FC1-EED0-00003</v>
          </cell>
          <cell r="C750" t="str">
            <v>2024-42.41</v>
          </cell>
          <cell r="D750">
            <v>2</v>
          </cell>
          <cell r="E750">
            <v>4.09</v>
          </cell>
          <cell r="F750" t="str">
            <v>FIDS, GIDS, BMS  ADS, IT, SCS</v>
          </cell>
          <cell r="G750" t="str">
            <v>Training</v>
          </cell>
          <cell r="K750" t="str">
            <v>2 - 4.09</v>
          </cell>
          <cell r="L750" t="str">
            <v>LOT</v>
          </cell>
          <cell r="M750">
            <v>1</v>
          </cell>
          <cell r="N750" t="str">
            <v>GE</v>
          </cell>
          <cell r="O750">
            <v>0</v>
          </cell>
        </row>
        <row r="751">
          <cell r="A751" t="str">
            <v>2 - 5</v>
          </cell>
          <cell r="B751" t="str">
            <v>500-FC1-EED0-00003</v>
          </cell>
          <cell r="C751" t="str">
            <v>2024-42.41</v>
          </cell>
          <cell r="D751">
            <v>2</v>
          </cell>
          <cell r="E751">
            <v>5</v>
          </cell>
          <cell r="F751" t="str">
            <v>FIDS, GIDS, BMS  ADS, IT, SCS</v>
          </cell>
          <cell r="G751" t="str">
            <v>Shipping/Transport/Duties / Export Packing</v>
          </cell>
          <cell r="K751" t="str">
            <v>2 - 5</v>
          </cell>
          <cell r="L751" t="str">
            <v>LOT</v>
          </cell>
          <cell r="M751">
            <v>1</v>
          </cell>
          <cell r="N751" t="str">
            <v>GE</v>
          </cell>
          <cell r="O751">
            <v>0</v>
          </cell>
        </row>
        <row r="752">
          <cell r="A752" t="str">
            <v>2 - 6</v>
          </cell>
          <cell r="B752" t="str">
            <v>500-FC1-EED0-00003</v>
          </cell>
          <cell r="C752" t="str">
            <v>2024-42.41</v>
          </cell>
          <cell r="D752">
            <v>2</v>
          </cell>
          <cell r="E752">
            <v>6</v>
          </cell>
          <cell r="F752" t="str">
            <v>FIDS, GIDS, BMS  ADS, IT, SCS</v>
          </cell>
          <cell r="G752" t="str">
            <v>Insurance Cost(Grl Liability &amp; Special Coverage)</v>
          </cell>
          <cell r="K752" t="str">
            <v>2 - 6</v>
          </cell>
          <cell r="L752" t="str">
            <v>LOT</v>
          </cell>
          <cell r="M752">
            <v>1</v>
          </cell>
          <cell r="N752" t="str">
            <v>GE</v>
          </cell>
          <cell r="O752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Week Sched"/>
      <sheetName val="S"/>
      <sheetName val="WEEKBASE"/>
      <sheetName val="RESUMEN"/>
      <sheetName val="QURR"/>
      <sheetName val="Ponderados"/>
      <sheetName val="31MAY"/>
    </sheetNames>
    <sheetDataSet>
      <sheetData sheetId="0"/>
      <sheetData sheetId="1"/>
      <sheetData sheetId="2"/>
      <sheetData sheetId="3"/>
      <sheetData sheetId="4" refreshError="1">
        <row r="9">
          <cell r="D9" t="str">
            <v>0001</v>
          </cell>
        </row>
        <row r="10">
          <cell r="D10" t="str">
            <v>1.00</v>
          </cell>
        </row>
        <row r="11">
          <cell r="D11" t="str">
            <v>1.01</v>
          </cell>
        </row>
        <row r="12">
          <cell r="D12" t="str">
            <v>1.01</v>
          </cell>
          <cell r="M12">
            <v>287</v>
          </cell>
        </row>
        <row r="13">
          <cell r="D13" t="str">
            <v>1.01</v>
          </cell>
          <cell r="M13">
            <v>534</v>
          </cell>
        </row>
        <row r="14">
          <cell r="D14" t="str">
            <v>TE</v>
          </cell>
          <cell r="M14">
            <v>144</v>
          </cell>
        </row>
        <row r="15">
          <cell r="D15" t="str">
            <v>1.02</v>
          </cell>
        </row>
        <row r="16">
          <cell r="D16" t="str">
            <v>1.02</v>
          </cell>
          <cell r="M16">
            <v>494</v>
          </cell>
        </row>
        <row r="17">
          <cell r="D17" t="str">
            <v>1.02</v>
          </cell>
          <cell r="M17">
            <v>100</v>
          </cell>
        </row>
        <row r="18">
          <cell r="D18" t="str">
            <v>1.02</v>
          </cell>
        </row>
        <row r="19">
          <cell r="D19" t="str">
            <v>1.02</v>
          </cell>
          <cell r="M19">
            <v>61</v>
          </cell>
        </row>
        <row r="20">
          <cell r="D20" t="str">
            <v>1.02</v>
          </cell>
          <cell r="M20">
            <v>293</v>
          </cell>
        </row>
        <row r="21">
          <cell r="D21" t="str">
            <v>1.02</v>
          </cell>
          <cell r="M21">
            <v>538</v>
          </cell>
        </row>
        <row r="22">
          <cell r="D22" t="str">
            <v>TE</v>
          </cell>
          <cell r="M22">
            <v>480</v>
          </cell>
        </row>
        <row r="23">
          <cell r="D23" t="str">
            <v>1.03</v>
          </cell>
        </row>
        <row r="24">
          <cell r="D24" t="str">
            <v>1.03</v>
          </cell>
          <cell r="M24">
            <v>50</v>
          </cell>
        </row>
        <row r="25">
          <cell r="D25" t="str">
            <v>1.03</v>
          </cell>
          <cell r="M25">
            <v>3446</v>
          </cell>
        </row>
        <row r="26">
          <cell r="D26" t="str">
            <v>1.03</v>
          </cell>
          <cell r="M26">
            <v>93</v>
          </cell>
        </row>
        <row r="27">
          <cell r="D27" t="str">
            <v>1.03</v>
          </cell>
          <cell r="M27">
            <v>726</v>
          </cell>
        </row>
        <row r="28">
          <cell r="D28" t="str">
            <v>1.03</v>
          </cell>
          <cell r="M28">
            <v>743</v>
          </cell>
        </row>
        <row r="29">
          <cell r="D29" t="str">
            <v>TE</v>
          </cell>
          <cell r="M29">
            <v>960</v>
          </cell>
        </row>
        <row r="30">
          <cell r="D30" t="str">
            <v>2.00</v>
          </cell>
        </row>
        <row r="31">
          <cell r="D31" t="str">
            <v>2.01</v>
          </cell>
        </row>
        <row r="32">
          <cell r="D32" t="str">
            <v>2.01</v>
          </cell>
          <cell r="M32">
            <v>286</v>
          </cell>
        </row>
        <row r="33">
          <cell r="D33" t="str">
            <v>TE</v>
          </cell>
          <cell r="M33">
            <v>144</v>
          </cell>
        </row>
        <row r="34">
          <cell r="D34" t="str">
            <v>2.02</v>
          </cell>
        </row>
        <row r="35">
          <cell r="D35" t="str">
            <v>2.02</v>
          </cell>
          <cell r="M35">
            <v>778</v>
          </cell>
        </row>
        <row r="36">
          <cell r="D36" t="str">
            <v>2.02</v>
          </cell>
          <cell r="M36">
            <v>122</v>
          </cell>
        </row>
        <row r="37">
          <cell r="D37" t="str">
            <v>TE</v>
          </cell>
          <cell r="M37">
            <v>480</v>
          </cell>
        </row>
        <row r="38">
          <cell r="D38" t="str">
            <v>2.03</v>
          </cell>
        </row>
        <row r="39">
          <cell r="D39" t="str">
            <v>2.03</v>
          </cell>
          <cell r="M39">
            <v>1084</v>
          </cell>
        </row>
        <row r="40">
          <cell r="D40" t="str">
            <v>TE</v>
          </cell>
          <cell r="M40">
            <v>768</v>
          </cell>
        </row>
        <row r="41">
          <cell r="D41" t="str">
            <v>3.00</v>
          </cell>
        </row>
        <row r="42">
          <cell r="D42" t="str">
            <v>3.01</v>
          </cell>
        </row>
        <row r="43">
          <cell r="D43" t="str">
            <v>3.01</v>
          </cell>
          <cell r="M43">
            <v>74</v>
          </cell>
        </row>
        <row r="44">
          <cell r="D44" t="str">
            <v>3.01</v>
          </cell>
          <cell r="M44">
            <v>48</v>
          </cell>
        </row>
        <row r="45">
          <cell r="D45" t="str">
            <v>3.01</v>
          </cell>
          <cell r="M45">
            <v>62</v>
          </cell>
        </row>
        <row r="46">
          <cell r="D46" t="str">
            <v>3.01</v>
          </cell>
          <cell r="M46">
            <v>6</v>
          </cell>
        </row>
        <row r="47">
          <cell r="D47" t="str">
            <v>3.01</v>
          </cell>
          <cell r="M47">
            <v>6</v>
          </cell>
        </row>
        <row r="48">
          <cell r="D48" t="str">
            <v>3.02</v>
          </cell>
        </row>
        <row r="49">
          <cell r="D49" t="str">
            <v>3.02</v>
          </cell>
        </row>
        <row r="50">
          <cell r="D50" t="str">
            <v>3.02</v>
          </cell>
          <cell r="M50">
            <v>23</v>
          </cell>
        </row>
        <row r="51">
          <cell r="D51" t="str">
            <v>3.02</v>
          </cell>
          <cell r="M51">
            <v>10</v>
          </cell>
        </row>
        <row r="52">
          <cell r="D52" t="str">
            <v>3.02</v>
          </cell>
          <cell r="M52">
            <v>16</v>
          </cell>
        </row>
        <row r="53">
          <cell r="D53" t="str">
            <v>3.02</v>
          </cell>
          <cell r="M53">
            <v>41</v>
          </cell>
        </row>
        <row r="54">
          <cell r="D54" t="str">
            <v>3.02</v>
          </cell>
          <cell r="M54">
            <v>16</v>
          </cell>
        </row>
        <row r="55">
          <cell r="D55" t="str">
            <v>3.02</v>
          </cell>
          <cell r="M55">
            <v>32</v>
          </cell>
        </row>
        <row r="56">
          <cell r="D56" t="str">
            <v>3.02</v>
          </cell>
          <cell r="M56">
            <v>8</v>
          </cell>
        </row>
        <row r="57">
          <cell r="D57" t="str">
            <v>3.02</v>
          </cell>
          <cell r="M57">
            <v>8</v>
          </cell>
        </row>
        <row r="58">
          <cell r="D58" t="str">
            <v>3.02</v>
          </cell>
        </row>
        <row r="59">
          <cell r="D59" t="str">
            <v>3.02</v>
          </cell>
          <cell r="M59">
            <v>75</v>
          </cell>
        </row>
        <row r="60">
          <cell r="D60" t="str">
            <v>3.02</v>
          </cell>
          <cell r="M60">
            <v>49</v>
          </cell>
        </row>
        <row r="61">
          <cell r="D61" t="str">
            <v>3.02</v>
          </cell>
          <cell r="M61">
            <v>66</v>
          </cell>
        </row>
        <row r="62">
          <cell r="D62" t="str">
            <v>3.02</v>
          </cell>
          <cell r="M62">
            <v>7</v>
          </cell>
        </row>
        <row r="63">
          <cell r="D63" t="str">
            <v>3.02</v>
          </cell>
          <cell r="M63">
            <v>16</v>
          </cell>
        </row>
        <row r="64">
          <cell r="D64" t="str">
            <v>3.02</v>
          </cell>
          <cell r="M64">
            <v>15</v>
          </cell>
        </row>
        <row r="65">
          <cell r="D65" t="str">
            <v>3.02</v>
          </cell>
          <cell r="M65">
            <v>9</v>
          </cell>
        </row>
        <row r="66">
          <cell r="D66" t="str">
            <v>3.02</v>
          </cell>
          <cell r="M66">
            <v>20</v>
          </cell>
        </row>
        <row r="67">
          <cell r="D67" t="str">
            <v>3.02</v>
          </cell>
          <cell r="M67">
            <v>3</v>
          </cell>
        </row>
        <row r="68">
          <cell r="D68" t="str">
            <v>3.02</v>
          </cell>
          <cell r="M68">
            <v>10</v>
          </cell>
        </row>
        <row r="69">
          <cell r="D69" t="str">
            <v>3.03</v>
          </cell>
        </row>
        <row r="70">
          <cell r="D70" t="str">
            <v>3.03</v>
          </cell>
        </row>
        <row r="71">
          <cell r="D71" t="str">
            <v>3.03</v>
          </cell>
          <cell r="M71">
            <v>120</v>
          </cell>
        </row>
        <row r="72">
          <cell r="D72" t="str">
            <v>3.03</v>
          </cell>
          <cell r="M72">
            <v>68</v>
          </cell>
        </row>
        <row r="73">
          <cell r="D73" t="str">
            <v>3.03</v>
          </cell>
          <cell r="M73">
            <v>110</v>
          </cell>
        </row>
        <row r="74">
          <cell r="D74" t="str">
            <v>3.03</v>
          </cell>
          <cell r="M74">
            <v>18</v>
          </cell>
        </row>
        <row r="75">
          <cell r="D75" t="str">
            <v>3.03</v>
          </cell>
          <cell r="M75">
            <v>18</v>
          </cell>
        </row>
        <row r="76">
          <cell r="D76" t="str">
            <v>3.03</v>
          </cell>
          <cell r="M76">
            <v>14</v>
          </cell>
        </row>
        <row r="77">
          <cell r="D77" t="str">
            <v>3.03</v>
          </cell>
          <cell r="M77">
            <v>22</v>
          </cell>
        </row>
        <row r="78">
          <cell r="D78" t="str">
            <v>3.03</v>
          </cell>
        </row>
        <row r="79">
          <cell r="D79" t="str">
            <v>3.03</v>
          </cell>
          <cell r="M79">
            <v>132</v>
          </cell>
        </row>
        <row r="80">
          <cell r="D80" t="str">
            <v>3.03</v>
          </cell>
          <cell r="M80">
            <v>58</v>
          </cell>
        </row>
        <row r="81">
          <cell r="D81" t="str">
            <v>3.03</v>
          </cell>
          <cell r="M81">
            <v>112</v>
          </cell>
        </row>
        <row r="82">
          <cell r="D82" t="str">
            <v>3.03</v>
          </cell>
          <cell r="M82">
            <v>10</v>
          </cell>
        </row>
        <row r="83">
          <cell r="D83" t="str">
            <v>3.03</v>
          </cell>
          <cell r="M83">
            <v>16</v>
          </cell>
        </row>
        <row r="84">
          <cell r="D84" t="str">
            <v>3.03</v>
          </cell>
          <cell r="M84">
            <v>13</v>
          </cell>
        </row>
        <row r="85">
          <cell r="D85" t="str">
            <v>3.03</v>
          </cell>
          <cell r="M85">
            <v>13</v>
          </cell>
        </row>
        <row r="86">
          <cell r="D86" t="str">
            <v>4.00</v>
          </cell>
        </row>
        <row r="87">
          <cell r="D87" t="str">
            <v>4.00</v>
          </cell>
          <cell r="M87">
            <v>6</v>
          </cell>
        </row>
        <row r="88">
          <cell r="D88" t="str">
            <v>4.00</v>
          </cell>
          <cell r="M88">
            <v>6</v>
          </cell>
        </row>
        <row r="89">
          <cell r="D89" t="str">
            <v>4.00</v>
          </cell>
          <cell r="M89">
            <v>6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  <sheetName val="MINUTA"/>
      <sheetName val="Avances"/>
      <sheetName val="HORAS CONSUMIDAS"/>
      <sheetName val="QURR"/>
      <sheetName val="Constract Progress Chart"/>
      <sheetName val="STAFFING TABULATION CHART"/>
      <sheetName val="DAILY FORCE REPORT"/>
      <sheetName val="CONSTRUCTION EQUIPMENT SCHEDULE"/>
      <sheetName val="EQUIPMENT REPORT"/>
    </sheetNames>
    <sheetDataSet>
      <sheetData sheetId="0" refreshError="1"/>
      <sheetData sheetId="1" refreshError="1"/>
      <sheetData sheetId="2" refreshError="1"/>
      <sheetData sheetId="3" refreshError="1">
        <row r="65">
          <cell r="B65">
            <v>1</v>
          </cell>
          <cell r="C65" t="str">
            <v>1.1.2.b</v>
          </cell>
          <cell r="D65" t="str">
            <v>1.1.2.b1</v>
          </cell>
          <cell r="E65" t="str">
            <v xml:space="preserve">Green Light Reflective Insulated Glass </v>
          </cell>
          <cell r="H65">
            <v>139</v>
          </cell>
        </row>
        <row r="66">
          <cell r="B66">
            <v>1</v>
          </cell>
          <cell r="C66" t="str">
            <v>3.2.2</v>
          </cell>
          <cell r="D66" t="str">
            <v>3.2.21</v>
          </cell>
          <cell r="E66" t="str">
            <v>Aluminum Framing Doors</v>
          </cell>
          <cell r="H66">
            <v>79</v>
          </cell>
        </row>
        <row r="67">
          <cell r="B67">
            <v>1</v>
          </cell>
          <cell r="C67" t="str">
            <v>3.1.2</v>
          </cell>
          <cell r="D67" t="str">
            <v>3.1.21</v>
          </cell>
          <cell r="E67" t="str">
            <v>Laminated Translucent glass</v>
          </cell>
          <cell r="H67">
            <v>129</v>
          </cell>
        </row>
        <row r="68">
          <cell r="B68">
            <v>1</v>
          </cell>
          <cell r="C68" t="str">
            <v>3.1.1</v>
          </cell>
          <cell r="D68" t="str">
            <v>3.1.11</v>
          </cell>
          <cell r="E68" t="str">
            <v>Clear tempered</v>
          </cell>
          <cell r="H68">
            <v>167.25</v>
          </cell>
        </row>
        <row r="69">
          <cell r="B69">
            <v>1</v>
          </cell>
          <cell r="C69" t="str">
            <v>3.2.1</v>
          </cell>
          <cell r="D69" t="str">
            <v>3.2.11</v>
          </cell>
          <cell r="E69" t="str">
            <v>Aluminum Fittings Tempered System</v>
          </cell>
          <cell r="H69">
            <v>167.25</v>
          </cell>
        </row>
        <row r="70">
          <cell r="B70">
            <v>1</v>
          </cell>
          <cell r="C70" t="str">
            <v>5.4</v>
          </cell>
          <cell r="D70" t="str">
            <v>5.41</v>
          </cell>
          <cell r="E70" t="str">
            <v>Aluminum Top flashing in other walls</v>
          </cell>
          <cell r="H70">
            <v>80</v>
          </cell>
        </row>
        <row r="71">
          <cell r="B71">
            <v>1</v>
          </cell>
          <cell r="C71" t="str">
            <v>1.2</v>
          </cell>
          <cell r="D71" t="str">
            <v>1.21</v>
          </cell>
          <cell r="E71" t="str">
            <v>Aluminum Framing and Fittings</v>
          </cell>
          <cell r="H71">
            <v>50</v>
          </cell>
        </row>
        <row r="72">
          <cell r="B72">
            <v>1</v>
          </cell>
          <cell r="C72" t="str">
            <v>1.1.2.a</v>
          </cell>
          <cell r="D72" t="str">
            <v>1.1.2.a1</v>
          </cell>
          <cell r="E72" t="str">
            <v>Green Reflective Insulated Glass</v>
          </cell>
          <cell r="H72">
            <v>93</v>
          </cell>
        </row>
        <row r="73">
          <cell r="B73">
            <v>1</v>
          </cell>
          <cell r="C73" t="str">
            <v>1.4</v>
          </cell>
          <cell r="D73" t="str">
            <v>1.41</v>
          </cell>
          <cell r="E73" t="str">
            <v>Fire Stopping.</v>
          </cell>
          <cell r="H73">
            <v>20</v>
          </cell>
        </row>
        <row r="74">
          <cell r="B74">
            <v>2</v>
          </cell>
          <cell r="C74" t="str">
            <v>2.1.1.2.b</v>
          </cell>
          <cell r="D74" t="str">
            <v>2.1.1.2.b2</v>
          </cell>
          <cell r="E74" t="str">
            <v>Green Light Reflective Insulated Glass</v>
          </cell>
          <cell r="H74">
            <v>10</v>
          </cell>
        </row>
        <row r="75">
          <cell r="B75">
            <v>2</v>
          </cell>
          <cell r="C75" t="str">
            <v>2.1.2</v>
          </cell>
          <cell r="D75" t="str">
            <v>2.1.22</v>
          </cell>
          <cell r="E75" t="str">
            <v>Aluminum Framing and Fittings</v>
          </cell>
          <cell r="H75">
            <v>10</v>
          </cell>
        </row>
        <row r="76">
          <cell r="D76"/>
          <cell r="E76">
            <v>0</v>
          </cell>
          <cell r="H76">
            <v>0</v>
          </cell>
        </row>
        <row r="77">
          <cell r="E77">
            <v>0</v>
          </cell>
        </row>
      </sheetData>
      <sheetData sheetId="4" refreshError="1">
        <row r="9">
          <cell r="D9" t="str">
            <v>0001</v>
          </cell>
        </row>
        <row r="104">
          <cell r="D104" t="str">
            <v>0001</v>
          </cell>
          <cell r="E104" t="str">
            <v>00013</v>
          </cell>
          <cell r="F104" t="str">
            <v>Perú Plaza</v>
          </cell>
        </row>
        <row r="105">
          <cell r="D105" t="str">
            <v>1</v>
          </cell>
          <cell r="E105" t="str">
            <v>13</v>
          </cell>
          <cell r="F105" t="str">
            <v>Curtain Wall/Muro cortina</v>
          </cell>
        </row>
        <row r="106">
          <cell r="D106" t="str">
            <v>1.1</v>
          </cell>
          <cell r="E106" t="str">
            <v>1.13</v>
          </cell>
          <cell r="F106" t="str">
            <v>Glass</v>
          </cell>
        </row>
        <row r="107">
          <cell r="D107" t="str">
            <v>1.1.1</v>
          </cell>
          <cell r="E107" t="str">
            <v>1.1.13</v>
          </cell>
          <cell r="F107" t="str">
            <v>Glass Option 1</v>
          </cell>
        </row>
        <row r="108">
          <cell r="D108" t="str">
            <v>1.1.1a</v>
          </cell>
          <cell r="E108" t="str">
            <v>1.1.1a3</v>
          </cell>
          <cell r="F108" t="str">
            <v>Green Reflective Laminated Glass</v>
          </cell>
        </row>
        <row r="109">
          <cell r="D109" t="str">
            <v>1.1.1b</v>
          </cell>
          <cell r="E109" t="str">
            <v>1.1.1b3</v>
          </cell>
          <cell r="F109" t="str">
            <v>Green Light Reflective Laminated Glass</v>
          </cell>
        </row>
        <row r="110">
          <cell r="D110" t="str">
            <v>1.1.2</v>
          </cell>
          <cell r="E110" t="str">
            <v>1.1.23</v>
          </cell>
          <cell r="F110" t="str">
            <v>Glass option 2</v>
          </cell>
        </row>
        <row r="111">
          <cell r="D111" t="str">
            <v>1.1.2.a</v>
          </cell>
          <cell r="E111" t="str">
            <v>1.1.2.a3</v>
          </cell>
          <cell r="F111" t="str">
            <v xml:space="preserve">Green Reflective Insulated Glass </v>
          </cell>
        </row>
        <row r="112">
          <cell r="D112" t="str">
            <v>1.1.2.b</v>
          </cell>
          <cell r="E112" t="str">
            <v>1.1.2.b3</v>
          </cell>
          <cell r="F112" t="str">
            <v>Green Light Reflective Insulated Glass</v>
          </cell>
        </row>
        <row r="113">
          <cell r="D113" t="str">
            <v>1.2</v>
          </cell>
          <cell r="E113" t="str">
            <v>1.23</v>
          </cell>
          <cell r="F113" t="str">
            <v>Aluminum Framing and Fittings</v>
          </cell>
        </row>
        <row r="114">
          <cell r="D114" t="str">
            <v>1.3</v>
          </cell>
          <cell r="E114" t="str">
            <v>1.33</v>
          </cell>
          <cell r="F114" t="str">
            <v>Aluminum Panel</v>
          </cell>
        </row>
        <row r="115">
          <cell r="D115" t="str">
            <v>1.3.1</v>
          </cell>
          <cell r="E115" t="str">
            <v>1.3.13</v>
          </cell>
          <cell r="F115" t="str">
            <v>Composite Aluminum Panel-Curtain Wall(Alucobond or</v>
          </cell>
        </row>
        <row r="116">
          <cell r="D116" t="str">
            <v>1.3.2</v>
          </cell>
          <cell r="E116" t="str">
            <v>1.3.23</v>
          </cell>
          <cell r="F116" t="str">
            <v>Composite Aluminum Panel-Curtain Wall(Alucobond or</v>
          </cell>
        </row>
        <row r="117">
          <cell r="D117" t="str">
            <v>1.4</v>
          </cell>
          <cell r="E117" t="str">
            <v>1.43</v>
          </cell>
          <cell r="F117" t="str">
            <v>Fire Stopping.</v>
          </cell>
        </row>
        <row r="118">
          <cell r="D118" t="str">
            <v>2</v>
          </cell>
          <cell r="E118" t="str">
            <v>23</v>
          </cell>
          <cell r="F118" t="str">
            <v>Aluminum Windows.</v>
          </cell>
        </row>
        <row r="119">
          <cell r="D119" t="str">
            <v>2.1</v>
          </cell>
          <cell r="E119" t="str">
            <v>2.13</v>
          </cell>
          <cell r="F119" t="str">
            <v>Exterior Windows. (EW)</v>
          </cell>
        </row>
        <row r="120">
          <cell r="D120" t="str">
            <v>2.1.1</v>
          </cell>
          <cell r="E120" t="str">
            <v>2.1.13</v>
          </cell>
          <cell r="F120" t="str">
            <v>Glass</v>
          </cell>
        </row>
        <row r="121">
          <cell r="D121" t="str">
            <v>2.1.1.1</v>
          </cell>
          <cell r="E121" t="str">
            <v>2.1.1.13</v>
          </cell>
          <cell r="F121" t="str">
            <v>Glass Option 1</v>
          </cell>
        </row>
        <row r="122">
          <cell r="D122" t="str">
            <v>2.1.1.1a</v>
          </cell>
          <cell r="E122" t="str">
            <v>2.1.1.1a3</v>
          </cell>
          <cell r="F122" t="str">
            <v>Green Reflective Laminated Glass</v>
          </cell>
        </row>
        <row r="123">
          <cell r="D123" t="str">
            <v>2.1.1.1b</v>
          </cell>
          <cell r="E123" t="str">
            <v>2.1.1.1b3</v>
          </cell>
          <cell r="F123" t="str">
            <v>Green Light Reflective Laminated Glass</v>
          </cell>
        </row>
        <row r="124">
          <cell r="D124" t="str">
            <v>2.1.1.2</v>
          </cell>
          <cell r="E124" t="str">
            <v>2.1.1.23</v>
          </cell>
          <cell r="F124" t="str">
            <v>Glass option 2</v>
          </cell>
        </row>
        <row r="125">
          <cell r="D125" t="str">
            <v>2.1.1.2a</v>
          </cell>
          <cell r="E125" t="str">
            <v>2.1.1.2a3</v>
          </cell>
          <cell r="F125" t="str">
            <v>Green Reflective Insulated Glass</v>
          </cell>
        </row>
        <row r="126">
          <cell r="D126" t="str">
            <v>2.1.1.2b</v>
          </cell>
          <cell r="E126" t="str">
            <v>2.1.1.2b3</v>
          </cell>
          <cell r="F126" t="str">
            <v>Green Light Reflective Insulated Glass</v>
          </cell>
        </row>
        <row r="127">
          <cell r="D127" t="str">
            <v>2.1.2</v>
          </cell>
          <cell r="E127" t="str">
            <v>2.1.23</v>
          </cell>
          <cell r="F127" t="str">
            <v>Aluminum Framing and Fittings</v>
          </cell>
        </row>
        <row r="128">
          <cell r="D128" t="str">
            <v>2.2</v>
          </cell>
          <cell r="E128" t="str">
            <v>2.23</v>
          </cell>
          <cell r="F128" t="str">
            <v>Interior Windows (IW)</v>
          </cell>
        </row>
        <row r="129">
          <cell r="D129" t="str">
            <v>2.2.1</v>
          </cell>
          <cell r="E129" t="str">
            <v>2.2.13</v>
          </cell>
          <cell r="F129" t="str">
            <v>Glass</v>
          </cell>
        </row>
        <row r="130">
          <cell r="D130" t="str">
            <v>2.2.1a</v>
          </cell>
          <cell r="E130" t="str">
            <v>2.2.1a3</v>
          </cell>
          <cell r="F130" t="str">
            <v>Clear tempered</v>
          </cell>
        </row>
        <row r="131">
          <cell r="D131" t="str">
            <v>2.2.1b</v>
          </cell>
          <cell r="E131" t="str">
            <v>2.2.1b3</v>
          </cell>
          <cell r="F131" t="str">
            <v>Laminated one way mirror glass</v>
          </cell>
        </row>
        <row r="132">
          <cell r="D132" t="str">
            <v>2.2.1c</v>
          </cell>
          <cell r="E132" t="str">
            <v>2.2.1c3</v>
          </cell>
          <cell r="F132" t="str">
            <v>Laminated Fire rated Window</v>
          </cell>
        </row>
        <row r="133">
          <cell r="D133" t="str">
            <v>2.2.2</v>
          </cell>
          <cell r="E133" t="str">
            <v>2.2.23</v>
          </cell>
          <cell r="F133" t="str">
            <v>Aluminum Framing and Fittings</v>
          </cell>
        </row>
        <row r="134">
          <cell r="D134" t="str">
            <v>3</v>
          </cell>
          <cell r="E134" t="str">
            <v>33</v>
          </cell>
          <cell r="F134" t="str">
            <v>Aluminun Entrances &amp; Storefronts</v>
          </cell>
        </row>
        <row r="135">
          <cell r="D135" t="str">
            <v>3.1</v>
          </cell>
          <cell r="E135" t="str">
            <v>3.13</v>
          </cell>
          <cell r="F135" t="str">
            <v>Glass</v>
          </cell>
        </row>
        <row r="136">
          <cell r="D136" t="str">
            <v>3.1.1</v>
          </cell>
          <cell r="E136" t="str">
            <v>3.1.13</v>
          </cell>
          <cell r="F136" t="str">
            <v>Clear tempered</v>
          </cell>
        </row>
        <row r="137">
          <cell r="D137" t="str">
            <v>3.1.2</v>
          </cell>
          <cell r="E137" t="str">
            <v>3.1.23</v>
          </cell>
          <cell r="F137" t="str">
            <v>Laminated Translucent glass</v>
          </cell>
        </row>
        <row r="138">
          <cell r="D138" t="str">
            <v>3.2</v>
          </cell>
          <cell r="E138" t="str">
            <v>3.23</v>
          </cell>
          <cell r="F138" t="str">
            <v>Aluminum Framing and Fittings</v>
          </cell>
        </row>
        <row r="139">
          <cell r="D139" t="str">
            <v>4</v>
          </cell>
          <cell r="E139" t="str">
            <v>43</v>
          </cell>
          <cell r="F139" t="str">
            <v>Handrails</v>
          </cell>
        </row>
        <row r="140">
          <cell r="D140" t="str">
            <v>4.1</v>
          </cell>
          <cell r="E140" t="str">
            <v>4.13</v>
          </cell>
          <cell r="F140" t="str">
            <v>Aluminum Handrails</v>
          </cell>
        </row>
        <row r="141">
          <cell r="D141" t="str">
            <v>4.2</v>
          </cell>
          <cell r="E141" t="str">
            <v>4.23</v>
          </cell>
          <cell r="F141" t="str">
            <v>Steel base for tempered glass</v>
          </cell>
        </row>
        <row r="142">
          <cell r="D142" t="str">
            <v>4.3</v>
          </cell>
          <cell r="E142" t="str">
            <v>4.33</v>
          </cell>
          <cell r="F142" t="str">
            <v>Tempered glass</v>
          </cell>
        </row>
        <row r="143">
          <cell r="D143" t="str">
            <v>4.4</v>
          </cell>
          <cell r="E143" t="str">
            <v>4.43</v>
          </cell>
          <cell r="F143" t="str">
            <v>Aluminum rail protector (0.3)</v>
          </cell>
        </row>
        <row r="144">
          <cell r="D144" t="str">
            <v>5</v>
          </cell>
          <cell r="E144" t="str">
            <v>53</v>
          </cell>
          <cell r="F144" t="str">
            <v>Automatic Entrances Doors</v>
          </cell>
        </row>
        <row r="145">
          <cell r="D145" t="str">
            <v>6</v>
          </cell>
          <cell r="E145" t="str">
            <v>63</v>
          </cell>
          <cell r="F145" t="str">
            <v>Complementary accesories</v>
          </cell>
        </row>
        <row r="146">
          <cell r="D146" t="str">
            <v>6.1</v>
          </cell>
          <cell r="E146" t="str">
            <v>6.13</v>
          </cell>
          <cell r="F146" t="str">
            <v>Aluminum Base (0.30m)</v>
          </cell>
        </row>
        <row r="147">
          <cell r="D147" t="str">
            <v>6.2</v>
          </cell>
          <cell r="E147" t="str">
            <v>6.23</v>
          </cell>
          <cell r="F147" t="str">
            <v>Mirrors</v>
          </cell>
        </row>
        <row r="148">
          <cell r="D148" t="str">
            <v>6.3</v>
          </cell>
          <cell r="E148" t="str">
            <v>6.33</v>
          </cell>
          <cell r="F148" t="str">
            <v>Steel Doors and Frames Clear Wire Glass.</v>
          </cell>
        </row>
        <row r="149">
          <cell r="D149" t="str">
            <v>6.4</v>
          </cell>
          <cell r="E149" t="str">
            <v>6.43</v>
          </cell>
          <cell r="F149" t="str">
            <v>Aluminum Top flashing in other walls</v>
          </cell>
        </row>
        <row r="150">
          <cell r="D150" t="str">
            <v>6.5</v>
          </cell>
          <cell r="E150" t="str">
            <v>6.53</v>
          </cell>
          <cell r="F150" t="str">
            <v xml:space="preserve">Painted Gypsum board-opacity chamber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ontr%-a (3b)"/>
      <sheetName val="Qty&amp;Hrs (2)"/>
      <sheetName val="QURR"/>
      <sheetName val="Staff (6)"/>
      <sheetName val="Equip-a (7)"/>
      <sheetName val="4 Week Sched"/>
      <sheetName val="Installation PRO"/>
      <sheetName val="Daily Report"/>
      <sheetName val="WEEK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J2">
            <v>37948</v>
          </cell>
          <cell r="K2" t="str">
            <v>SU</v>
          </cell>
        </row>
        <row r="3">
          <cell r="J3">
            <v>37955</v>
          </cell>
          <cell r="K3" t="str">
            <v>SU</v>
          </cell>
        </row>
        <row r="4">
          <cell r="J4">
            <v>37962</v>
          </cell>
          <cell r="K4" t="str">
            <v>SU</v>
          </cell>
        </row>
        <row r="5">
          <cell r="J5">
            <v>37963</v>
          </cell>
          <cell r="K5" t="str">
            <v>MO</v>
          </cell>
        </row>
        <row r="6">
          <cell r="J6">
            <v>37969</v>
          </cell>
          <cell r="K6" t="str">
            <v>SU</v>
          </cell>
        </row>
        <row r="7">
          <cell r="J7">
            <v>37976</v>
          </cell>
          <cell r="K7" t="str">
            <v>SU</v>
          </cell>
        </row>
        <row r="8">
          <cell r="J8">
            <v>37979</v>
          </cell>
          <cell r="K8" t="str">
            <v>WE</v>
          </cell>
        </row>
        <row r="9">
          <cell r="J9">
            <v>37980</v>
          </cell>
          <cell r="K9" t="str">
            <v>TH</v>
          </cell>
        </row>
        <row r="10">
          <cell r="J10">
            <v>37983</v>
          </cell>
          <cell r="K10" t="str">
            <v>SU</v>
          </cell>
        </row>
        <row r="11">
          <cell r="J11">
            <v>37987</v>
          </cell>
          <cell r="K11" t="str">
            <v>TH</v>
          </cell>
        </row>
        <row r="12">
          <cell r="J12">
            <v>37988</v>
          </cell>
          <cell r="K12" t="str">
            <v>FR</v>
          </cell>
        </row>
        <row r="13">
          <cell r="J13">
            <v>37990</v>
          </cell>
          <cell r="K13" t="str">
            <v>SU</v>
          </cell>
        </row>
        <row r="14">
          <cell r="J14">
            <v>37997</v>
          </cell>
          <cell r="K14" t="str">
            <v>SU</v>
          </cell>
        </row>
        <row r="15">
          <cell r="J15">
            <v>38004</v>
          </cell>
          <cell r="K15" t="str">
            <v>SU</v>
          </cell>
        </row>
        <row r="16">
          <cell r="J16">
            <v>38011</v>
          </cell>
          <cell r="K16" t="str">
            <v>SU</v>
          </cell>
        </row>
        <row r="17">
          <cell r="J17">
            <v>38018</v>
          </cell>
          <cell r="K17" t="str">
            <v>SU</v>
          </cell>
        </row>
        <row r="18">
          <cell r="J18">
            <v>38025</v>
          </cell>
          <cell r="K18" t="str">
            <v>SU</v>
          </cell>
        </row>
        <row r="19">
          <cell r="J19">
            <v>38032</v>
          </cell>
          <cell r="K19" t="str">
            <v>SU</v>
          </cell>
        </row>
        <row r="20">
          <cell r="J20">
            <v>38039</v>
          </cell>
          <cell r="K20" t="str">
            <v>SU</v>
          </cell>
        </row>
        <row r="21">
          <cell r="J21">
            <v>38046</v>
          </cell>
          <cell r="K21" t="str">
            <v>SU</v>
          </cell>
        </row>
        <row r="22">
          <cell r="J22">
            <v>38053</v>
          </cell>
          <cell r="K22" t="str">
            <v>SU</v>
          </cell>
        </row>
        <row r="23">
          <cell r="J23">
            <v>38060</v>
          </cell>
          <cell r="K23" t="str">
            <v>SU</v>
          </cell>
        </row>
        <row r="24">
          <cell r="J24">
            <v>38067</v>
          </cell>
          <cell r="K24" t="str">
            <v>SU</v>
          </cell>
        </row>
        <row r="25">
          <cell r="J25">
            <v>38074</v>
          </cell>
          <cell r="K25" t="str">
            <v>SU</v>
          </cell>
        </row>
        <row r="26">
          <cell r="J26">
            <v>38081</v>
          </cell>
          <cell r="K26" t="str">
            <v>SU</v>
          </cell>
        </row>
        <row r="27">
          <cell r="J27">
            <v>38085</v>
          </cell>
          <cell r="K27" t="str">
            <v>TH</v>
          </cell>
        </row>
        <row r="28">
          <cell r="J28">
            <v>38086</v>
          </cell>
          <cell r="K28" t="str">
            <v>FR</v>
          </cell>
        </row>
        <row r="29">
          <cell r="J29">
            <v>38088</v>
          </cell>
          <cell r="K29" t="str">
            <v>SU</v>
          </cell>
        </row>
        <row r="30">
          <cell r="J30">
            <v>38095</v>
          </cell>
          <cell r="K30" t="str">
            <v>SU</v>
          </cell>
        </row>
        <row r="31">
          <cell r="J31">
            <v>38102</v>
          </cell>
          <cell r="K31" t="str">
            <v>SU</v>
          </cell>
        </row>
        <row r="32">
          <cell r="J32">
            <v>38109</v>
          </cell>
          <cell r="K32" t="str">
            <v>SU</v>
          </cell>
        </row>
        <row r="33">
          <cell r="J33">
            <v>38116</v>
          </cell>
          <cell r="K33" t="str">
            <v>SU</v>
          </cell>
        </row>
        <row r="34">
          <cell r="J34">
            <v>38123</v>
          </cell>
          <cell r="K34" t="str">
            <v>SU</v>
          </cell>
        </row>
        <row r="35">
          <cell r="J35">
            <v>38130</v>
          </cell>
          <cell r="K35" t="str">
            <v>SU</v>
          </cell>
        </row>
        <row r="36">
          <cell r="J36">
            <v>38137</v>
          </cell>
          <cell r="K36" t="str">
            <v>SU</v>
          </cell>
        </row>
        <row r="37">
          <cell r="J37">
            <v>38144</v>
          </cell>
          <cell r="K37" t="str">
            <v>SU</v>
          </cell>
        </row>
        <row r="38">
          <cell r="J38">
            <v>38151</v>
          </cell>
          <cell r="K38" t="str">
            <v>SU</v>
          </cell>
        </row>
        <row r="39">
          <cell r="J39">
            <v>38158</v>
          </cell>
          <cell r="K39" t="str">
            <v>SU</v>
          </cell>
        </row>
        <row r="40">
          <cell r="J40">
            <v>38165</v>
          </cell>
          <cell r="K40" t="str">
            <v>SU</v>
          </cell>
        </row>
        <row r="41">
          <cell r="J41">
            <v>38172</v>
          </cell>
          <cell r="K41" t="str">
            <v>SU</v>
          </cell>
        </row>
        <row r="42">
          <cell r="J42">
            <v>38179</v>
          </cell>
          <cell r="K42" t="str">
            <v>SU</v>
          </cell>
        </row>
        <row r="43">
          <cell r="J43">
            <v>38186</v>
          </cell>
          <cell r="K43" t="str">
            <v>SU</v>
          </cell>
        </row>
        <row r="44">
          <cell r="J44">
            <v>38193</v>
          </cell>
          <cell r="K44" t="str">
            <v>SU</v>
          </cell>
        </row>
        <row r="45">
          <cell r="J45">
            <v>38200</v>
          </cell>
          <cell r="K45" t="str">
            <v>SU</v>
          </cell>
        </row>
        <row r="46">
          <cell r="J46">
            <v>38207</v>
          </cell>
          <cell r="K46" t="str">
            <v>SU</v>
          </cell>
        </row>
        <row r="47">
          <cell r="J47">
            <v>38214</v>
          </cell>
          <cell r="K47" t="str">
            <v>SU</v>
          </cell>
        </row>
        <row r="48">
          <cell r="J48">
            <v>38221</v>
          </cell>
          <cell r="K48" t="str">
            <v>SU</v>
          </cell>
        </row>
        <row r="49">
          <cell r="J49">
            <v>38228</v>
          </cell>
          <cell r="K49" t="str">
            <v>SU</v>
          </cell>
        </row>
        <row r="50">
          <cell r="J50">
            <v>38235</v>
          </cell>
          <cell r="K50" t="str">
            <v>SU</v>
          </cell>
        </row>
        <row r="51">
          <cell r="J51">
            <v>38242</v>
          </cell>
          <cell r="K51" t="str">
            <v>SU</v>
          </cell>
        </row>
        <row r="52">
          <cell r="J52">
            <v>38249</v>
          </cell>
          <cell r="K52" t="str">
            <v>SU</v>
          </cell>
        </row>
        <row r="53">
          <cell r="J53">
            <v>38256</v>
          </cell>
          <cell r="K53" t="str">
            <v>SU</v>
          </cell>
        </row>
        <row r="54">
          <cell r="J54">
            <v>38263</v>
          </cell>
          <cell r="K54" t="str">
            <v>SU</v>
          </cell>
        </row>
        <row r="55">
          <cell r="J55">
            <v>38270</v>
          </cell>
          <cell r="K55" t="str">
            <v>SU</v>
          </cell>
        </row>
        <row r="56">
          <cell r="J56">
            <v>38277</v>
          </cell>
          <cell r="K56" t="str">
            <v>SU</v>
          </cell>
        </row>
        <row r="57">
          <cell r="J57">
            <v>38284</v>
          </cell>
          <cell r="K57" t="str">
            <v>SU</v>
          </cell>
        </row>
        <row r="58">
          <cell r="J58">
            <v>38291</v>
          </cell>
          <cell r="K58" t="str">
            <v>SU</v>
          </cell>
        </row>
        <row r="59">
          <cell r="J59">
            <v>38298</v>
          </cell>
          <cell r="K59" t="str">
            <v>SU</v>
          </cell>
        </row>
        <row r="60">
          <cell r="J60">
            <v>38305</v>
          </cell>
          <cell r="K60" t="str">
            <v>SU</v>
          </cell>
        </row>
        <row r="61">
          <cell r="J61">
            <v>38312</v>
          </cell>
          <cell r="K61" t="str">
            <v>SU</v>
          </cell>
        </row>
        <row r="62">
          <cell r="J62">
            <v>38319</v>
          </cell>
          <cell r="K62" t="str">
            <v>SU</v>
          </cell>
        </row>
        <row r="63">
          <cell r="J63">
            <v>38326</v>
          </cell>
          <cell r="K63" t="str">
            <v>SU</v>
          </cell>
        </row>
        <row r="64">
          <cell r="J64">
            <v>38333</v>
          </cell>
          <cell r="K64" t="str">
            <v>SU</v>
          </cell>
        </row>
        <row r="65">
          <cell r="J65">
            <v>38340</v>
          </cell>
          <cell r="K65" t="str">
            <v>SU</v>
          </cell>
        </row>
        <row r="66">
          <cell r="J66">
            <v>38347</v>
          </cell>
          <cell r="K66" t="str">
            <v>SU</v>
          </cell>
        </row>
        <row r="67">
          <cell r="J67">
            <v>38354</v>
          </cell>
          <cell r="K67" t="str">
            <v>SU</v>
          </cell>
        </row>
        <row r="68">
          <cell r="J68">
            <v>38361</v>
          </cell>
          <cell r="K68" t="str">
            <v>SU</v>
          </cell>
        </row>
        <row r="69">
          <cell r="J69">
            <v>38368</v>
          </cell>
          <cell r="K69" t="str">
            <v>SU</v>
          </cell>
        </row>
        <row r="70">
          <cell r="J70">
            <v>38375</v>
          </cell>
          <cell r="K70" t="str">
            <v>SU</v>
          </cell>
        </row>
        <row r="71">
          <cell r="J71">
            <v>38382</v>
          </cell>
          <cell r="K71" t="str">
            <v>SU</v>
          </cell>
        </row>
        <row r="72">
          <cell r="J72">
            <v>38389</v>
          </cell>
          <cell r="K72" t="str">
            <v>SU</v>
          </cell>
        </row>
        <row r="73">
          <cell r="J73">
            <v>38396</v>
          </cell>
          <cell r="K73" t="str">
            <v>SU</v>
          </cell>
        </row>
        <row r="74">
          <cell r="J74">
            <v>38403</v>
          </cell>
          <cell r="K74" t="str">
            <v>SU</v>
          </cell>
        </row>
        <row r="75">
          <cell r="J75">
            <v>38410</v>
          </cell>
          <cell r="K75" t="str">
            <v>SU</v>
          </cell>
        </row>
        <row r="76">
          <cell r="J76">
            <v>38417</v>
          </cell>
          <cell r="K76" t="str">
            <v>SU</v>
          </cell>
        </row>
        <row r="77">
          <cell r="J77">
            <v>38424</v>
          </cell>
          <cell r="K77" t="str">
            <v>SU</v>
          </cell>
        </row>
        <row r="78">
          <cell r="J78">
            <v>38431</v>
          </cell>
          <cell r="K78" t="str">
            <v>SU</v>
          </cell>
        </row>
        <row r="79">
          <cell r="J79">
            <v>38438</v>
          </cell>
          <cell r="K79" t="str">
            <v>SU</v>
          </cell>
        </row>
        <row r="80">
          <cell r="J80">
            <v>38445</v>
          </cell>
          <cell r="K80" t="str">
            <v>SU</v>
          </cell>
        </row>
        <row r="81">
          <cell r="J81">
            <v>38452</v>
          </cell>
          <cell r="K81" t="str">
            <v>SU</v>
          </cell>
        </row>
        <row r="82">
          <cell r="J82">
            <v>38459</v>
          </cell>
          <cell r="K82" t="str">
            <v>SU</v>
          </cell>
        </row>
        <row r="83">
          <cell r="J83">
            <v>38466</v>
          </cell>
          <cell r="K83" t="str">
            <v>SU</v>
          </cell>
        </row>
        <row r="84">
          <cell r="J84">
            <v>38473</v>
          </cell>
          <cell r="K84" t="str">
            <v>SU</v>
          </cell>
        </row>
        <row r="85">
          <cell r="J85">
            <v>38480</v>
          </cell>
          <cell r="K85" t="str">
            <v>SU</v>
          </cell>
        </row>
        <row r="86">
          <cell r="J86">
            <v>38487</v>
          </cell>
          <cell r="K86" t="str">
            <v>SU</v>
          </cell>
        </row>
        <row r="87">
          <cell r="J87">
            <v>38494</v>
          </cell>
          <cell r="K87" t="str">
            <v>SU</v>
          </cell>
        </row>
        <row r="88">
          <cell r="J88">
            <v>38501</v>
          </cell>
          <cell r="K88" t="str">
            <v>SU</v>
          </cell>
        </row>
        <row r="89">
          <cell r="J89">
            <v>38508</v>
          </cell>
          <cell r="K89" t="str">
            <v>SU</v>
          </cell>
        </row>
        <row r="90">
          <cell r="J90">
            <v>38515</v>
          </cell>
          <cell r="K90" t="str">
            <v>SU</v>
          </cell>
        </row>
        <row r="91">
          <cell r="J91">
            <v>38522</v>
          </cell>
          <cell r="K91" t="str">
            <v>SU</v>
          </cell>
        </row>
        <row r="92">
          <cell r="J92">
            <v>38529</v>
          </cell>
          <cell r="K92" t="str">
            <v>SU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ontr%-a (3b)"/>
      <sheetName val="Staff (6)"/>
      <sheetName val="Equip-a (7)"/>
      <sheetName val="Qty&amp;Hrs (2)"/>
      <sheetName val="4 Week Sched"/>
      <sheetName val="Daily Report"/>
      <sheetName val="WEEK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J2">
            <v>37948</v>
          </cell>
          <cell r="K2" t="str">
            <v>SU</v>
          </cell>
        </row>
        <row r="3">
          <cell r="J3">
            <v>37955</v>
          </cell>
          <cell r="K3" t="str">
            <v>SU</v>
          </cell>
        </row>
        <row r="4">
          <cell r="J4">
            <v>37962</v>
          </cell>
          <cell r="K4" t="str">
            <v>SU</v>
          </cell>
        </row>
        <row r="5">
          <cell r="J5">
            <v>37963</v>
          </cell>
          <cell r="K5" t="str">
            <v>MO</v>
          </cell>
        </row>
        <row r="6">
          <cell r="J6">
            <v>37969</v>
          </cell>
          <cell r="K6" t="str">
            <v>SU</v>
          </cell>
        </row>
        <row r="7">
          <cell r="J7">
            <v>37976</v>
          </cell>
          <cell r="K7" t="str">
            <v>SU</v>
          </cell>
        </row>
        <row r="8">
          <cell r="J8">
            <v>37979</v>
          </cell>
          <cell r="K8" t="str">
            <v>WE</v>
          </cell>
        </row>
        <row r="9">
          <cell r="J9">
            <v>37980</v>
          </cell>
          <cell r="K9" t="str">
            <v>TH</v>
          </cell>
        </row>
        <row r="10">
          <cell r="J10">
            <v>37983</v>
          </cell>
          <cell r="K10" t="str">
            <v>SU</v>
          </cell>
        </row>
        <row r="11">
          <cell r="J11">
            <v>37987</v>
          </cell>
          <cell r="K11" t="str">
            <v>TH</v>
          </cell>
        </row>
        <row r="12">
          <cell r="J12">
            <v>37988</v>
          </cell>
          <cell r="K12" t="str">
            <v>FR</v>
          </cell>
        </row>
        <row r="13">
          <cell r="J13">
            <v>37990</v>
          </cell>
          <cell r="K13" t="str">
            <v>SU</v>
          </cell>
        </row>
        <row r="14">
          <cell r="J14">
            <v>37997</v>
          </cell>
          <cell r="K14" t="str">
            <v>SU</v>
          </cell>
        </row>
        <row r="15">
          <cell r="J15">
            <v>38004</v>
          </cell>
          <cell r="K15" t="str">
            <v>SU</v>
          </cell>
        </row>
        <row r="16">
          <cell r="J16">
            <v>38011</v>
          </cell>
          <cell r="K16" t="str">
            <v>SU</v>
          </cell>
        </row>
        <row r="17">
          <cell r="J17">
            <v>38018</v>
          </cell>
          <cell r="K17" t="str">
            <v>SU</v>
          </cell>
        </row>
        <row r="18">
          <cell r="J18">
            <v>38025</v>
          </cell>
          <cell r="K18" t="str">
            <v>SU</v>
          </cell>
        </row>
        <row r="19">
          <cell r="J19">
            <v>38032</v>
          </cell>
          <cell r="K19" t="str">
            <v>SU</v>
          </cell>
        </row>
        <row r="20">
          <cell r="J20">
            <v>38039</v>
          </cell>
          <cell r="K20" t="str">
            <v>SU</v>
          </cell>
        </row>
        <row r="21">
          <cell r="J21">
            <v>38046</v>
          </cell>
          <cell r="K21" t="str">
            <v>SU</v>
          </cell>
        </row>
        <row r="22">
          <cell r="J22">
            <v>38053</v>
          </cell>
          <cell r="K22" t="str">
            <v>SU</v>
          </cell>
        </row>
        <row r="23">
          <cell r="J23">
            <v>38060</v>
          </cell>
          <cell r="K23" t="str">
            <v>SU</v>
          </cell>
        </row>
        <row r="24">
          <cell r="J24">
            <v>38067</v>
          </cell>
          <cell r="K24" t="str">
            <v>SU</v>
          </cell>
        </row>
        <row r="25">
          <cell r="J25">
            <v>38074</v>
          </cell>
          <cell r="K25" t="str">
            <v>SU</v>
          </cell>
        </row>
        <row r="26">
          <cell r="J26">
            <v>38081</v>
          </cell>
          <cell r="K26" t="str">
            <v>SU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 Weeks"/>
      <sheetName val="Payroll Costs SF"/>
      <sheetName val="Detailed Est. Worksheet"/>
      <sheetName val="ODCs"/>
      <sheetName val="Trips"/>
      <sheetName val="Daily"/>
      <sheetName val="CN No. 2 Subconsultants"/>
      <sheetName val="Escalation Calc"/>
      <sheetName val="CN No. 3 Summary Rev 1"/>
      <sheetName val="C.O. 3 Cost to Go from 23 Aug"/>
      <sheetName val="Bech_Lab"/>
      <sheetName val="Direct_Lbr"/>
      <sheetName val="Sheet1"/>
      <sheetName val="WAGERATE BY CRAFT"/>
      <sheetName val="Rates"/>
      <sheetName val="Detail"/>
      <sheetName val="#REF"/>
      <sheetName val="A"/>
      <sheetName val="B"/>
      <sheetName val="Service Est &amp; GM Analysis"/>
      <sheetName val="WAGERATEBYCRAFT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Hrs."/>
      <sheetName val="CURVES"/>
      <sheetName val="HRS - CASH"/>
      <sheetName val="cashflow chart"/>
      <sheetName val="cashflow"/>
      <sheetName val="Jobhour chart"/>
      <sheetName val="jobhours"/>
      <sheetName val="WEEKBASE"/>
      <sheetName val="New_Fran_$0.5"/>
      <sheetName val="New_Fran_$1"/>
      <sheetName val="New_Fran_$2"/>
      <sheetName val="New_Fran_$4"/>
      <sheetName val="New_Form_Ind"/>
      <sheetName val="Primary_$0.5"/>
      <sheetName val="Primary_$2"/>
      <sheetName val="Primary_$4"/>
      <sheetName val="Specialist_$0.5"/>
      <sheetName val="Specialist_$1"/>
      <sheetName val="Analisis EBITDA 135K + In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>
        <row r="2">
          <cell r="C2" t="str">
            <v>Jun</v>
          </cell>
          <cell r="D2" t="str">
            <v>Jul</v>
          </cell>
          <cell r="E2" t="str">
            <v>Aug</v>
          </cell>
          <cell r="F2" t="str">
            <v>Sep</v>
          </cell>
          <cell r="G2" t="str">
            <v>Oct</v>
          </cell>
          <cell r="H2" t="str">
            <v>Nov</v>
          </cell>
          <cell r="I2" t="str">
            <v>Dec</v>
          </cell>
        </row>
        <row r="48">
          <cell r="B48" t="str">
            <v>Budget Incr</v>
          </cell>
          <cell r="C48">
            <v>277</v>
          </cell>
          <cell r="D48">
            <v>568.5</v>
          </cell>
          <cell r="E48">
            <v>1225</v>
          </cell>
          <cell r="F48">
            <v>1625</v>
          </cell>
          <cell r="G48">
            <v>2240</v>
          </cell>
          <cell r="H48">
            <v>2402</v>
          </cell>
          <cell r="I48">
            <v>3202</v>
          </cell>
        </row>
        <row r="49">
          <cell r="B49" t="str">
            <v>Forecast Incr</v>
          </cell>
          <cell r="C49">
            <v>277</v>
          </cell>
          <cell r="D49">
            <v>569</v>
          </cell>
          <cell r="E49">
            <v>1225</v>
          </cell>
          <cell r="F49">
            <v>1625</v>
          </cell>
          <cell r="G49">
            <v>2240</v>
          </cell>
          <cell r="H49">
            <v>2402</v>
          </cell>
          <cell r="I49">
            <v>3202</v>
          </cell>
        </row>
        <row r="50">
          <cell r="B50" t="str">
            <v>Actual Incr</v>
          </cell>
          <cell r="C50">
            <v>277</v>
          </cell>
          <cell r="D50">
            <v>568.5</v>
          </cell>
          <cell r="E50">
            <v>1225</v>
          </cell>
          <cell r="F50">
            <v>1625</v>
          </cell>
          <cell r="G50">
            <v>2240</v>
          </cell>
          <cell r="H50">
            <v>2402</v>
          </cell>
          <cell r="I50">
            <v>3285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Summary Page"/>
      <sheetName val="Disclaimer"/>
      <sheetName val="Graphs"/>
      <sheetName val="Summary"/>
      <sheetName val="Summary Calcs"/>
      <sheetName val="Input"/>
      <sheetName val="Inputs-NonAeroRevs"/>
      <sheetName val="1. Time &amp; Esc"/>
      <sheetName val="Fcst"/>
      <sheetName val="2&amp;3 AeroRevs"/>
      <sheetName val="4. Non-AeroRevs"/>
      <sheetName val="5. Govt Revs"/>
      <sheetName val="6. OpEx"/>
      <sheetName val="7 &amp; 8A. SandU"/>
      <sheetName val="8b-8e. Debt"/>
      <sheetName val="9&amp;11. WC&amp;Tax"/>
      <sheetName val="10. Assets"/>
      <sheetName val="CashF"/>
      <sheetName val="P&amp;L"/>
      <sheetName val="Bal"/>
      <sheetName val="Combo Input"/>
      <sheetName val="Combo Input (usd)"/>
      <sheetName val="$Fin's"/>
      <sheetName val="Module2"/>
      <sheetName val="Introduction"/>
      <sheetName val="Module1"/>
      <sheetName val="Module3"/>
      <sheetName val="jobhours"/>
      <sheetName val="BS"/>
      <sheetName val="Assumptions"/>
    </sheetNames>
    <sheetDataSet>
      <sheetData sheetId="0">
        <row r="894">
          <cell r="C894">
            <v>2020</v>
          </cell>
        </row>
      </sheetData>
      <sheetData sheetId="1"/>
      <sheetData sheetId="2"/>
      <sheetData sheetId="3"/>
      <sheetData sheetId="4"/>
      <sheetData sheetId="5" refreshError="1">
        <row r="894">
          <cell r="C894">
            <v>2020</v>
          </cell>
        </row>
        <row r="895">
          <cell r="C895">
            <v>0.2</v>
          </cell>
        </row>
        <row r="896">
          <cell r="C896">
            <v>0.4</v>
          </cell>
        </row>
        <row r="898">
          <cell r="C898">
            <v>0.13</v>
          </cell>
        </row>
        <row r="899">
          <cell r="C899">
            <v>0.1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Summary Page"/>
      <sheetName val="Disclaimer"/>
      <sheetName val="Graphs"/>
      <sheetName val="Summary"/>
      <sheetName val="Summary Calcs"/>
      <sheetName val="Input"/>
      <sheetName val="Inputs-NonAeroRevs"/>
      <sheetName val=" Time &amp; Esc"/>
      <sheetName val="Fcst"/>
      <sheetName val="2&amp;3 AeroRevs"/>
      <sheetName val="4. Non_AeroRevs"/>
      <sheetName val="5. Govt Revs"/>
      <sheetName val="6. OpEx"/>
      <sheetName val="7 &amp; 8A. SandU"/>
      <sheetName val="8b-8e. Debt"/>
      <sheetName val="9&amp;11. WC&amp;Tax"/>
      <sheetName val="10. Assets"/>
      <sheetName val="CF Waterfall"/>
      <sheetName val="$ CF Waterfall"/>
      <sheetName val="CashF"/>
      <sheetName val="P&amp;L"/>
      <sheetName val="Bal"/>
      <sheetName val="Combo Input"/>
      <sheetName val="Combo Input (usd)"/>
      <sheetName val="$Fin's"/>
      <sheetName val="Monthly Stat."/>
      <sheetName val="Module2"/>
      <sheetName val="Introduction"/>
      <sheetName val="Module1"/>
      <sheetName val="Module3"/>
      <sheetName val="WEEKBASE"/>
      <sheetName val="TOTAL TS"/>
      <sheetName val="CRITERIA1"/>
      <sheetName val="Total"/>
      <sheetName val="Abril"/>
      <sheetName val="Marzo"/>
      <sheetName val="Mayo"/>
    </sheetNames>
    <sheetDataSet>
      <sheetData sheetId="0">
        <row r="5">
          <cell r="C5" t="str">
            <v>LAP Lender Case May 22, 2003</v>
          </cell>
        </row>
      </sheetData>
      <sheetData sheetId="1" refreshError="1"/>
      <sheetData sheetId="2" refreshError="1"/>
      <sheetData sheetId="3" refreshError="1"/>
      <sheetData sheetId="4"/>
      <sheetData sheetId="5" refreshError="1">
        <row r="5">
          <cell r="C5" t="str">
            <v>LAP Lender Case May 22, 2003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Traffic"/>
      <sheetName val="Space"/>
      <sheetName val="1. Rev. Calc."/>
      <sheetName val="2. Fee Summary"/>
      <sheetName val="3. Op. Revs."/>
      <sheetName val="New Alloc"/>
      <sheetName val="CAPEXSumm"/>
      <sheetName val="Non-CAPEX Costs"/>
      <sheetName val="EscalatedOPEX"/>
      <sheetName val="New Debt"/>
      <sheetName val="100% Debt"/>
      <sheetName val="AmortGraph"/>
      <sheetName val="Sources"/>
      <sheetName val="Income"/>
      <sheetName val="IRR-NPV"/>
      <sheetName val="Cash 2"/>
      <sheetName val="Cashflow"/>
      <sheetName val="Balance"/>
      <sheetName val="Deprec."/>
      <sheetName val="Module1"/>
      <sheetName val="Module2"/>
      <sheetName val="Module3"/>
      <sheetName val="Module4"/>
      <sheetName val="Module5"/>
      <sheetName val="Module7"/>
      <sheetName val="Module6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K5">
            <v>6.0499999999999998E-2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puts"/>
      <sheetName val="Results"/>
      <sheetName val="SPV Sources-Uses"/>
      <sheetName val="Income-SPV"/>
      <sheetName val="CAPEXList"/>
      <sheetName val="CAPEX"/>
      <sheetName val="Drawdown"/>
      <sheetName val="CAPEXSumm"/>
      <sheetName val="Non-CAPEX Costs"/>
      <sheetName val="Space"/>
      <sheetName val="Traffic Est."/>
      <sheetName val="1. Airside Revenue"/>
      <sheetName val="Base Fees"/>
      <sheetName val="2. Terminal-Comm-Land Rev."/>
      <sheetName val="Virtual Debt"/>
      <sheetName val="Allocate"/>
      <sheetName val="Op. Expenses"/>
      <sheetName val="Reserves-Wkg.Cap"/>
      <sheetName val="Actual Debt"/>
      <sheetName val="Balance"/>
      <sheetName val="Cashflow"/>
      <sheetName val="Double Deprec"/>
      <sheetName val="Depreciate"/>
      <sheetName val="Terminate-FIN"/>
      <sheetName val="Module1"/>
      <sheetName val="Module2"/>
      <sheetName val="Module3"/>
      <sheetName val="Module4"/>
      <sheetName val="Module5"/>
      <sheetName val="Module7"/>
      <sheetName val="Module6"/>
      <sheetName val="New Debt"/>
    </sheetNames>
    <sheetDataSet>
      <sheetData sheetId="0" refreshError="1"/>
      <sheetData sheetId="1" refreshError="1">
        <row r="7">
          <cell r="J7">
            <v>4.4999999999999998E-2</v>
          </cell>
        </row>
        <row r="12">
          <cell r="J12">
            <v>0.35199999999999998</v>
          </cell>
        </row>
        <row r="13">
          <cell r="J13">
            <v>500</v>
          </cell>
        </row>
        <row r="16">
          <cell r="J16">
            <v>1.4999999999999999E-2</v>
          </cell>
        </row>
        <row r="20">
          <cell r="E20">
            <v>0</v>
          </cell>
        </row>
        <row r="38">
          <cell r="G38">
            <v>0.3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Inputs"/>
      <sheetName val="Results 1"/>
      <sheetName val="Results 2-Fee Summary"/>
      <sheetName val="Fee Graph"/>
      <sheetName val="perPax"/>
      <sheetName val="CAPEX"/>
      <sheetName val="CAPEXSumm"/>
      <sheetName val="CAPEX Chart"/>
      <sheetName val="Non-CAPEX Costs"/>
      <sheetName val="Traffic Est."/>
      <sheetName val="Space Est."/>
      <sheetName val="1. Airside Revenue"/>
      <sheetName val="2. Terminal-Comm-Land Rev."/>
      <sheetName val="Actual Debt"/>
      <sheetName val="Cash Acct."/>
      <sheetName val="Virtual Debt"/>
      <sheetName val="Allocate"/>
      <sheetName val="Timing Chart"/>
      <sheetName val="Sources-Uses"/>
      <sheetName val="Op. Expenses"/>
      <sheetName val="Income"/>
      <sheetName val="Reserves"/>
      <sheetName val="IRR-NPV"/>
      <sheetName val="Balance"/>
      <sheetName val="Deprec."/>
      <sheetName val="Module1"/>
      <sheetName val="Module2"/>
      <sheetName val="Module3"/>
      <sheetName val="Module4"/>
      <sheetName val="Module5"/>
      <sheetName val="Module7"/>
      <sheetName val="Module6"/>
      <sheetName val="DCF"/>
      <sheetName val="L.GARRIDO"/>
      <sheetName val="Datos"/>
      <sheetName val="INVERSION"/>
    </sheetNames>
    <sheetDataSet>
      <sheetData sheetId="0" refreshError="1"/>
      <sheetData sheetId="1" refreshError="1">
        <row r="3">
          <cell r="I3">
            <v>3</v>
          </cell>
        </row>
        <row r="8">
          <cell r="I8">
            <v>30</v>
          </cell>
        </row>
        <row r="9">
          <cell r="I9">
            <v>30</v>
          </cell>
        </row>
        <row r="16">
          <cell r="I16">
            <v>0.03</v>
          </cell>
        </row>
        <row r="20">
          <cell r="J20">
            <v>0.05</v>
          </cell>
        </row>
        <row r="44">
          <cell r="F44">
            <v>0</v>
          </cell>
        </row>
        <row r="46">
          <cell r="F46">
            <v>0.15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BASE"/>
      <sheetName val="4 Week Sched"/>
      <sheetName val="QURR"/>
      <sheetName val="S"/>
      <sheetName val="Ponderados"/>
      <sheetName val="Pond_Baños"/>
      <sheetName val="RESUMEN"/>
      <sheetName val="24MAY"/>
      <sheetName val="S (2)"/>
      <sheetName val="17MAY"/>
      <sheetName val="Contr%-a (3b)"/>
      <sheetName val="Qty&amp;Hrs (1ENVIO)"/>
      <sheetName val="Qty&amp;Hrs_(2ENVIO)"/>
      <sheetName val="Qty&amp;Hrs_(3 ENVIO)"/>
      <sheetName val="S (ACTUAL)"/>
      <sheetName val="S (PROYECTO)"/>
      <sheetName val="Prev_Pond"/>
      <sheetName val="S (TE)"/>
      <sheetName val="QURR (PP)"/>
      <sheetName val="%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SUPPLY AND INST-OF CARBON STEEL GALVANIZED PIPING SCH40 2 1/2"Ø</v>
          </cell>
          <cell r="F2" t="str">
            <v>Ml</v>
          </cell>
          <cell r="G2">
            <v>1.4</v>
          </cell>
        </row>
        <row r="3">
          <cell r="D3">
            <v>1</v>
          </cell>
          <cell r="E3" t="str">
            <v>SUPPLY AND INST-OF CARBON STEEL GALVANIZED PIPING SCH 80  2"Ø</v>
          </cell>
          <cell r="F3" t="str">
            <v>Ml</v>
          </cell>
          <cell r="G3">
            <v>10.5</v>
          </cell>
          <cell r="H3">
            <v>10.6</v>
          </cell>
        </row>
        <row r="4">
          <cell r="D4">
            <v>1</v>
          </cell>
          <cell r="E4" t="str">
            <v>SUPPLY AND INST-OF CARBON STEEL GALVANIZED PIPING SCH 80  1 1/2"Ø</v>
          </cell>
          <cell r="F4" t="str">
            <v>Ml</v>
          </cell>
          <cell r="G4">
            <v>7</v>
          </cell>
          <cell r="H4">
            <v>7</v>
          </cell>
        </row>
        <row r="5">
          <cell r="D5">
            <v>1</v>
          </cell>
          <cell r="E5" t="str">
            <v>SUPPLY AND INST-OF CARBON STEEL GALVANIZED PIPING SCH 80  1 1/4"Ø</v>
          </cell>
          <cell r="F5" t="str">
            <v>Ml</v>
          </cell>
          <cell r="G5">
            <v>2</v>
          </cell>
          <cell r="H5">
            <v>2</v>
          </cell>
        </row>
        <row r="6">
          <cell r="D6">
            <v>1</v>
          </cell>
          <cell r="E6" t="str">
            <v>SUPPLY AND INST-OF CARBON STEEL GALVANIZED PIPING SCH 80  1"Ø</v>
          </cell>
          <cell r="F6" t="str">
            <v>Ml</v>
          </cell>
          <cell r="G6">
            <v>12.3</v>
          </cell>
          <cell r="H6">
            <v>12.3</v>
          </cell>
        </row>
        <row r="7">
          <cell r="D7">
            <v>1</v>
          </cell>
          <cell r="E7" t="str">
            <v>SUPPLY AND INST-OF CARBON STEEL GALVANIZED PIPING SCH 80  3/4"Ø</v>
          </cell>
          <cell r="F7" t="str">
            <v>Ml</v>
          </cell>
          <cell r="G7">
            <v>0.4</v>
          </cell>
          <cell r="H7">
            <v>0.4</v>
          </cell>
        </row>
        <row r="8">
          <cell r="D8">
            <v>1</v>
          </cell>
          <cell r="E8" t="str">
            <v>SUPPLY AND INST-OF CARBON STEEL GALVANIZED PIPING SCH 80  1/2"Ø</v>
          </cell>
          <cell r="F8" t="str">
            <v>Ml</v>
          </cell>
          <cell r="G8">
            <v>3.3</v>
          </cell>
        </row>
        <row r="9">
          <cell r="D9">
            <v>1</v>
          </cell>
          <cell r="E9" t="str">
            <v xml:space="preserve">POTABLE WATER WITHIN THE BUILDING 1st LEVEL. </v>
          </cell>
          <cell r="F9">
            <v>0.98927613941018788</v>
          </cell>
          <cell r="G9">
            <v>0.99463806970509416</v>
          </cell>
          <cell r="J9">
            <v>0.8</v>
          </cell>
        </row>
        <row r="10">
          <cell r="D10">
            <v>1</v>
          </cell>
          <cell r="E10" t="str">
            <v>SUPPLY AND INST-OF CARBON STEEL GALVANIZED PIPING SCH40 2 1/2"Ø</v>
          </cell>
          <cell r="F10" t="str">
            <v>Ml</v>
          </cell>
          <cell r="G10">
            <v>0</v>
          </cell>
        </row>
        <row r="11">
          <cell r="D11">
            <v>1</v>
          </cell>
          <cell r="E11" t="str">
            <v>SUPPLY AND INST-OF CARBON STEEL GALVANIZED PIPING SCH 80  2"Ø</v>
          </cell>
          <cell r="F11" t="str">
            <v>Ml</v>
          </cell>
          <cell r="G11">
            <v>0</v>
          </cell>
        </row>
        <row r="12">
          <cell r="D12">
            <v>1</v>
          </cell>
          <cell r="E12" t="str">
            <v>SUPPLY AND INST-OF CARBON STEEL GALVANIZED PIPING SCH 80  1 1/2"Ø</v>
          </cell>
          <cell r="F12" t="str">
            <v>Ml</v>
          </cell>
          <cell r="G12">
            <v>0</v>
          </cell>
        </row>
        <row r="13">
          <cell r="D13">
            <v>1</v>
          </cell>
          <cell r="E13" t="str">
            <v>SUPPLY AND INST-OF CARBON STEEL GALVANIZED PIPING SCH 80  1 1/4"Ø</v>
          </cell>
          <cell r="F13" t="str">
            <v>Ml</v>
          </cell>
          <cell r="G13">
            <v>0</v>
          </cell>
        </row>
        <row r="14">
          <cell r="D14">
            <v>1</v>
          </cell>
          <cell r="E14" t="str">
            <v>SUPPLY AND INST-OF CARBON STEEL GALVANIZED PIPING SCH 80  1"Ø</v>
          </cell>
          <cell r="F14" t="str">
            <v>Ml</v>
          </cell>
          <cell r="G14">
            <v>0</v>
          </cell>
        </row>
        <row r="15">
          <cell r="D15">
            <v>1</v>
          </cell>
          <cell r="E15" t="str">
            <v>SUPPLY AND INST-OF CARBON STEEL GALVANIZED PIPING SCH 80  3/4"Ø</v>
          </cell>
          <cell r="F15" t="str">
            <v>Ml</v>
          </cell>
          <cell r="G15">
            <v>0</v>
          </cell>
        </row>
        <row r="16">
          <cell r="D16">
            <v>1</v>
          </cell>
          <cell r="E16" t="str">
            <v>SUPPLY AND INST-OF CARBON STEEL GALVANIZED PIPING SCH 80  1/2"Ø</v>
          </cell>
          <cell r="F16" t="str">
            <v>Ml</v>
          </cell>
          <cell r="G16">
            <v>0</v>
          </cell>
        </row>
        <row r="17">
          <cell r="D17">
            <v>1</v>
          </cell>
          <cell r="E17" t="str">
            <v>POTABLE WATER WITHIN THE BUILDING 1st LEVEL.</v>
          </cell>
          <cell r="F17">
            <v>0</v>
          </cell>
          <cell r="G17">
            <v>0</v>
          </cell>
          <cell r="J17">
            <v>0</v>
          </cell>
        </row>
        <row r="18">
          <cell r="D18">
            <v>1</v>
          </cell>
          <cell r="E18" t="str">
            <v>SUPPLY AND INST-OF CARBON STEEL GALVANIZED PIPING SCH40 2 1/2"Ø</v>
          </cell>
          <cell r="F18" t="str">
            <v>Ml</v>
          </cell>
          <cell r="G18">
            <v>0</v>
          </cell>
        </row>
        <row r="19">
          <cell r="D19">
            <v>1</v>
          </cell>
          <cell r="E19" t="str">
            <v>SUPPLY AND INST-OF CARBON STEEL GALVANIZED PIPING SCH 80  2"Ø</v>
          </cell>
          <cell r="F19" t="str">
            <v>Ml</v>
          </cell>
          <cell r="G19">
            <v>0</v>
          </cell>
        </row>
        <row r="20">
          <cell r="D20">
            <v>1</v>
          </cell>
          <cell r="E20" t="str">
            <v>SUPPLY AND INST-OF CARBON STEEL GALVANIZED PIPING SCH 80  1 1/2"Ø</v>
          </cell>
          <cell r="F20" t="str">
            <v>Ml</v>
          </cell>
          <cell r="G20">
            <v>0</v>
          </cell>
        </row>
        <row r="21">
          <cell r="D21">
            <v>1</v>
          </cell>
          <cell r="E21" t="str">
            <v>SUPPLY AND INST-OF CARBON STEEL GALVANIZED PIPING SCH 80  1 1/4"Ø</v>
          </cell>
          <cell r="F21" t="str">
            <v>Ml</v>
          </cell>
          <cell r="G21">
            <v>0</v>
          </cell>
        </row>
        <row r="22">
          <cell r="D22">
            <v>1</v>
          </cell>
          <cell r="E22" t="str">
            <v>SUPPLY AND INST-OF CARBON STEEL GALVANIZED PIPING SCH 80  1"Ø</v>
          </cell>
          <cell r="F22" t="str">
            <v>Ml</v>
          </cell>
          <cell r="G22">
            <v>0</v>
          </cell>
        </row>
        <row r="23">
          <cell r="D23">
            <v>1</v>
          </cell>
          <cell r="E23" t="str">
            <v>SUPPLY AND INST-OF CARBON STEEL GALVANIZED PIPING SCH 80  3/4"Ø</v>
          </cell>
          <cell r="F23" t="str">
            <v>Ml</v>
          </cell>
          <cell r="G23">
            <v>0</v>
          </cell>
        </row>
        <row r="24">
          <cell r="D24">
            <v>1</v>
          </cell>
          <cell r="E24" t="str">
            <v>SUPPLY AND INST-OF CARBON STEEL GALVANIZED PIPING SCH 80  1/2"Ø</v>
          </cell>
          <cell r="F24" t="str">
            <v>Ml</v>
          </cell>
          <cell r="G24">
            <v>0</v>
          </cell>
        </row>
        <row r="25">
          <cell r="J25">
            <v>0</v>
          </cell>
        </row>
        <row r="26">
          <cell r="D26">
            <v>1</v>
          </cell>
          <cell r="E26" t="str">
            <v>SUPPLY AND INST OF CARBON STEEL GALVANIZED PIPINGSCH  40 3"Ø</v>
          </cell>
          <cell r="F26" t="str">
            <v>Ml</v>
          </cell>
          <cell r="G26">
            <v>2.8</v>
          </cell>
        </row>
        <row r="27">
          <cell r="D27">
            <v>1</v>
          </cell>
          <cell r="E27" t="str">
            <v>SUPPLY AND INST-OF CARBON STEEL GALVANIZED PIPING SCH 80  2"Ø</v>
          </cell>
          <cell r="F27" t="str">
            <v>Ml</v>
          </cell>
          <cell r="G27">
            <v>22</v>
          </cell>
        </row>
        <row r="28">
          <cell r="D28">
            <v>1</v>
          </cell>
          <cell r="E28" t="str">
            <v>SUPPLY AND INST-OF CARBON STEEL GALVANIZED PIPING SCH 80  1 1/2"Ø</v>
          </cell>
          <cell r="F28" t="str">
            <v>Ml</v>
          </cell>
          <cell r="G28">
            <v>22</v>
          </cell>
        </row>
        <row r="29">
          <cell r="D29">
            <v>1</v>
          </cell>
          <cell r="E29" t="str">
            <v>SUPPLY AND INST-OF CARBON STEEL GALVANIZED PIPING SCH 80  1 1/4"Ø</v>
          </cell>
          <cell r="F29" t="str">
            <v>Ml</v>
          </cell>
          <cell r="G29">
            <v>6</v>
          </cell>
        </row>
        <row r="30">
          <cell r="D30">
            <v>1</v>
          </cell>
          <cell r="E30" t="str">
            <v>SUPPLY AND INST-OF CARBON STEEL GALVANIZED PIPING SCH 80  1"Ø</v>
          </cell>
          <cell r="F30" t="str">
            <v>Ml</v>
          </cell>
          <cell r="G30">
            <v>16</v>
          </cell>
        </row>
        <row r="31">
          <cell r="D31">
            <v>1</v>
          </cell>
          <cell r="E31" t="str">
            <v>SUPPLY AND INST-OF CARBON STEEL GALVANIZED PIPING SCH 80  3/4"Ø</v>
          </cell>
          <cell r="F31" t="str">
            <v>Ml</v>
          </cell>
          <cell r="G31">
            <v>10</v>
          </cell>
        </row>
        <row r="32">
          <cell r="D32">
            <v>1</v>
          </cell>
          <cell r="E32" t="str">
            <v>SUPPLY AND INST-OF CARBON STEEL GALVANIZED PIPING SCH 80  1/2"Ø</v>
          </cell>
          <cell r="F32" t="str">
            <v>Ml</v>
          </cell>
          <cell r="G32">
            <v>18</v>
          </cell>
        </row>
        <row r="33">
          <cell r="J33">
            <v>0.9</v>
          </cell>
        </row>
        <row r="34">
          <cell r="D34">
            <v>2</v>
          </cell>
          <cell r="E34" t="str">
            <v>SUPPLY AND INST OF CARBON STEEL GALVANIZED PIPING SCH  40 3"Ø</v>
          </cell>
          <cell r="F34" t="str">
            <v>Ml</v>
          </cell>
          <cell r="G34">
            <v>1.2</v>
          </cell>
        </row>
        <row r="35">
          <cell r="D35">
            <v>2</v>
          </cell>
          <cell r="E35" t="str">
            <v>SUPPLY AND INST-OF CARBON STEEL GALVANIZED PIPING SCH 40 2 1/2"Ø</v>
          </cell>
          <cell r="F35" t="str">
            <v>Ml</v>
          </cell>
          <cell r="G35">
            <v>5.8</v>
          </cell>
        </row>
        <row r="36">
          <cell r="D36">
            <v>2</v>
          </cell>
          <cell r="E36" t="str">
            <v>SUPPLY AND INST-OF CARBON STEEL GALVANIZED PIPING SCH 80  2"Ø</v>
          </cell>
          <cell r="F36" t="str">
            <v>Ml</v>
          </cell>
          <cell r="G36">
            <v>23.5</v>
          </cell>
        </row>
        <row r="37">
          <cell r="D37">
            <v>2</v>
          </cell>
          <cell r="E37" t="str">
            <v>SUPPLY AND INST-OF CARBON STEEL GALVANIZED PIPING SCH 80  1 1/2"Ø</v>
          </cell>
          <cell r="F37" t="str">
            <v>Ml</v>
          </cell>
          <cell r="G37">
            <v>1.3</v>
          </cell>
        </row>
        <row r="38">
          <cell r="D38">
            <v>2</v>
          </cell>
          <cell r="E38" t="str">
            <v>SUPPLY AND INST-OF CARBON STEEL GALVANIZED PIPING SCH 80  1 1/4"Ø</v>
          </cell>
          <cell r="F38" t="str">
            <v>Ml</v>
          </cell>
          <cell r="G38">
            <v>1.3</v>
          </cell>
        </row>
        <row r="39">
          <cell r="D39">
            <v>2</v>
          </cell>
          <cell r="E39" t="str">
            <v>SUPPLY AND INST-OF CARBON STEEL GALVANIZED PIPING SCH 80  1"Ø</v>
          </cell>
          <cell r="F39" t="str">
            <v>Ml</v>
          </cell>
          <cell r="G39">
            <v>17.600000000000001</v>
          </cell>
        </row>
        <row r="40">
          <cell r="D40">
            <v>2</v>
          </cell>
          <cell r="E40" t="str">
            <v>SUPPLY AND INST-OF CARBON STEEL GALVANIZED PIPING SCH 80  3/4"Ø</v>
          </cell>
          <cell r="F40" t="str">
            <v>Ml</v>
          </cell>
          <cell r="G40">
            <v>3.8</v>
          </cell>
        </row>
        <row r="41">
          <cell r="D41">
            <v>2</v>
          </cell>
          <cell r="E41" t="str">
            <v>SUPPLY AND INST-OF CARBON STEEL GALVANIZED PIPING SCH 80  1/2"Ø</v>
          </cell>
          <cell r="F41" t="str">
            <v>Ml</v>
          </cell>
          <cell r="G41">
            <v>18.5</v>
          </cell>
        </row>
        <row r="42">
          <cell r="D42">
            <v>2</v>
          </cell>
          <cell r="E42" t="str">
            <v>POTABLE WATER WITHIN THE BUILDING 2nd LEVEL.</v>
          </cell>
          <cell r="F42">
            <v>0.99726775956284164</v>
          </cell>
          <cell r="G42">
            <v>0.99726775956284164</v>
          </cell>
          <cell r="J42">
            <v>0.8</v>
          </cell>
        </row>
        <row r="43">
          <cell r="D43">
            <v>2</v>
          </cell>
          <cell r="E43" t="str">
            <v>SUPPLY AND INST OF CARBON STEEL GALVANIZED PIPING SCH  40 3"Ø</v>
          </cell>
          <cell r="F43" t="str">
            <v>Ml</v>
          </cell>
          <cell r="G43">
            <v>1.2</v>
          </cell>
        </row>
        <row r="44">
          <cell r="D44">
            <v>2</v>
          </cell>
          <cell r="E44" t="str">
            <v>SUPPLY AND INST-OF CARBON STEEL GALVANIZED PIPING SCH 40 2 1/2"Ø</v>
          </cell>
          <cell r="F44" t="str">
            <v>Ml</v>
          </cell>
          <cell r="G44">
            <v>6.1</v>
          </cell>
        </row>
        <row r="45">
          <cell r="D45">
            <v>2</v>
          </cell>
          <cell r="E45" t="str">
            <v>SUPPLY AND INST-OF CARBON STEEL GALVANIZED PIPING SCH 80  2"Ø</v>
          </cell>
          <cell r="F45" t="str">
            <v>Ml</v>
          </cell>
          <cell r="G45">
            <v>24.6</v>
          </cell>
        </row>
        <row r="46">
          <cell r="D46">
            <v>2</v>
          </cell>
          <cell r="E46" t="str">
            <v>SUPPLY AND INST-OF CARBON STEEL GALVANIZED PIPING SCH 80  1 1/2"Ø</v>
          </cell>
          <cell r="F46" t="str">
            <v>Ml</v>
          </cell>
          <cell r="G46">
            <v>1.3</v>
          </cell>
        </row>
        <row r="47">
          <cell r="D47">
            <v>2</v>
          </cell>
          <cell r="E47" t="str">
            <v>SUPPLY AND INST-OF CARBON STEEL GALVANIZED PIPING SCH 80  1 1/4"Ø</v>
          </cell>
          <cell r="F47" t="str">
            <v>Ml</v>
          </cell>
          <cell r="G47">
            <v>1.3</v>
          </cell>
        </row>
        <row r="48">
          <cell r="D48">
            <v>2</v>
          </cell>
          <cell r="E48" t="str">
            <v>SUPPLY AND INST-OF CARBON STEEL GALVANIZED PIPING SCH 80  1"Ø</v>
          </cell>
          <cell r="F48" t="str">
            <v>Ml</v>
          </cell>
          <cell r="G48">
            <v>18.5</v>
          </cell>
        </row>
        <row r="49">
          <cell r="D49">
            <v>2</v>
          </cell>
          <cell r="E49" t="str">
            <v>SUPPLY AND INST-OF CARBON STEEL GALVANIZED PIPING SCH 80  3/4"Ø</v>
          </cell>
          <cell r="F49" t="str">
            <v>Ml</v>
          </cell>
          <cell r="G49">
            <v>4</v>
          </cell>
        </row>
        <row r="50">
          <cell r="D50">
            <v>2</v>
          </cell>
          <cell r="E50" t="str">
            <v>SUPPLY AND INST-OF CARBON STEEL GALVANIZED PIPING SCH 80  1/2"Ø</v>
          </cell>
          <cell r="F50" t="str">
            <v>Ml</v>
          </cell>
          <cell r="G50">
            <v>19.399999999999999</v>
          </cell>
        </row>
        <row r="51">
          <cell r="D51">
            <v>2</v>
          </cell>
          <cell r="E51" t="str">
            <v>POTABLE WATER WITHIN THE BUILDING 2nd LEVEL.</v>
          </cell>
          <cell r="F51">
            <v>0.99738903394255884</v>
          </cell>
          <cell r="G51">
            <v>0.99738903394255884</v>
          </cell>
          <cell r="J51">
            <v>0.8</v>
          </cell>
        </row>
        <row r="52">
          <cell r="D52">
            <v>2</v>
          </cell>
          <cell r="E52" t="str">
            <v>SUPPLY AND INST OF CARBON STEEL GALVANIZED PIPING SCH  40 3"Ø</v>
          </cell>
          <cell r="F52" t="str">
            <v>Ml</v>
          </cell>
          <cell r="G52">
            <v>0.2</v>
          </cell>
        </row>
        <row r="53">
          <cell r="D53">
            <v>2</v>
          </cell>
          <cell r="E53" t="str">
            <v>SUPPLY AND INST-OF CARBON STEEL GALVANIZED PIPING SCH 40 2 1/2"Ø</v>
          </cell>
          <cell r="F53" t="str">
            <v>Ml</v>
          </cell>
          <cell r="G53">
            <v>0.8</v>
          </cell>
        </row>
        <row r="54">
          <cell r="D54">
            <v>2</v>
          </cell>
          <cell r="E54" t="str">
            <v>SUPPLY AND INST-OF CARBON STEEL GALVANIZED PIPING SCH 80  2"Ø</v>
          </cell>
          <cell r="F54" t="str">
            <v>Ml</v>
          </cell>
          <cell r="G54">
            <v>3.4</v>
          </cell>
        </row>
        <row r="55">
          <cell r="D55">
            <v>2</v>
          </cell>
          <cell r="E55" t="str">
            <v>SUPPLY AND INST-OF CARBON STEEL GALVANIZED PIPING SCH 80  1 1/2"Ø</v>
          </cell>
          <cell r="F55" t="str">
            <v>Ml</v>
          </cell>
          <cell r="G55">
            <v>0.2</v>
          </cell>
        </row>
        <row r="56">
          <cell r="D56">
            <v>2</v>
          </cell>
          <cell r="E56" t="str">
            <v>SUPPLY AND INST-OF CARBON STEEL GALVANIZED PIPING SCH 80  1 1/4"Ø</v>
          </cell>
          <cell r="F56" t="str">
            <v>Ml</v>
          </cell>
          <cell r="G56">
            <v>0.2</v>
          </cell>
        </row>
        <row r="57">
          <cell r="D57">
            <v>2</v>
          </cell>
          <cell r="E57" t="str">
            <v>SUPPLY AND INST-OF CARBON STEEL GALVANIZED PIPING SCH 80  1"Ø</v>
          </cell>
          <cell r="F57" t="str">
            <v>Ml</v>
          </cell>
          <cell r="G57">
            <v>2.5</v>
          </cell>
        </row>
        <row r="58">
          <cell r="D58">
            <v>2</v>
          </cell>
          <cell r="E58" t="str">
            <v>SUPPLY AND INST-OF CARBON STEEL GALVANIZED PIPING SCH 80  3/4"Ø</v>
          </cell>
          <cell r="F58" t="str">
            <v>Ml</v>
          </cell>
          <cell r="G58">
            <v>0.5</v>
          </cell>
        </row>
        <row r="59">
          <cell r="D59">
            <v>2</v>
          </cell>
          <cell r="E59" t="str">
            <v>SUPPLY AND INST-OF CARBON STEEL GALVANIZED PIPING SCH 80  1/2"Ø</v>
          </cell>
          <cell r="F59" t="str">
            <v>Ml</v>
          </cell>
          <cell r="G59">
            <v>2.6</v>
          </cell>
        </row>
        <row r="60">
          <cell r="D60">
            <v>2</v>
          </cell>
          <cell r="E60" t="str">
            <v>POTABLE WATER WITHIN THE BUILDING 2nd LEVEL.</v>
          </cell>
          <cell r="F60">
            <v>1</v>
          </cell>
          <cell r="G60">
            <v>1</v>
          </cell>
          <cell r="J60">
            <v>0.9</v>
          </cell>
        </row>
        <row r="61">
          <cell r="D61">
            <v>2</v>
          </cell>
          <cell r="E61" t="str">
            <v>SUPPLY AND INST OF CARBON STEEL GALVANIZED PIPING SCH  40 3"Ø</v>
          </cell>
          <cell r="F61" t="str">
            <v>Ml</v>
          </cell>
          <cell r="G61">
            <v>0.2</v>
          </cell>
        </row>
        <row r="62">
          <cell r="D62">
            <v>2</v>
          </cell>
          <cell r="E62" t="str">
            <v>SUPPLY AND INST-OF CARBON STEEL GALVANIZED PIPING SCH 40 2 1/2"Ø</v>
          </cell>
          <cell r="F62" t="str">
            <v>Ml</v>
          </cell>
          <cell r="G62">
            <v>1.1000000000000001</v>
          </cell>
        </row>
        <row r="63">
          <cell r="D63">
            <v>2</v>
          </cell>
          <cell r="E63" t="str">
            <v>SUPPLY AND INST-OF CARBON STEEL GALVANIZED PIPING SCH 80  2"Ø</v>
          </cell>
          <cell r="F63" t="str">
            <v>Ml</v>
          </cell>
          <cell r="G63">
            <v>4.5</v>
          </cell>
        </row>
        <row r="64">
          <cell r="D64">
            <v>2</v>
          </cell>
          <cell r="E64" t="str">
            <v>SUPPLY AND INST-OF CARBON STEEL GALVANIZED PIPING SCH 80  1 1/2"Ø</v>
          </cell>
          <cell r="F64" t="str">
            <v>Ml</v>
          </cell>
          <cell r="G64">
            <v>0.2</v>
          </cell>
        </row>
        <row r="65">
          <cell r="D65">
            <v>2</v>
          </cell>
          <cell r="E65" t="str">
            <v>SUPPLY AND INST-OF CARBON STEEL GALVANIZED PIPING SCH 80  1 1/4"Ø</v>
          </cell>
          <cell r="F65" t="str">
            <v>Ml</v>
          </cell>
          <cell r="G65">
            <v>0.2</v>
          </cell>
        </row>
        <row r="66">
          <cell r="D66">
            <v>2</v>
          </cell>
          <cell r="E66" t="str">
            <v>SUPPLY AND INST-OF CARBON STEEL GALVANIZED PIPING SCH 80  1"Ø</v>
          </cell>
          <cell r="F66" t="str">
            <v>Ml</v>
          </cell>
          <cell r="G66">
            <v>3.4</v>
          </cell>
        </row>
        <row r="67">
          <cell r="D67">
            <v>2</v>
          </cell>
          <cell r="E67" t="str">
            <v>SUPPLY AND INST-OF CARBON STEEL GALVANIZED PIPING SCH 80  3/4"Ø</v>
          </cell>
          <cell r="F67" t="str">
            <v>Ml</v>
          </cell>
          <cell r="G67">
            <v>0.7</v>
          </cell>
        </row>
        <row r="68">
          <cell r="D68">
            <v>2</v>
          </cell>
          <cell r="E68" t="str">
            <v>SUPPLY AND INST-OF CARBON STEEL GALVANIZED PIPING SCH 80  1/2"Ø</v>
          </cell>
          <cell r="F68" t="str">
            <v>Ml</v>
          </cell>
          <cell r="G68">
            <v>3.5</v>
          </cell>
        </row>
        <row r="69">
          <cell r="D69">
            <v>2</v>
          </cell>
          <cell r="E69" t="str">
            <v xml:space="preserve">POTABLE WATER WITHIN THE BUILDING 2nd LEVEL. </v>
          </cell>
          <cell r="F69">
            <v>1</v>
          </cell>
          <cell r="G69">
            <v>1</v>
          </cell>
          <cell r="J69">
            <v>0.8</v>
          </cell>
        </row>
        <row r="70">
          <cell r="D70">
            <v>1</v>
          </cell>
          <cell r="E70" t="str">
            <v>SUPPLY AND INST-OF CARBON STEEL GALVANIZED PIPING SCH 40 2 1/2"Ø</v>
          </cell>
          <cell r="F70" t="str">
            <v>Ml</v>
          </cell>
          <cell r="G70">
            <v>0</v>
          </cell>
        </row>
        <row r="71">
          <cell r="D71">
            <v>1</v>
          </cell>
          <cell r="E71" t="str">
            <v>SUPPLY AND INST-OF CARBON STEEL GALVANIZED PIPING SCH 80  2"Ø</v>
          </cell>
          <cell r="F71" t="str">
            <v>Ml</v>
          </cell>
          <cell r="G71">
            <v>0</v>
          </cell>
        </row>
        <row r="72">
          <cell r="D72">
            <v>1</v>
          </cell>
          <cell r="E72" t="str">
            <v>SUPPLY AND INST-OF CARBON STEEL GALVANIZED PIPING SCH 80  1 1/2"Ø</v>
          </cell>
          <cell r="F72" t="str">
            <v>Ml</v>
          </cell>
          <cell r="G72">
            <v>0</v>
          </cell>
        </row>
        <row r="73">
          <cell r="D73">
            <v>1</v>
          </cell>
          <cell r="E73" t="str">
            <v>SUPPLY AND INST-OF CARBON STEEL GALVANIZED PIPING SCH 80  1 1/4"Ø</v>
          </cell>
          <cell r="F73" t="str">
            <v>Ml</v>
          </cell>
          <cell r="G73">
            <v>0</v>
          </cell>
        </row>
        <row r="74">
          <cell r="D74">
            <v>1</v>
          </cell>
          <cell r="E74" t="str">
            <v>SUPPLY AND INST-OF CARBON STEEL GALVANIZED PIPING SCH 80  1"Ø</v>
          </cell>
          <cell r="F74" t="str">
            <v>Ml</v>
          </cell>
          <cell r="G74">
            <v>0</v>
          </cell>
        </row>
        <row r="75">
          <cell r="D75">
            <v>1</v>
          </cell>
          <cell r="E75" t="str">
            <v>SUPPLY AND INST-OF CARBON STEEL GALVANIZED PIPING SCH 80  3/4"Ø</v>
          </cell>
          <cell r="F75" t="str">
            <v>Ml</v>
          </cell>
          <cell r="G75">
            <v>0</v>
          </cell>
        </row>
        <row r="76">
          <cell r="D76">
            <v>1</v>
          </cell>
          <cell r="E76" t="str">
            <v>SUPPLY AND INST-OF CARBON STEEL GALVANIZED PIPING SCH 80  1/2"Ø</v>
          </cell>
          <cell r="F76" t="str">
            <v>Ml</v>
          </cell>
          <cell r="G76">
            <v>5</v>
          </cell>
        </row>
        <row r="77">
          <cell r="D77">
            <v>1</v>
          </cell>
          <cell r="E77" t="str">
            <v>POTABLE WATER WITHIN THE BUILDING 1st LEVEL.</v>
          </cell>
          <cell r="F77">
            <v>0.14084507042253522</v>
          </cell>
          <cell r="G77">
            <v>0.52676056338028165</v>
          </cell>
          <cell r="J77">
            <v>0</v>
          </cell>
        </row>
        <row r="78">
          <cell r="D78">
            <v>1</v>
          </cell>
          <cell r="E78" t="str">
            <v>SUPPLY AND INST-OF CARBON STEEL GALVANIZED PIPING SCH 40 2 1/2"Ø</v>
          </cell>
          <cell r="F78" t="str">
            <v>Ml</v>
          </cell>
          <cell r="G78">
            <v>0</v>
          </cell>
        </row>
        <row r="79">
          <cell r="D79">
            <v>1</v>
          </cell>
          <cell r="E79" t="str">
            <v>SUPPLY AND INST-OF CARBON STEEL GALVANIZED PIPING SCH 80  2"Ø</v>
          </cell>
          <cell r="F79" t="str">
            <v>Ml</v>
          </cell>
          <cell r="G79">
            <v>0</v>
          </cell>
        </row>
        <row r="80">
          <cell r="D80">
            <v>1</v>
          </cell>
          <cell r="E80" t="str">
            <v>SUPPLY AND INST-OF CARBON STEEL GALVANIZED PIPING SCH 80  1 1/2"Ø</v>
          </cell>
          <cell r="F80" t="str">
            <v>Ml</v>
          </cell>
          <cell r="G80">
            <v>0</v>
          </cell>
        </row>
        <row r="81">
          <cell r="D81">
            <v>1</v>
          </cell>
          <cell r="E81" t="str">
            <v>SUPPLY AND INST-OF CARBON STEEL GALVANIZED PIPING SCH 80  1 1/4"Ø</v>
          </cell>
          <cell r="F81" t="str">
            <v>Ml</v>
          </cell>
          <cell r="G81">
            <v>0</v>
          </cell>
        </row>
        <row r="82">
          <cell r="D82">
            <v>1</v>
          </cell>
          <cell r="E82" t="str">
            <v>SUPPLY AND INST-OF CARBON STEEL GALVANIZED PIPING SCH 80  1"Ø</v>
          </cell>
          <cell r="F82" t="str">
            <v>Ml</v>
          </cell>
          <cell r="G82">
            <v>0</v>
          </cell>
        </row>
        <row r="83">
          <cell r="D83">
            <v>1</v>
          </cell>
          <cell r="E83" t="str">
            <v>SUPPLY AND INST-OF CARBON STEEL GALVANIZED PIPING SCH 80  3/4"Ø</v>
          </cell>
          <cell r="F83" t="str">
            <v>Ml</v>
          </cell>
          <cell r="G83">
            <v>0</v>
          </cell>
        </row>
        <row r="84">
          <cell r="D84">
            <v>1</v>
          </cell>
          <cell r="E84" t="str">
            <v>SUPPLY AND INST-OF CARBON STEEL GALVANIZED PIPING SCH 80  1/2"Ø</v>
          </cell>
          <cell r="F84" t="str">
            <v>Ml</v>
          </cell>
          <cell r="G84">
            <v>0</v>
          </cell>
        </row>
        <row r="85">
          <cell r="D85">
            <v>1</v>
          </cell>
          <cell r="E85" t="str">
            <v xml:space="preserve">POTABLE WATER WITHIN THE BUILDING 1st LEVEL. </v>
          </cell>
          <cell r="F85">
            <v>0</v>
          </cell>
          <cell r="G85">
            <v>0.8971962616822432</v>
          </cell>
          <cell r="J85">
            <v>0</v>
          </cell>
        </row>
        <row r="86">
          <cell r="D86">
            <v>1</v>
          </cell>
          <cell r="E86" t="str">
            <v>SUPPLY AND INST-OF CARBON STEEL GALVANIZED PIPING SCH 40 2 1/2"Ø</v>
          </cell>
          <cell r="F86" t="str">
            <v>Ml</v>
          </cell>
          <cell r="G86">
            <v>0</v>
          </cell>
        </row>
        <row r="87">
          <cell r="D87">
            <v>1</v>
          </cell>
          <cell r="E87" t="str">
            <v>SUPPLY AND INST-OF CARBON STEEL GALVANIZED PIPING SCH 80  2"Ø</v>
          </cell>
          <cell r="F87" t="str">
            <v>Ml</v>
          </cell>
          <cell r="G87">
            <v>0</v>
          </cell>
        </row>
        <row r="88">
          <cell r="D88">
            <v>1</v>
          </cell>
          <cell r="E88" t="str">
            <v>SUPPLY AND INST-OF CARBON STEEL GALVANIZED PIPING SCH 80  1 1/2"Ø</v>
          </cell>
          <cell r="F88" t="str">
            <v>Ml</v>
          </cell>
          <cell r="G88">
            <v>0</v>
          </cell>
        </row>
        <row r="89">
          <cell r="D89">
            <v>1</v>
          </cell>
          <cell r="E89" t="str">
            <v>SUPPLY AND INST-OF CARBON STEEL GALVANIZED PIPING SCH 80  1 1/4"Ø</v>
          </cell>
          <cell r="F89" t="str">
            <v>Ml</v>
          </cell>
          <cell r="G89">
            <v>0</v>
          </cell>
        </row>
        <row r="90">
          <cell r="D90">
            <v>1</v>
          </cell>
          <cell r="E90" t="str">
            <v>SUPPLY AND INST-OF CARBON STEEL GALVANIZED PIPING SCH 80  1"Ø</v>
          </cell>
          <cell r="F90" t="str">
            <v>Ml</v>
          </cell>
          <cell r="G90">
            <v>0</v>
          </cell>
        </row>
        <row r="91">
          <cell r="D91">
            <v>1</v>
          </cell>
          <cell r="E91" t="str">
            <v>SUPPLY AND INST-OF CARBON STEEL GALVANIZED PIPING SCH 80  3/4"Ø</v>
          </cell>
          <cell r="F91" t="str">
            <v>Ml</v>
          </cell>
          <cell r="G91">
            <v>0</v>
          </cell>
        </row>
        <row r="92">
          <cell r="D92">
            <v>1</v>
          </cell>
          <cell r="E92" t="str">
            <v>SUPPLY AND INST-OF CARBON STEEL GALVANIZED PIPING SCH 80  1/2"Ø</v>
          </cell>
          <cell r="F92" t="str">
            <v>Ml</v>
          </cell>
          <cell r="G92">
            <v>0</v>
          </cell>
        </row>
        <row r="93">
          <cell r="D93">
            <v>1</v>
          </cell>
          <cell r="E93" t="str">
            <v>POTABLE WATER WITHIN THE BUILDING 1st LEVEL.</v>
          </cell>
          <cell r="F93">
            <v>0</v>
          </cell>
          <cell r="G93">
            <v>0</v>
          </cell>
          <cell r="J93">
            <v>0</v>
          </cell>
        </row>
        <row r="94">
          <cell r="D94">
            <v>1</v>
          </cell>
          <cell r="E94" t="str">
            <v>SUPPLY AND INST-OF CARBON STEEL GALVANIZED PIPING SCH 40 2 1/2"Ø</v>
          </cell>
          <cell r="F94" t="str">
            <v>Ml</v>
          </cell>
          <cell r="G94">
            <v>0</v>
          </cell>
        </row>
        <row r="95">
          <cell r="D95">
            <v>1</v>
          </cell>
          <cell r="E95" t="str">
            <v>SUPPLY AND INST-OF CARBON STEEL GALVANIZED PIPING SCH 80  2"Ø</v>
          </cell>
          <cell r="F95" t="str">
            <v>Ml</v>
          </cell>
          <cell r="G95">
            <v>0</v>
          </cell>
        </row>
        <row r="96">
          <cell r="D96">
            <v>1</v>
          </cell>
          <cell r="E96" t="str">
            <v>SUPPLY AND INST-OF CARBON STEEL GALVANIZED PIPING SCH 80  1 1/2"Ø</v>
          </cell>
          <cell r="F96" t="str">
            <v>Ml</v>
          </cell>
          <cell r="G96">
            <v>0</v>
          </cell>
        </row>
        <row r="97">
          <cell r="D97">
            <v>1</v>
          </cell>
          <cell r="E97" t="str">
            <v>SUPPLY AND INST-OF CARBON STEEL GALVANIZED PIPING SCH 80  1 1/4"Ø</v>
          </cell>
          <cell r="F97" t="str">
            <v>Ml</v>
          </cell>
          <cell r="G97">
            <v>0</v>
          </cell>
        </row>
        <row r="98">
          <cell r="D98">
            <v>1</v>
          </cell>
          <cell r="E98" t="str">
            <v>SUPPLY AND INST-OF CARBON STEEL GALVANIZED PIPING SCH 80  1"Ø</v>
          </cell>
          <cell r="F98" t="str">
            <v>Ml</v>
          </cell>
          <cell r="G98">
            <v>0</v>
          </cell>
        </row>
        <row r="99">
          <cell r="D99">
            <v>1</v>
          </cell>
          <cell r="E99" t="str">
            <v>SUPPLY AND INST-OF CARBON STEEL GALVANIZED PIPING SCH 80  3/4"Ø</v>
          </cell>
          <cell r="F99" t="str">
            <v>Ml</v>
          </cell>
          <cell r="G99">
            <v>0</v>
          </cell>
        </row>
        <row r="100">
          <cell r="D100">
            <v>1</v>
          </cell>
          <cell r="E100" t="str">
            <v>SUPPLY AND INST-OF CARBON STEEL GALVANIZED PIPING SCH 80  1/2"Ø</v>
          </cell>
          <cell r="F100" t="str">
            <v>Ml</v>
          </cell>
          <cell r="G100">
            <v>0</v>
          </cell>
        </row>
        <row r="101">
          <cell r="D101">
            <v>1</v>
          </cell>
          <cell r="E101" t="str">
            <v>POTABLE WATER WITHIN THE BUILDING 1st LEVEL.</v>
          </cell>
          <cell r="F101">
            <v>0</v>
          </cell>
          <cell r="G101">
            <v>0</v>
          </cell>
          <cell r="J101">
            <v>0</v>
          </cell>
        </row>
        <row r="102">
          <cell r="D102">
            <v>1</v>
          </cell>
          <cell r="E102" t="str">
            <v>SUPPLY AND INST-OF CARBON STEEL GALVANIZED PIPING SCH 40 2 1/2"Ø</v>
          </cell>
          <cell r="F102" t="str">
            <v>Ml</v>
          </cell>
          <cell r="G102">
            <v>0</v>
          </cell>
        </row>
        <row r="103">
          <cell r="D103">
            <v>1</v>
          </cell>
          <cell r="E103" t="str">
            <v>SUPPLY AND INST-OF CARBON STEEL GALVANIZED PIPING SCH 80  2"Ø</v>
          </cell>
          <cell r="F103" t="str">
            <v>Ml</v>
          </cell>
          <cell r="G103">
            <v>0</v>
          </cell>
        </row>
        <row r="104">
          <cell r="D104">
            <v>1</v>
          </cell>
          <cell r="E104" t="str">
            <v>SUPPLY AND INST-OF CARBON STEEL GALVANIZED PIPING SCH 80  1 1/2"Ø</v>
          </cell>
          <cell r="F104" t="str">
            <v>Ml</v>
          </cell>
          <cell r="G104">
            <v>0</v>
          </cell>
        </row>
        <row r="105">
          <cell r="D105">
            <v>1</v>
          </cell>
          <cell r="E105" t="str">
            <v>SUPPLY AND INST-OF CARBON STEEL GALVANIZED PIPING SCH 80  1 1/4"Ø</v>
          </cell>
          <cell r="F105" t="str">
            <v>Ml</v>
          </cell>
          <cell r="G105">
            <v>0</v>
          </cell>
        </row>
        <row r="106">
          <cell r="D106">
            <v>1</v>
          </cell>
          <cell r="E106" t="str">
            <v>SUPPLY AND INST-OF CARBON STEEL GALVANIZED PIPING SCH 80  1"Ø</v>
          </cell>
          <cell r="F106" t="str">
            <v>Ml</v>
          </cell>
          <cell r="G106">
            <v>0</v>
          </cell>
        </row>
        <row r="107">
          <cell r="D107">
            <v>1</v>
          </cell>
          <cell r="E107" t="str">
            <v>SUPPLY AND INST-OF CARBON STEEL GALVANIZED PIPING SCH 80  3/4"Ø</v>
          </cell>
          <cell r="F107" t="str">
            <v>Ml</v>
          </cell>
          <cell r="G107">
            <v>0</v>
          </cell>
        </row>
        <row r="108">
          <cell r="D108">
            <v>1</v>
          </cell>
          <cell r="E108" t="str">
            <v>SUPPLY AND INST-OF CARBON STEEL GALVANIZED PIPING SCH 80  1/2"Ø</v>
          </cell>
          <cell r="F108" t="str">
            <v>Ml</v>
          </cell>
          <cell r="G108">
            <v>0</v>
          </cell>
        </row>
        <row r="109">
          <cell r="D109">
            <v>1</v>
          </cell>
          <cell r="E109" t="str">
            <v>POTABLE WATER WITHIN THE BUILDING 1st LEVEL.</v>
          </cell>
          <cell r="F109">
            <v>0</v>
          </cell>
          <cell r="G109">
            <v>0</v>
          </cell>
          <cell r="J109">
            <v>0</v>
          </cell>
        </row>
        <row r="110">
          <cell r="D110">
            <v>1</v>
          </cell>
          <cell r="E110" t="str">
            <v>SUPPLY AND INST-OF CARBON STEEL GALVANIZED PIPING SCH 40 2 1/2"Ø</v>
          </cell>
          <cell r="F110" t="str">
            <v>Ml</v>
          </cell>
          <cell r="G110">
            <v>0</v>
          </cell>
        </row>
        <row r="111">
          <cell r="D111">
            <v>1</v>
          </cell>
          <cell r="E111" t="str">
            <v>SUPPLY AND INST-OF CARBON STEEL GALVANIZED PIPING SCH 80  2"Ø</v>
          </cell>
          <cell r="F111" t="str">
            <v>Ml</v>
          </cell>
          <cell r="G111">
            <v>0</v>
          </cell>
        </row>
        <row r="112">
          <cell r="D112">
            <v>1</v>
          </cell>
          <cell r="E112" t="str">
            <v>SUPPLY AND INST-OF CARBON STEEL GALVANIZED PIPING SCH 80  1 1/2"Ø</v>
          </cell>
          <cell r="F112" t="str">
            <v>Ml</v>
          </cell>
          <cell r="G112">
            <v>0</v>
          </cell>
        </row>
        <row r="113">
          <cell r="D113">
            <v>1</v>
          </cell>
          <cell r="E113" t="str">
            <v>SUPPLY AND INST-OF CARBON STEEL GALVANIZED PIPING SCH 80  1 1/4"Ø</v>
          </cell>
          <cell r="F113" t="str">
            <v>Ml</v>
          </cell>
          <cell r="G113">
            <v>0</v>
          </cell>
        </row>
        <row r="114">
          <cell r="D114">
            <v>1</v>
          </cell>
          <cell r="E114" t="str">
            <v>SUPPLY AND INST-OF CARBON STEEL GALVANIZED PIPING SCH 80  1"Ø</v>
          </cell>
          <cell r="F114" t="str">
            <v>Ml</v>
          </cell>
          <cell r="G114">
            <v>0</v>
          </cell>
        </row>
        <row r="115">
          <cell r="D115">
            <v>1</v>
          </cell>
          <cell r="E115" t="str">
            <v>SUPPLY AND INST-OF CARBON STEEL GALVANIZED PIPING SCH 80  3/4"Ø</v>
          </cell>
          <cell r="F115" t="str">
            <v>Ml</v>
          </cell>
          <cell r="G115">
            <v>0</v>
          </cell>
        </row>
        <row r="116">
          <cell r="D116">
            <v>1</v>
          </cell>
          <cell r="E116" t="str">
            <v>SUPPLY AND INST-OF CARBON STEEL GALVANIZED PIPING SCH 80  1/2"Ø</v>
          </cell>
          <cell r="F116" t="str">
            <v>Ml</v>
          </cell>
          <cell r="G116">
            <v>0</v>
          </cell>
        </row>
        <row r="117">
          <cell r="D117">
            <v>1</v>
          </cell>
          <cell r="E117" t="str">
            <v>POTABLE WATER WITHIN THE BUILDING 1st LEVEL.</v>
          </cell>
          <cell r="F117">
            <v>0</v>
          </cell>
          <cell r="G117">
            <v>0</v>
          </cell>
          <cell r="J117">
            <v>0</v>
          </cell>
        </row>
        <row r="118">
          <cell r="D118">
            <v>2</v>
          </cell>
          <cell r="E118" t="str">
            <v>SUPPLY AND INST-OF CARBON STEEL GALVANIZED PIPING SCH 40 2 1/2"Ø</v>
          </cell>
          <cell r="F118" t="str">
            <v>Ml</v>
          </cell>
          <cell r="G118">
            <v>1</v>
          </cell>
        </row>
        <row r="119">
          <cell r="D119">
            <v>2</v>
          </cell>
          <cell r="E119" t="str">
            <v>SUPPLY AND INST-OF CARBON STEEL GALVANIZED PIPING SCH 80  2"Ø</v>
          </cell>
          <cell r="F119" t="str">
            <v>Ml</v>
          </cell>
          <cell r="G119">
            <v>8</v>
          </cell>
        </row>
        <row r="120">
          <cell r="D120">
            <v>2</v>
          </cell>
          <cell r="E120" t="str">
            <v>SUPPLY AND INST-OF CARBON STEEL GALVANIZED PIPING SCH 80  1 1/2"Ø</v>
          </cell>
          <cell r="F120" t="str">
            <v>Ml</v>
          </cell>
          <cell r="G120">
            <v>7</v>
          </cell>
        </row>
        <row r="121">
          <cell r="D121">
            <v>2</v>
          </cell>
          <cell r="E121" t="str">
            <v>SUPPLY AND INST-OF CARBON STEEL GALVANIZED PIPING SCH 80  1 1/4"Ø</v>
          </cell>
          <cell r="F121" t="str">
            <v>Ml</v>
          </cell>
          <cell r="G121">
            <v>2</v>
          </cell>
        </row>
        <row r="122">
          <cell r="D122">
            <v>2</v>
          </cell>
          <cell r="E122" t="str">
            <v>SUPPLY AND INST-OF CARBON STEEL GALVANIZED PIPING SCH 80  1"Ø</v>
          </cell>
          <cell r="F122" t="str">
            <v>Ml</v>
          </cell>
          <cell r="G122">
            <v>2</v>
          </cell>
        </row>
        <row r="123">
          <cell r="D123">
            <v>2</v>
          </cell>
          <cell r="E123" t="str">
            <v>SUPPLY AND INST-OF CARBON STEEL GALVANIZED PIPING SCH 80  3/4"Ø</v>
          </cell>
          <cell r="F123" t="str">
            <v>Ml</v>
          </cell>
          <cell r="G123">
            <v>8</v>
          </cell>
        </row>
        <row r="124">
          <cell r="D124">
            <v>2</v>
          </cell>
          <cell r="E124" t="str">
            <v>SUPPLY AND INST-OF CARBON STEEL GALVANIZED PIPING SCH 80  1/2"Ø</v>
          </cell>
          <cell r="F124" t="str">
            <v>Ml</v>
          </cell>
          <cell r="G124">
            <v>1.5</v>
          </cell>
        </row>
        <row r="125">
          <cell r="D125">
            <v>2</v>
          </cell>
          <cell r="E125" t="str">
            <v xml:space="preserve">POTABLE WATER WITHIN THE BUILDING 2nd LEVEL. </v>
          </cell>
          <cell r="F125">
            <v>0.67198177676537585</v>
          </cell>
          <cell r="G125">
            <v>0.93621867881548981</v>
          </cell>
          <cell r="J125">
            <v>0</v>
          </cell>
        </row>
        <row r="126">
          <cell r="D126">
            <v>2</v>
          </cell>
          <cell r="E126" t="str">
            <v>SUPPLY AND INST-OF CARBON STEEL GALVANIZED PIPING SCH 40 2 1/2"Ø</v>
          </cell>
          <cell r="F126" t="str">
            <v>Ml</v>
          </cell>
          <cell r="G126">
            <v>0.8</v>
          </cell>
        </row>
        <row r="127">
          <cell r="D127">
            <v>2</v>
          </cell>
          <cell r="E127" t="str">
            <v>SUPPLY AND INST-OF CARBON STEEL GALVANIZED PIPING SCH 80  2"Ø</v>
          </cell>
          <cell r="F127" t="str">
            <v>Ml</v>
          </cell>
          <cell r="G127">
            <v>7</v>
          </cell>
        </row>
        <row r="128">
          <cell r="D128">
            <v>2</v>
          </cell>
          <cell r="E128" t="str">
            <v>SUPPLY AND INST-OF CARBON STEEL GALVANIZED PIPING SCH 80  1 1/2"Ø</v>
          </cell>
          <cell r="F128" t="str">
            <v>Ml</v>
          </cell>
          <cell r="G128">
            <v>5</v>
          </cell>
        </row>
        <row r="129">
          <cell r="D129">
            <v>2</v>
          </cell>
          <cell r="E129" t="str">
            <v>SUPPLY AND INST-OF CARBON STEEL GALVANIZED PIPING SCH 80  1 1/4"Ø</v>
          </cell>
          <cell r="F129" t="str">
            <v>Ml</v>
          </cell>
          <cell r="G129">
            <v>2</v>
          </cell>
        </row>
        <row r="130">
          <cell r="D130">
            <v>2</v>
          </cell>
          <cell r="E130" t="str">
            <v>SUPPLY AND INST-OF CARBON STEEL GALVANIZED PIPING SCH 80  1"Ø</v>
          </cell>
          <cell r="F130" t="str">
            <v>Ml</v>
          </cell>
          <cell r="G130">
            <v>2</v>
          </cell>
        </row>
        <row r="131">
          <cell r="D131">
            <v>2</v>
          </cell>
          <cell r="E131" t="str">
            <v>SUPPLY AND INST-OF CARBON STEEL GALVANIZED PIPING SCH 80  3/4"Ø</v>
          </cell>
          <cell r="F131" t="str">
            <v>Ml</v>
          </cell>
          <cell r="G131">
            <v>7</v>
          </cell>
        </row>
        <row r="132">
          <cell r="D132">
            <v>2</v>
          </cell>
          <cell r="E132" t="str">
            <v>SUPPLY AND INST-OF CARBON STEEL GALVANIZED PIPING SCH 80  1/2"Ø</v>
          </cell>
          <cell r="F132" t="str">
            <v>Ml</v>
          </cell>
          <cell r="G132">
            <v>1.5</v>
          </cell>
        </row>
        <row r="133">
          <cell r="D133">
            <v>2</v>
          </cell>
          <cell r="E133" t="str">
            <v>POTABLE WATER WITHIN THE BUILDING 2nd LEVEL.</v>
          </cell>
          <cell r="F133">
            <v>0.70473537604456826</v>
          </cell>
          <cell r="G133">
            <v>0.94986072423398338</v>
          </cell>
          <cell r="J133">
            <v>0.1</v>
          </cell>
        </row>
        <row r="134">
          <cell r="D134">
            <v>2</v>
          </cell>
          <cell r="E134" t="str">
            <v>SUPPLY AND INST-OF CARBON STEEL GALVANIZED PIPING SCH 40 2 1/2"Ø</v>
          </cell>
          <cell r="F134" t="str">
            <v>Ml</v>
          </cell>
          <cell r="G134">
            <v>0.2</v>
          </cell>
        </row>
        <row r="135">
          <cell r="D135">
            <v>2</v>
          </cell>
          <cell r="E135" t="str">
            <v>SUPPLY AND INST-OF CARBON STEEL GALVANIZED PIPING SCH 80  2"Ø</v>
          </cell>
          <cell r="F135" t="str">
            <v>Ml</v>
          </cell>
          <cell r="G135">
            <v>1.5</v>
          </cell>
        </row>
        <row r="136">
          <cell r="D136">
            <v>2</v>
          </cell>
          <cell r="E136" t="str">
            <v>SUPPLY AND INST-OF CARBON STEEL GALVANIZED PIPING SCH 80  1 1/2"Ø</v>
          </cell>
          <cell r="F136" t="str">
            <v>Ml</v>
          </cell>
          <cell r="G136">
            <v>1.8</v>
          </cell>
        </row>
        <row r="137">
          <cell r="D137">
            <v>2</v>
          </cell>
          <cell r="E137" t="str">
            <v>SUPPLY AND INST-OF CARBON STEEL GALVANIZED PIPING SCH 80  1 1/4"Ø</v>
          </cell>
          <cell r="F137" t="str">
            <v>Ml</v>
          </cell>
          <cell r="G137">
            <v>0.5</v>
          </cell>
        </row>
        <row r="138">
          <cell r="D138">
            <v>2</v>
          </cell>
          <cell r="E138" t="str">
            <v>SUPPLY AND INST-OF CARBON STEEL GALVANIZED PIPING SCH 80  1"Ø</v>
          </cell>
          <cell r="F138" t="str">
            <v>Ml</v>
          </cell>
          <cell r="G138">
            <v>0.5</v>
          </cell>
        </row>
        <row r="139">
          <cell r="D139">
            <v>2</v>
          </cell>
          <cell r="E139" t="str">
            <v>SUPPLY AND INST-OF CARBON STEEL GALVANIZED PIPING SCH 80  3/4"Ø</v>
          </cell>
          <cell r="F139" t="str">
            <v>Ml</v>
          </cell>
          <cell r="G139">
            <v>2</v>
          </cell>
        </row>
        <row r="140">
          <cell r="D140">
            <v>2</v>
          </cell>
          <cell r="E140" t="str">
            <v>SUPPLY AND INST-OF CARBON STEEL GALVANIZED PIPING SCH 80  1/2"Ø</v>
          </cell>
          <cell r="F140" t="str">
            <v>Ml</v>
          </cell>
          <cell r="G140">
            <v>0.4</v>
          </cell>
        </row>
        <row r="141">
          <cell r="D141">
            <v>2</v>
          </cell>
          <cell r="E141" t="str">
            <v xml:space="preserve">POTABLE WATER WITHIN THE BUILDING 2nd LEVEL. </v>
          </cell>
          <cell r="F141">
            <v>0.57024793388429762</v>
          </cell>
          <cell r="G141">
            <v>0</v>
          </cell>
          <cell r="J141">
            <v>0</v>
          </cell>
        </row>
        <row r="142">
          <cell r="D142">
            <v>2</v>
          </cell>
          <cell r="E142" t="str">
            <v>SUPPLY AND INST-OF CARBON STEEL GALVANIZED PIPING SCH 40 2 1/2"Ø</v>
          </cell>
          <cell r="F142" t="str">
            <v>Ml</v>
          </cell>
          <cell r="G142">
            <v>0</v>
          </cell>
        </row>
        <row r="143">
          <cell r="D143">
            <v>2</v>
          </cell>
          <cell r="E143" t="str">
            <v>SUPPLY AND INST-OF CARBON STEEL GALVANIZED PIPING SCH 80  2"Ø</v>
          </cell>
          <cell r="F143" t="str">
            <v>Ml</v>
          </cell>
          <cell r="G143">
            <v>0</v>
          </cell>
        </row>
        <row r="144">
          <cell r="D144">
            <v>2</v>
          </cell>
          <cell r="E144" t="str">
            <v>SUPPLY AND INST-OF CARBON STEEL GALVANIZED PIPING SCH 80  1 1/2"Ø</v>
          </cell>
          <cell r="F144" t="str">
            <v>Ml</v>
          </cell>
          <cell r="G144">
            <v>0</v>
          </cell>
        </row>
        <row r="145">
          <cell r="D145">
            <v>2</v>
          </cell>
          <cell r="E145" t="str">
            <v>SUPPLY AND INST-OF CARBON STEEL GALVANIZED PIPING SCH 80  1 1/4"Ø</v>
          </cell>
          <cell r="F145" t="str">
            <v>Ml</v>
          </cell>
          <cell r="G145">
            <v>0</v>
          </cell>
        </row>
        <row r="146">
          <cell r="D146">
            <v>2</v>
          </cell>
          <cell r="E146" t="str">
            <v>SUPPLY AND INST-OF CARBON STEEL GALVANIZED PIPING SCH 80  1"Ø</v>
          </cell>
          <cell r="F146" t="str">
            <v>Ml</v>
          </cell>
          <cell r="G146">
            <v>0</v>
          </cell>
        </row>
        <row r="147">
          <cell r="D147">
            <v>2</v>
          </cell>
          <cell r="E147" t="str">
            <v>SUPPLY AND INST-OF CARBON STEEL GALVANIZED PIPING SCH 80  3/4"Ø</v>
          </cell>
          <cell r="F147" t="str">
            <v>Ml</v>
          </cell>
          <cell r="G147">
            <v>0</v>
          </cell>
        </row>
        <row r="148">
          <cell r="D148">
            <v>2</v>
          </cell>
          <cell r="E148" t="str">
            <v>SUPPLY AND INST-OF CARBON STEEL GALVANIZED PIPING SCH 80  1/2"Ø</v>
          </cell>
          <cell r="F148" t="str">
            <v>Ml</v>
          </cell>
          <cell r="G148">
            <v>0</v>
          </cell>
        </row>
        <row r="149">
          <cell r="D149">
            <v>2</v>
          </cell>
          <cell r="E149" t="str">
            <v>POTABLE WATER WITHIN THE BUILDING 2nd LEVEL.</v>
          </cell>
          <cell r="F149">
            <v>0</v>
          </cell>
          <cell r="G149">
            <v>0</v>
          </cell>
          <cell r="J149">
            <v>0</v>
          </cell>
        </row>
        <row r="150">
          <cell r="D150">
            <v>1</v>
          </cell>
          <cell r="E150" t="str">
            <v>PVC VENT RISER  HEAVY 4"Ø</v>
          </cell>
          <cell r="F150" t="str">
            <v>Ml</v>
          </cell>
          <cell r="G150">
            <v>4.5999999999999996</v>
          </cell>
          <cell r="H150">
            <v>4.5999999999999996</v>
          </cell>
        </row>
        <row r="151">
          <cell r="D151">
            <v>1</v>
          </cell>
          <cell r="E151" t="str">
            <v>PVC VENT RISER  HEAVY 3"Ø</v>
          </cell>
          <cell r="F151" t="str">
            <v>Ml</v>
          </cell>
          <cell r="G151">
            <v>9</v>
          </cell>
          <cell r="H151">
            <v>9</v>
          </cell>
        </row>
        <row r="152">
          <cell r="D152">
            <v>1</v>
          </cell>
          <cell r="E152" t="str">
            <v>PVC SUSPENDED PIPING SUPPLY &amp; INSTALLATION SERIES HEAVY 4"Ø</v>
          </cell>
          <cell r="F152" t="str">
            <v>Ml</v>
          </cell>
          <cell r="G152">
            <v>9</v>
          </cell>
          <cell r="H152">
            <v>9</v>
          </cell>
        </row>
        <row r="153">
          <cell r="D153">
            <v>1</v>
          </cell>
          <cell r="E153" t="str">
            <v>PVC SUSPENDED PIPING SUPPLY &amp; INSTALLATION SERIES HEAVY 3"Ø</v>
          </cell>
          <cell r="F153" t="str">
            <v>Ml</v>
          </cell>
          <cell r="G153">
            <v>6.6</v>
          </cell>
          <cell r="H153">
            <v>6.6</v>
          </cell>
        </row>
        <row r="154">
          <cell r="D154">
            <v>1</v>
          </cell>
          <cell r="E154" t="str">
            <v>PVC SUSPENDED PIPING SUPPLY &amp; INSTALLATION SERIES HEAVY 2"Ø</v>
          </cell>
          <cell r="F154" t="str">
            <v>Ml</v>
          </cell>
          <cell r="G154">
            <v>20.5</v>
          </cell>
          <cell r="H154">
            <v>20.5</v>
          </cell>
        </row>
        <row r="155">
          <cell r="D155">
            <v>1</v>
          </cell>
          <cell r="E155" t="str">
            <v>DRAINAGE WITHIN THE BUILDING 1nd LEVEL.</v>
          </cell>
          <cell r="F155">
            <v>0.98611111111111116</v>
          </cell>
          <cell r="G155">
            <v>0.98611111111111116</v>
          </cell>
          <cell r="H155">
            <v>0.98611111111111116</v>
          </cell>
          <cell r="J155">
            <v>0.9</v>
          </cell>
        </row>
        <row r="156">
          <cell r="D156">
            <v>1</v>
          </cell>
          <cell r="E156" t="str">
            <v>PVC VENT RISER  HEAVY 4"Ø</v>
          </cell>
          <cell r="F156" t="str">
            <v>Ml</v>
          </cell>
          <cell r="G156">
            <v>0</v>
          </cell>
          <cell r="H156">
            <v>0</v>
          </cell>
        </row>
        <row r="157">
          <cell r="D157">
            <v>1</v>
          </cell>
          <cell r="E157" t="str">
            <v>PVC VENT RISER  HEAVY 3"Ø</v>
          </cell>
          <cell r="F157" t="str">
            <v>Ml</v>
          </cell>
          <cell r="G157">
            <v>0</v>
          </cell>
          <cell r="H157">
            <v>0</v>
          </cell>
        </row>
        <row r="158">
          <cell r="D158">
            <v>1</v>
          </cell>
          <cell r="E158" t="str">
            <v>PVC SUSPENDED PIPING SUPPLY &amp; INSTALLATION SERIES HEAVY 4"Ø</v>
          </cell>
          <cell r="F158" t="str">
            <v>Ml</v>
          </cell>
          <cell r="G158">
            <v>0</v>
          </cell>
          <cell r="H158">
            <v>0</v>
          </cell>
        </row>
        <row r="159">
          <cell r="D159">
            <v>1</v>
          </cell>
          <cell r="E159" t="str">
            <v>PVC SUSPENDED PIPING SUPPLY &amp; INSTALLATION SERIES HEAVY 3"Ø</v>
          </cell>
          <cell r="F159" t="str">
            <v>Ml</v>
          </cell>
          <cell r="G159">
            <v>0</v>
          </cell>
          <cell r="H159">
            <v>0</v>
          </cell>
        </row>
        <row r="160">
          <cell r="D160">
            <v>1</v>
          </cell>
          <cell r="E160" t="str">
            <v>PVC SUSPENDED PIPING SUPPLY &amp; INSTALLATION SERIES HEAVY 2"Ø</v>
          </cell>
          <cell r="F160" t="str">
            <v>Ml</v>
          </cell>
          <cell r="G160">
            <v>0</v>
          </cell>
          <cell r="H160">
            <v>0</v>
          </cell>
        </row>
        <row r="161">
          <cell r="D161">
            <v>1</v>
          </cell>
          <cell r="E161" t="str">
            <v xml:space="preserve">DRAINAGE WITHIN THE BUILDING 1nd LEVEL. 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</row>
        <row r="162">
          <cell r="D162">
            <v>1</v>
          </cell>
          <cell r="E162" t="str">
            <v>PVC VENT RISER  HEAVY 4"Ø</v>
          </cell>
          <cell r="F162" t="str">
            <v>Ml</v>
          </cell>
          <cell r="G162">
            <v>0</v>
          </cell>
          <cell r="H162">
            <v>0</v>
          </cell>
        </row>
        <row r="163">
          <cell r="D163">
            <v>1</v>
          </cell>
          <cell r="E163" t="str">
            <v>PVC VENT RISER  HEAVY 3"Ø</v>
          </cell>
          <cell r="F163" t="str">
            <v>Ml</v>
          </cell>
          <cell r="G163">
            <v>0</v>
          </cell>
          <cell r="H163">
            <v>0</v>
          </cell>
        </row>
        <row r="164">
          <cell r="D164">
            <v>1</v>
          </cell>
          <cell r="E164" t="str">
            <v>PVC SUSPENDED PIPING SUPPLY &amp; INSTALLATION SERIES HEAVY 4"Ø</v>
          </cell>
          <cell r="F164" t="str">
            <v>Ml</v>
          </cell>
          <cell r="G164">
            <v>0</v>
          </cell>
          <cell r="H164">
            <v>4.2</v>
          </cell>
        </row>
        <row r="165">
          <cell r="D165">
            <v>1</v>
          </cell>
          <cell r="E165" t="str">
            <v>PVC SUSPENDED PIPING SUPPLY &amp; INSTALLATION SERIES HEAVY 3"Ø</v>
          </cell>
          <cell r="F165" t="str">
            <v>Ml</v>
          </cell>
          <cell r="G165">
            <v>0</v>
          </cell>
          <cell r="H165">
            <v>3.1</v>
          </cell>
        </row>
        <row r="166">
          <cell r="D166">
            <v>1</v>
          </cell>
          <cell r="E166" t="str">
            <v>PVC SUSPENDED PIPING SUPPLY &amp; INSTALLATION SERIES HEAVY 2"Ø</v>
          </cell>
          <cell r="F166" t="str">
            <v>Ml</v>
          </cell>
          <cell r="G166">
            <v>0</v>
          </cell>
          <cell r="H166">
            <v>9.5</v>
          </cell>
        </row>
        <row r="167">
          <cell r="D167">
            <v>1</v>
          </cell>
          <cell r="E167" t="str">
            <v xml:space="preserve">DRAINAGE WITHIN THE BUILDING 1st LEVEL. </v>
          </cell>
          <cell r="F167">
            <v>0</v>
          </cell>
          <cell r="G167">
            <v>0.68292682926829262</v>
          </cell>
          <cell r="H167">
            <v>0.68292682926829262</v>
          </cell>
          <cell r="J167">
            <v>0</v>
          </cell>
        </row>
        <row r="168">
          <cell r="D168">
            <v>1</v>
          </cell>
          <cell r="E168" t="str">
            <v>PVC DRAINAGE  RISER HEAVY 4"Ø</v>
          </cell>
          <cell r="F168" t="str">
            <v>Ml</v>
          </cell>
          <cell r="G168">
            <v>23.1</v>
          </cell>
        </row>
        <row r="169">
          <cell r="D169">
            <v>1</v>
          </cell>
          <cell r="E169" t="str">
            <v>PVC VENT RISER  HEAVY 4"Ø</v>
          </cell>
          <cell r="F169" t="str">
            <v>Ml</v>
          </cell>
          <cell r="G169">
            <v>5.7</v>
          </cell>
        </row>
        <row r="170">
          <cell r="D170">
            <v>1</v>
          </cell>
          <cell r="E170" t="str">
            <v>PVC VENT RISER  HEAVY 3"Ø</v>
          </cell>
          <cell r="F170" t="str">
            <v>Ml</v>
          </cell>
          <cell r="G170">
            <v>7.7</v>
          </cell>
        </row>
        <row r="171">
          <cell r="D171">
            <v>1</v>
          </cell>
          <cell r="E171" t="str">
            <v>PVC VENT RISER  HEAVY 2"Ø</v>
          </cell>
          <cell r="F171" t="str">
            <v>Ml</v>
          </cell>
          <cell r="G171">
            <v>38.4</v>
          </cell>
        </row>
        <row r="172">
          <cell r="D172">
            <v>1</v>
          </cell>
          <cell r="E172" t="str">
            <v>PVC SUSPENDED PIPING SUPPLY &amp; INSTALLATION SERIES HEAVY 4"Ø</v>
          </cell>
          <cell r="F172" t="str">
            <v>Ml</v>
          </cell>
          <cell r="G172">
            <v>12.5</v>
          </cell>
        </row>
        <row r="173">
          <cell r="D173">
            <v>1</v>
          </cell>
          <cell r="E173" t="str">
            <v>PVC SUSPENDED PIPING SUPPLY &amp; INSTALLATION SERIES HEAVY 3"Ø</v>
          </cell>
          <cell r="F173" t="str">
            <v>Ml</v>
          </cell>
          <cell r="G173">
            <v>17.100000000000001</v>
          </cell>
        </row>
        <row r="174">
          <cell r="D174">
            <v>1</v>
          </cell>
          <cell r="E174" t="str">
            <v>PVC SUSPENDED PIPING SUPPLY &amp; INSTALLATION SERIES HEAVY 2"Ø</v>
          </cell>
          <cell r="F174" t="str">
            <v>Ml</v>
          </cell>
          <cell r="G174">
            <v>26.8</v>
          </cell>
        </row>
        <row r="175">
          <cell r="D175">
            <v>1</v>
          </cell>
          <cell r="E175" t="str">
            <v>DRAINAGE WITHIN THE BUILDING 1st LEVEL.</v>
          </cell>
          <cell r="F175">
            <v>1</v>
          </cell>
          <cell r="G175">
            <v>1</v>
          </cell>
          <cell r="J175">
            <v>0.9</v>
          </cell>
        </row>
        <row r="176">
          <cell r="D176">
            <v>2</v>
          </cell>
          <cell r="E176" t="str">
            <v>PVC DRAINAGE  RISER HEAVY 4"Ø</v>
          </cell>
          <cell r="F176" t="str">
            <v>Ml</v>
          </cell>
          <cell r="G176">
            <v>27.5</v>
          </cell>
        </row>
        <row r="177">
          <cell r="D177">
            <v>2</v>
          </cell>
          <cell r="E177" t="str">
            <v>PVC VENT RISER  HEAVY 4"Ø</v>
          </cell>
          <cell r="F177" t="str">
            <v>Ml</v>
          </cell>
          <cell r="G177">
            <v>6.8</v>
          </cell>
        </row>
        <row r="178">
          <cell r="D178">
            <v>2</v>
          </cell>
          <cell r="E178" t="str">
            <v>PVC VENT RISER  HEAVY 3"Ø</v>
          </cell>
          <cell r="F178" t="str">
            <v>Ml</v>
          </cell>
          <cell r="G178">
            <v>9.3000000000000007</v>
          </cell>
        </row>
        <row r="179">
          <cell r="D179">
            <v>2</v>
          </cell>
          <cell r="E179" t="str">
            <v>PVC VENT RISER  HEAVY 2"Ø</v>
          </cell>
          <cell r="F179" t="str">
            <v>Ml</v>
          </cell>
          <cell r="G179">
            <v>47.1</v>
          </cell>
        </row>
        <row r="180">
          <cell r="D180">
            <v>2</v>
          </cell>
          <cell r="E180" t="str">
            <v>PVC SUSPENDED PIPING SUPPLY &amp; INSTALLATION SERIES HEAVY 4"Ø</v>
          </cell>
          <cell r="F180" t="str">
            <v>Ml</v>
          </cell>
          <cell r="G180">
            <v>15.5</v>
          </cell>
        </row>
        <row r="181">
          <cell r="D181">
            <v>2</v>
          </cell>
          <cell r="E181" t="str">
            <v>PVC SUSPENDED PIPING SUPPLY &amp; INSTALLATION SERIES HEAVY 3"Ø</v>
          </cell>
          <cell r="F181" t="str">
            <v>Ml</v>
          </cell>
          <cell r="G181">
            <v>20.399999999999999</v>
          </cell>
        </row>
        <row r="182">
          <cell r="D182">
            <v>2</v>
          </cell>
          <cell r="E182" t="str">
            <v>PVC SUSPENDED PIPING SUPPLY &amp; INSTALLATION SERIES HEAVY 2"Ø</v>
          </cell>
          <cell r="F182" t="str">
            <v>Ml</v>
          </cell>
          <cell r="G182">
            <v>32.299999999999997</v>
          </cell>
        </row>
        <row r="183">
          <cell r="D183">
            <v>2</v>
          </cell>
          <cell r="E183" t="str">
            <v>DRAINAGE WITHIN THE BUILDING 2nd LEVEL.</v>
          </cell>
          <cell r="F183">
            <v>0.99874292897548678</v>
          </cell>
          <cell r="G183">
            <v>0.99874292897548678</v>
          </cell>
          <cell r="J183">
            <v>0.9</v>
          </cell>
        </row>
        <row r="184">
          <cell r="D184">
            <v>2</v>
          </cell>
          <cell r="E184" t="str">
            <v>PVC DRAINAGE  RISER HEAVY 4"Ø</v>
          </cell>
          <cell r="F184" t="str">
            <v>Ml</v>
          </cell>
          <cell r="G184">
            <v>29.5</v>
          </cell>
        </row>
        <row r="185">
          <cell r="D185">
            <v>2</v>
          </cell>
          <cell r="E185" t="str">
            <v>PVC VENT RISER  HEAVY 4"Ø</v>
          </cell>
          <cell r="F185" t="str">
            <v>Ml</v>
          </cell>
          <cell r="G185">
            <v>7</v>
          </cell>
        </row>
        <row r="186">
          <cell r="D186">
            <v>2</v>
          </cell>
          <cell r="E186" t="str">
            <v>PVC VENT RISER  HEAVY 3"Ø</v>
          </cell>
          <cell r="F186" t="str">
            <v>Ml</v>
          </cell>
          <cell r="G186">
            <v>9.8000000000000007</v>
          </cell>
        </row>
        <row r="187">
          <cell r="D187">
            <v>2</v>
          </cell>
          <cell r="E187" t="str">
            <v>PVC VENT RISER  HEAVY 2"Ø</v>
          </cell>
          <cell r="F187" t="str">
            <v>Ml</v>
          </cell>
          <cell r="G187">
            <v>50</v>
          </cell>
        </row>
        <row r="188">
          <cell r="D188">
            <v>2</v>
          </cell>
          <cell r="E188" t="str">
            <v>PVC SUSPENDED PIPING SUPPLY &amp; INSTALLATION SERIES HEAVY 4"Ø</v>
          </cell>
          <cell r="F188" t="str">
            <v>Ml</v>
          </cell>
          <cell r="G188">
            <v>16.5</v>
          </cell>
        </row>
        <row r="189">
          <cell r="D189">
            <v>2</v>
          </cell>
          <cell r="E189" t="str">
            <v>PVC SUSPENDED PIPING SUPPLY &amp; INSTALLATION SERIES HEAVY 3"Ø</v>
          </cell>
          <cell r="F189" t="str">
            <v>Ml</v>
          </cell>
          <cell r="G189">
            <v>22.1</v>
          </cell>
        </row>
        <row r="190">
          <cell r="D190">
            <v>2</v>
          </cell>
          <cell r="E190" t="str">
            <v>PVC SUSPENDED PIPING SUPPLY &amp; INSTALLATION SERIES HEAVY 2"Ø</v>
          </cell>
          <cell r="F190" t="str">
            <v>Ml</v>
          </cell>
          <cell r="G190">
            <v>34.700000000000003</v>
          </cell>
        </row>
        <row r="191">
          <cell r="D191">
            <v>2</v>
          </cell>
          <cell r="E191" t="str">
            <v>DRAINAGE WITHIN THE BUILDING 2nd LEVEL.</v>
          </cell>
          <cell r="F191">
            <v>0.99882214369846889</v>
          </cell>
          <cell r="G191">
            <v>0.99882214369846889</v>
          </cell>
          <cell r="J191">
            <v>0.9</v>
          </cell>
        </row>
        <row r="192">
          <cell r="D192">
            <v>2</v>
          </cell>
          <cell r="E192" t="str">
            <v>PVC DRAINAGE  RISER HEAVY 4"Ø</v>
          </cell>
          <cell r="F192" t="str">
            <v>Ml</v>
          </cell>
          <cell r="G192">
            <v>4.4000000000000004</v>
          </cell>
        </row>
        <row r="193">
          <cell r="D193">
            <v>2</v>
          </cell>
          <cell r="E193" t="str">
            <v>PVC VENT RISER  HEAVY 4"Ø</v>
          </cell>
          <cell r="F193" t="str">
            <v>Ml</v>
          </cell>
          <cell r="G193">
            <v>0.9</v>
          </cell>
        </row>
        <row r="194">
          <cell r="D194">
            <v>2</v>
          </cell>
          <cell r="E194" t="str">
            <v>PVC VENT RISER  HEAVY 3"Ø</v>
          </cell>
          <cell r="F194" t="str">
            <v>Ml</v>
          </cell>
          <cell r="G194">
            <v>1.4</v>
          </cell>
        </row>
        <row r="195">
          <cell r="D195">
            <v>2</v>
          </cell>
          <cell r="E195" t="str">
            <v>PVC VENT RISER  HEAVY 2"Ø</v>
          </cell>
          <cell r="F195" t="str">
            <v>Ml</v>
          </cell>
          <cell r="G195">
            <v>7.2</v>
          </cell>
        </row>
        <row r="196">
          <cell r="D196">
            <v>2</v>
          </cell>
          <cell r="E196" t="str">
            <v>PVC SUSPENDED PIPING SUPPLY &amp; INSTALLATION SERIES HEAVY 4"Ø</v>
          </cell>
          <cell r="F196" t="str">
            <v>Ml</v>
          </cell>
          <cell r="G196">
            <v>2.5</v>
          </cell>
        </row>
        <row r="197">
          <cell r="D197">
            <v>2</v>
          </cell>
          <cell r="E197" t="str">
            <v>PVC SUSPENDED PIPING SUPPLY &amp; INSTALLATION SERIES HEAVY 3"Ø</v>
          </cell>
          <cell r="F197" t="str">
            <v>Ml</v>
          </cell>
          <cell r="G197">
            <v>3.4</v>
          </cell>
        </row>
        <row r="198">
          <cell r="D198">
            <v>2</v>
          </cell>
          <cell r="E198" t="str">
            <v>PVC SUSPENDED PIPING SUPPLY &amp; INSTALLATION SERIES HEAVY 2"Ø</v>
          </cell>
          <cell r="F198" t="str">
            <v>Ml</v>
          </cell>
          <cell r="G198">
            <v>5.0999999999999996</v>
          </cell>
        </row>
        <row r="199">
          <cell r="D199">
            <v>2</v>
          </cell>
          <cell r="E199" t="str">
            <v>DRAINAGE WITHIN THE BUILDING 2nd LEVEL.</v>
          </cell>
          <cell r="F199">
            <v>0.98031496062992129</v>
          </cell>
          <cell r="G199">
            <v>0.98425196850393704</v>
          </cell>
          <cell r="J199">
            <v>0.9</v>
          </cell>
        </row>
        <row r="200">
          <cell r="D200">
            <v>2</v>
          </cell>
          <cell r="E200" t="str">
            <v>PVC DRAINAGE  RISER HEAVY 4"Ø</v>
          </cell>
          <cell r="F200" t="str">
            <v>Ml</v>
          </cell>
          <cell r="G200">
            <v>5</v>
          </cell>
        </row>
        <row r="201">
          <cell r="D201">
            <v>2</v>
          </cell>
          <cell r="E201" t="str">
            <v>PVC VENT RISER  HEAVY 4"Ø</v>
          </cell>
          <cell r="F201" t="str">
            <v>Ml</v>
          </cell>
          <cell r="G201">
            <v>1.2</v>
          </cell>
        </row>
        <row r="202">
          <cell r="D202">
            <v>2</v>
          </cell>
          <cell r="E202" t="str">
            <v>PVC VENT RISER  HEAVY 3"Ø</v>
          </cell>
          <cell r="F202" t="str">
            <v>Ml</v>
          </cell>
          <cell r="G202">
            <v>1.5</v>
          </cell>
        </row>
        <row r="203">
          <cell r="D203">
            <v>2</v>
          </cell>
          <cell r="E203" t="str">
            <v>PVC VENT RISER  HEAVY 2"Ø</v>
          </cell>
          <cell r="F203" t="str">
            <v>Ml</v>
          </cell>
          <cell r="G203">
            <v>8.6</v>
          </cell>
        </row>
        <row r="204">
          <cell r="D204">
            <v>2</v>
          </cell>
          <cell r="E204" t="str">
            <v>PVC SUSPENDED PIPING SUPPLY &amp; INSTALLATION SERIES HEAVY 4"Ø</v>
          </cell>
          <cell r="F204" t="str">
            <v>Ml</v>
          </cell>
          <cell r="G204">
            <v>3</v>
          </cell>
        </row>
        <row r="205">
          <cell r="D205">
            <v>2</v>
          </cell>
          <cell r="E205" t="str">
            <v>PVC SUSPENDED PIPING SUPPLY &amp; INSTALLATION SERIES HEAVY 3"Ø</v>
          </cell>
          <cell r="F205" t="str">
            <v>Ml</v>
          </cell>
          <cell r="G205">
            <v>4</v>
          </cell>
        </row>
        <row r="206">
          <cell r="D206">
            <v>2</v>
          </cell>
          <cell r="E206" t="str">
            <v>PVC SUSPENDED PIPING SUPPLY &amp; INSTALLATION SERIES HEAVY 2"Ø</v>
          </cell>
          <cell r="F206" t="str">
            <v>Ml</v>
          </cell>
          <cell r="G206">
            <v>6.1</v>
          </cell>
        </row>
        <row r="207">
          <cell r="D207">
            <v>2</v>
          </cell>
          <cell r="E207" t="str">
            <v>DRAINAGE WITHIN THE BUILDING 2nd LEVEL.</v>
          </cell>
          <cell r="F207">
            <v>0.96710526315789469</v>
          </cell>
          <cell r="G207">
            <v>0.96710526315789469</v>
          </cell>
          <cell r="J207">
            <v>0.9</v>
          </cell>
        </row>
        <row r="208">
          <cell r="D208">
            <v>1</v>
          </cell>
          <cell r="E208" t="str">
            <v>PVC DRAINAGE  RISER HEAVY 4"Ø</v>
          </cell>
          <cell r="F208" t="str">
            <v>Ml</v>
          </cell>
          <cell r="G208">
            <v>2</v>
          </cell>
        </row>
        <row r="209">
          <cell r="D209">
            <v>1</v>
          </cell>
          <cell r="E209" t="str">
            <v>PVC VENT RISER  HEAVY 4"Ø</v>
          </cell>
          <cell r="F209" t="str">
            <v>Ml</v>
          </cell>
          <cell r="G209">
            <v>0</v>
          </cell>
        </row>
        <row r="210">
          <cell r="D210">
            <v>1</v>
          </cell>
          <cell r="E210" t="str">
            <v>PVC VENT RISER  HEAVY 3"Ø</v>
          </cell>
          <cell r="F210" t="str">
            <v>Ml</v>
          </cell>
          <cell r="G210">
            <v>0</v>
          </cell>
        </row>
        <row r="211">
          <cell r="D211">
            <v>1</v>
          </cell>
          <cell r="E211" t="str">
            <v>PVC VENT RISER  HEAVY 2"Ø</v>
          </cell>
          <cell r="F211" t="str">
            <v>Ml</v>
          </cell>
          <cell r="G211">
            <v>0</v>
          </cell>
        </row>
        <row r="212">
          <cell r="D212">
            <v>1</v>
          </cell>
          <cell r="E212" t="str">
            <v>PVC SUSPENDED PIPING SUPPLY &amp; INSTALLATION SERIES HEAVY 4"Ø</v>
          </cell>
          <cell r="F212" t="str">
            <v>Ml</v>
          </cell>
          <cell r="G212">
            <v>7</v>
          </cell>
        </row>
        <row r="213">
          <cell r="D213">
            <v>1</v>
          </cell>
          <cell r="E213" t="str">
            <v>PVC SUSPENDED PIPING SUPPLY &amp; INSTALLATION SERIES HEAVY 3"Ø</v>
          </cell>
          <cell r="F213" t="str">
            <v>Ml</v>
          </cell>
          <cell r="G213">
            <v>6</v>
          </cell>
        </row>
        <row r="214">
          <cell r="D214">
            <v>1</v>
          </cell>
          <cell r="E214" t="str">
            <v>PVC SUSPENDED PIPING SUPPLY &amp; INSTALLATION SERIES HEAVY 2"Ø</v>
          </cell>
          <cell r="F214" t="str">
            <v>Ml</v>
          </cell>
          <cell r="G214">
            <v>18</v>
          </cell>
        </row>
        <row r="215">
          <cell r="D215">
            <v>1</v>
          </cell>
          <cell r="E215" t="str">
            <v>DRAINAGE WITHIN THE BUILDING 1st LEVEL.</v>
          </cell>
          <cell r="F215">
            <v>0.60550458715596334</v>
          </cell>
          <cell r="G215">
            <v>0.86238532110091748</v>
          </cell>
          <cell r="J215">
            <v>0.6</v>
          </cell>
        </row>
        <row r="216">
          <cell r="D216">
            <v>1</v>
          </cell>
          <cell r="E216" t="str">
            <v>PVC DRAINAGE  RISER HEAVY 4"Ø</v>
          </cell>
          <cell r="F216" t="str">
            <v>Ml</v>
          </cell>
          <cell r="G216">
            <v>1.5</v>
          </cell>
        </row>
        <row r="217">
          <cell r="D217">
            <v>1</v>
          </cell>
          <cell r="E217" t="str">
            <v>PVC VENT RISER  HEAVY 4"Ø</v>
          </cell>
          <cell r="F217" t="str">
            <v>Ml</v>
          </cell>
          <cell r="G217">
            <v>0</v>
          </cell>
        </row>
        <row r="218">
          <cell r="D218">
            <v>1</v>
          </cell>
          <cell r="E218" t="str">
            <v>PVC VENT RISER  HEAVY 3"Ø</v>
          </cell>
          <cell r="F218" t="str">
            <v>Ml</v>
          </cell>
          <cell r="G218">
            <v>0</v>
          </cell>
        </row>
        <row r="219">
          <cell r="D219">
            <v>1</v>
          </cell>
          <cell r="E219" t="str">
            <v>PVC VENT RISER  HEAVY 2"Ø</v>
          </cell>
          <cell r="F219" t="str">
            <v>Ml</v>
          </cell>
          <cell r="G219">
            <v>0</v>
          </cell>
        </row>
        <row r="220">
          <cell r="D220">
            <v>1</v>
          </cell>
          <cell r="E220" t="str">
            <v>PVC SUSPENDED PIPING SUPPLY &amp; INSTALLATION SERIES HEAVY 4"Ø</v>
          </cell>
          <cell r="F220" t="str">
            <v>Ml</v>
          </cell>
          <cell r="G220">
            <v>4</v>
          </cell>
        </row>
        <row r="221">
          <cell r="D221">
            <v>1</v>
          </cell>
          <cell r="E221" t="str">
            <v>PVC SUSPENDED PIPING SUPPLY &amp; INSTALLATION SERIES HEAVY 3"Ø</v>
          </cell>
          <cell r="F221" t="str">
            <v>Ml</v>
          </cell>
          <cell r="G221">
            <v>3</v>
          </cell>
        </row>
        <row r="222">
          <cell r="D222">
            <v>1</v>
          </cell>
          <cell r="E222" t="str">
            <v>PVC SUSPENDED PIPING SUPPLY &amp; INSTALLATION SERIES HEAVY 2"Ø</v>
          </cell>
          <cell r="F222" t="str">
            <v>Ml</v>
          </cell>
          <cell r="G222">
            <v>8.5</v>
          </cell>
        </row>
        <row r="223">
          <cell r="D223">
            <v>1</v>
          </cell>
          <cell r="E223" t="str">
            <v>DRAINAGE WITHIN THE BUILDING 1st LEVEL.</v>
          </cell>
          <cell r="F223">
            <v>0.54662379421221863</v>
          </cell>
          <cell r="G223">
            <v>0.797427652733119</v>
          </cell>
          <cell r="J223">
            <v>0.7</v>
          </cell>
        </row>
        <row r="224">
          <cell r="D224">
            <v>2</v>
          </cell>
          <cell r="E224" t="str">
            <v>PVC DRAINAGE  RISER HEAVY 4"Ø</v>
          </cell>
          <cell r="F224" t="str">
            <v>Ml</v>
          </cell>
          <cell r="G224">
            <v>0</v>
          </cell>
        </row>
        <row r="225">
          <cell r="D225">
            <v>2</v>
          </cell>
          <cell r="E225" t="str">
            <v>PVC VENT RISER  HEAVY 4"Ø</v>
          </cell>
          <cell r="F225" t="str">
            <v>Ml</v>
          </cell>
          <cell r="G225">
            <v>0</v>
          </cell>
        </row>
        <row r="226">
          <cell r="D226">
            <v>2</v>
          </cell>
          <cell r="E226" t="str">
            <v>PVC VENT RISER  HEAVY 3"Ø</v>
          </cell>
          <cell r="F226" t="str">
            <v>Ml</v>
          </cell>
          <cell r="G226">
            <v>0</v>
          </cell>
        </row>
        <row r="227">
          <cell r="D227">
            <v>2</v>
          </cell>
          <cell r="E227" t="str">
            <v>PVC VENT RISER  HEAVY 2"Ø</v>
          </cell>
          <cell r="F227" t="str">
            <v>Ml</v>
          </cell>
          <cell r="G227">
            <v>0</v>
          </cell>
        </row>
        <row r="228">
          <cell r="D228">
            <v>2</v>
          </cell>
          <cell r="E228" t="str">
            <v>PVC SUSPENDED PIPING SUPPLY &amp; INSTALLATION SERIES HEAVY 4"Ø</v>
          </cell>
          <cell r="F228" t="str">
            <v>Ml</v>
          </cell>
          <cell r="G228">
            <v>0</v>
          </cell>
        </row>
        <row r="229">
          <cell r="D229">
            <v>2</v>
          </cell>
          <cell r="E229" t="str">
            <v>PVC SUSPENDED PIPING SUPPLY &amp; INSTALLATION SERIES HEAVY 3"Ø</v>
          </cell>
          <cell r="F229" t="str">
            <v>Ml</v>
          </cell>
          <cell r="G229">
            <v>0</v>
          </cell>
        </row>
        <row r="230">
          <cell r="D230">
            <v>2</v>
          </cell>
          <cell r="E230" t="str">
            <v>PVC SUSPENDED PIPING SUPPLY &amp; INSTALLATION SERIES HEAVY 2"Ø</v>
          </cell>
          <cell r="F230" t="str">
            <v>Ml</v>
          </cell>
          <cell r="G230">
            <v>0</v>
          </cell>
        </row>
        <row r="231">
          <cell r="D231">
            <v>2</v>
          </cell>
          <cell r="E231" t="str">
            <v>DRAINAGE WITHIN THE BUILDING 2nd LEVEL.</v>
          </cell>
          <cell r="F231">
            <v>0</v>
          </cell>
          <cell r="G231">
            <v>0.96666666666666667</v>
          </cell>
          <cell r="J231">
            <v>0</v>
          </cell>
        </row>
        <row r="232">
          <cell r="D232">
            <v>2</v>
          </cell>
          <cell r="E232" t="str">
            <v>PVC DRAINAGE  RISER HEAVY 4"Ø</v>
          </cell>
          <cell r="F232" t="str">
            <v>Ml</v>
          </cell>
          <cell r="G232">
            <v>0</v>
          </cell>
        </row>
        <row r="233">
          <cell r="D233">
            <v>2</v>
          </cell>
          <cell r="E233" t="str">
            <v>PVC VENT RISER  HEAVY 4"Ø</v>
          </cell>
          <cell r="F233" t="str">
            <v>Ml</v>
          </cell>
          <cell r="G233">
            <v>0</v>
          </cell>
        </row>
        <row r="234">
          <cell r="D234">
            <v>2</v>
          </cell>
          <cell r="E234" t="str">
            <v>PVC VENT RISER  HEAVY 3"Ø</v>
          </cell>
          <cell r="F234" t="str">
            <v>Ml</v>
          </cell>
          <cell r="G234">
            <v>0</v>
          </cell>
        </row>
        <row r="235">
          <cell r="D235">
            <v>2</v>
          </cell>
          <cell r="E235" t="str">
            <v>PVC VENT RISER  HEAVY 2"Ø</v>
          </cell>
          <cell r="F235" t="str">
            <v>Ml</v>
          </cell>
          <cell r="G235">
            <v>0</v>
          </cell>
        </row>
        <row r="236">
          <cell r="D236">
            <v>2</v>
          </cell>
          <cell r="E236" t="str">
            <v>PVC SUSPENDED PIPING SUPPLY &amp; INSTALLATION SERIES HEAVY 4"Ø</v>
          </cell>
          <cell r="F236" t="str">
            <v>Ml</v>
          </cell>
          <cell r="G236">
            <v>0</v>
          </cell>
        </row>
        <row r="237">
          <cell r="D237">
            <v>2</v>
          </cell>
          <cell r="E237" t="str">
            <v>PVC SUSPENDED PIPING SUPPLY &amp; INSTALLATION SERIES HEAVY 3"Ø</v>
          </cell>
          <cell r="F237" t="str">
            <v>Ml</v>
          </cell>
          <cell r="G237">
            <v>0</v>
          </cell>
        </row>
        <row r="238">
          <cell r="D238">
            <v>2</v>
          </cell>
          <cell r="E238" t="str">
            <v>PVC SUSPENDED PIPING SUPPLY &amp; INSTALLATION SERIES HEAVY 2"Ø</v>
          </cell>
          <cell r="F238" t="str">
            <v>Ml</v>
          </cell>
          <cell r="G238">
            <v>0</v>
          </cell>
        </row>
        <row r="239">
          <cell r="D239">
            <v>2</v>
          </cell>
          <cell r="E239" t="str">
            <v>DRAINAGE WITHIN THE BUILDING 2nd LEVEL.</v>
          </cell>
          <cell r="F239">
            <v>0</v>
          </cell>
          <cell r="G239">
            <v>0.94590846047156718</v>
          </cell>
          <cell r="J239">
            <v>0.8</v>
          </cell>
        </row>
        <row r="240">
          <cell r="D240">
            <v>1</v>
          </cell>
          <cell r="E240" t="str">
            <v>PVC DRAINAGE  RISER HEAVY 4"Ø</v>
          </cell>
          <cell r="F240" t="str">
            <v>Ml</v>
          </cell>
          <cell r="G240">
            <v>0</v>
          </cell>
        </row>
        <row r="241">
          <cell r="D241">
            <v>1</v>
          </cell>
          <cell r="E241" t="str">
            <v>PVC VENT RISER  HEAVY 4"Ø</v>
          </cell>
          <cell r="F241" t="str">
            <v>Ml</v>
          </cell>
          <cell r="G241">
            <v>0</v>
          </cell>
        </row>
        <row r="242">
          <cell r="D242">
            <v>1</v>
          </cell>
          <cell r="E242" t="str">
            <v>PVC VENT RISER  HEAVY 3"Ø</v>
          </cell>
          <cell r="F242" t="str">
            <v>Ml</v>
          </cell>
          <cell r="G242">
            <v>0</v>
          </cell>
        </row>
        <row r="243">
          <cell r="D243">
            <v>1</v>
          </cell>
          <cell r="E243" t="str">
            <v>PVC VENT RISER  HEAVY 2"Ø</v>
          </cell>
          <cell r="F243" t="str">
            <v>Ml</v>
          </cell>
          <cell r="G243">
            <v>0</v>
          </cell>
        </row>
        <row r="244">
          <cell r="D244">
            <v>1</v>
          </cell>
          <cell r="E244" t="str">
            <v>PVC SUSPENDED PIPING SUPPLY &amp; INSTALLATION SERIES HEAVY 4"Ø</v>
          </cell>
          <cell r="F244" t="str">
            <v>Ml</v>
          </cell>
          <cell r="G244">
            <v>0</v>
          </cell>
        </row>
        <row r="245">
          <cell r="D245">
            <v>1</v>
          </cell>
          <cell r="E245" t="str">
            <v>PVC SUSPENDED PIPING SUPPLY &amp; INSTALLATION SERIES HEAVY 3"Ø</v>
          </cell>
          <cell r="F245" t="str">
            <v>Ml</v>
          </cell>
          <cell r="G245">
            <v>0</v>
          </cell>
        </row>
        <row r="246">
          <cell r="D246">
            <v>1</v>
          </cell>
          <cell r="E246" t="str">
            <v>PVC SUSPENDED PIPING SUPPLY &amp; INSTALLATION SERIES HEAVY 2"Ø</v>
          </cell>
          <cell r="F246" t="str">
            <v>Ml</v>
          </cell>
          <cell r="G246">
            <v>0</v>
          </cell>
        </row>
        <row r="247">
          <cell r="D247">
            <v>1</v>
          </cell>
          <cell r="E247" t="str">
            <v>DRAINAGE WITHIN THE BUILDING 1st LEVEL.</v>
          </cell>
          <cell r="F247">
            <v>0</v>
          </cell>
          <cell r="G247">
            <v>0</v>
          </cell>
          <cell r="J247">
            <v>0</v>
          </cell>
        </row>
        <row r="248">
          <cell r="D248">
            <v>1</v>
          </cell>
          <cell r="E248" t="str">
            <v>PVC DRAINAGE  RISER HEAVY 4"Ø</v>
          </cell>
          <cell r="F248" t="str">
            <v>Ml</v>
          </cell>
          <cell r="G248">
            <v>0</v>
          </cell>
        </row>
        <row r="249">
          <cell r="D249">
            <v>1</v>
          </cell>
          <cell r="E249" t="str">
            <v>PVC VENT RISER  HEAVY 4"Ø</v>
          </cell>
          <cell r="F249" t="str">
            <v>Ml</v>
          </cell>
          <cell r="G249">
            <v>0</v>
          </cell>
        </row>
        <row r="250">
          <cell r="D250">
            <v>1</v>
          </cell>
          <cell r="E250" t="str">
            <v>PVC VENT RISER  HEAVY 3"Ø</v>
          </cell>
          <cell r="F250" t="str">
            <v>Ml</v>
          </cell>
          <cell r="G250">
            <v>0</v>
          </cell>
        </row>
        <row r="251">
          <cell r="D251">
            <v>1</v>
          </cell>
          <cell r="E251" t="str">
            <v>PVC VENT RISER  HEAVY 2"Ø</v>
          </cell>
          <cell r="F251" t="str">
            <v>Ml</v>
          </cell>
          <cell r="G251">
            <v>0</v>
          </cell>
        </row>
        <row r="252">
          <cell r="D252">
            <v>1</v>
          </cell>
          <cell r="E252" t="str">
            <v>PVC SUSPENDED PIPING SUPPLY &amp; INSTALLATION SERIES HEAVY 4"Ø</v>
          </cell>
          <cell r="F252" t="str">
            <v>Ml</v>
          </cell>
          <cell r="G252">
            <v>0</v>
          </cell>
        </row>
        <row r="253">
          <cell r="D253">
            <v>1</v>
          </cell>
          <cell r="E253" t="str">
            <v>PVC SUSPENDED PIPING SUPPLY &amp; INSTALLATION SERIES HEAVY 3"Ø</v>
          </cell>
          <cell r="F253" t="str">
            <v>Ml</v>
          </cell>
          <cell r="G253">
            <v>0</v>
          </cell>
        </row>
        <row r="254">
          <cell r="D254">
            <v>1</v>
          </cell>
          <cell r="E254" t="str">
            <v>PVC SUSPENDED PIPING SUPPLY &amp; INSTALLATION SERIES HEAVY 2"Ø</v>
          </cell>
          <cell r="F254" t="str">
            <v>Ml</v>
          </cell>
          <cell r="G254">
            <v>0</v>
          </cell>
        </row>
        <row r="255">
          <cell r="D255">
            <v>1</v>
          </cell>
          <cell r="E255" t="str">
            <v>DRAINAGE WITHIN THE BUILDING 1st LEVEL.</v>
          </cell>
          <cell r="F255">
            <v>0</v>
          </cell>
          <cell r="G255">
            <v>0</v>
          </cell>
          <cell r="J255">
            <v>0</v>
          </cell>
        </row>
        <row r="256">
          <cell r="D256">
            <v>1</v>
          </cell>
          <cell r="E256" t="str">
            <v>PVC DRAINAGE  RISER HEAVY 4"Ø</v>
          </cell>
          <cell r="F256" t="str">
            <v>Ml</v>
          </cell>
          <cell r="G256">
            <v>4.5</v>
          </cell>
        </row>
        <row r="257">
          <cell r="D257">
            <v>1</v>
          </cell>
          <cell r="E257" t="str">
            <v>PVC VENT RISER  HEAVY 4"Ø</v>
          </cell>
          <cell r="F257" t="str">
            <v>Ml</v>
          </cell>
          <cell r="G257">
            <v>4.5</v>
          </cell>
        </row>
        <row r="258">
          <cell r="D258">
            <v>1</v>
          </cell>
          <cell r="E258" t="str">
            <v>PVC VENT RISER  HEAVY 3"Ø</v>
          </cell>
          <cell r="F258" t="str">
            <v>Ml</v>
          </cell>
          <cell r="G258">
            <v>4.5</v>
          </cell>
        </row>
        <row r="259">
          <cell r="D259">
            <v>1</v>
          </cell>
          <cell r="E259" t="str">
            <v>PVC VENT RISER  HEAVY 2"Ø</v>
          </cell>
          <cell r="F259" t="str">
            <v>Ml</v>
          </cell>
          <cell r="G259">
            <v>4.5</v>
          </cell>
        </row>
        <row r="260">
          <cell r="D260">
            <v>1</v>
          </cell>
          <cell r="E260" t="str">
            <v>PVC SUSPENDED PIPING SUPPLY &amp; INSTALLATION SERIES HEAVY 4"Ø</v>
          </cell>
          <cell r="F260" t="str">
            <v>Ml</v>
          </cell>
          <cell r="G260">
            <v>13.1</v>
          </cell>
        </row>
        <row r="261">
          <cell r="D261">
            <v>1</v>
          </cell>
          <cell r="E261" t="str">
            <v>PVC SUSPENDED PIPING SUPPLY &amp; INSTALLATION SERIES HEAVY 3"Ø</v>
          </cell>
          <cell r="F261" t="str">
            <v>Ml</v>
          </cell>
          <cell r="G261">
            <v>10.6</v>
          </cell>
        </row>
        <row r="262">
          <cell r="D262">
            <v>1</v>
          </cell>
          <cell r="E262" t="str">
            <v>PVC SUSPENDED PIPING SUPPLY &amp; INSTALLATION SERIES HEAVY 2"Ø</v>
          </cell>
          <cell r="F262" t="str">
            <v>Ml</v>
          </cell>
          <cell r="G262">
            <v>32.1</v>
          </cell>
        </row>
        <row r="263">
          <cell r="D263">
            <v>1</v>
          </cell>
          <cell r="E263" t="str">
            <v>DRAINAGE WITHIN THE BUILDING 1st LEVEL.</v>
          </cell>
          <cell r="F263">
            <v>0.82000000000000017</v>
          </cell>
          <cell r="G263">
            <v>0</v>
          </cell>
          <cell r="J263">
            <v>0</v>
          </cell>
        </row>
        <row r="264">
          <cell r="D264">
            <v>1</v>
          </cell>
          <cell r="E264" t="str">
            <v>PVC DRAINAGE  RISER HEAVY 4"Ø</v>
          </cell>
          <cell r="F264" t="str">
            <v>Ml</v>
          </cell>
          <cell r="G264">
            <v>4</v>
          </cell>
        </row>
        <row r="265">
          <cell r="D265">
            <v>1</v>
          </cell>
          <cell r="E265" t="str">
            <v>PVC VENT RISER  HEAVY 4"Ø</v>
          </cell>
          <cell r="F265" t="str">
            <v>Ml</v>
          </cell>
          <cell r="G265">
            <v>3</v>
          </cell>
        </row>
        <row r="266">
          <cell r="D266">
            <v>1</v>
          </cell>
          <cell r="E266" t="str">
            <v>PVC VENT RISER  HEAVY 3"Ø</v>
          </cell>
          <cell r="F266" t="str">
            <v>Ml</v>
          </cell>
          <cell r="G266">
            <v>5</v>
          </cell>
        </row>
        <row r="267">
          <cell r="D267">
            <v>1</v>
          </cell>
          <cell r="E267" t="str">
            <v>PVC VENT RISER  HEAVY 2"Ø</v>
          </cell>
          <cell r="F267" t="str">
            <v>Ml</v>
          </cell>
          <cell r="G267">
            <v>8</v>
          </cell>
        </row>
        <row r="268">
          <cell r="D268">
            <v>1</v>
          </cell>
          <cell r="E268" t="str">
            <v>PVC SUSPENDED PIPING SUPPLY &amp; INSTALLATION SERIES HEAVY 4"Ø</v>
          </cell>
          <cell r="F268" t="str">
            <v>Ml</v>
          </cell>
          <cell r="G268">
            <v>9</v>
          </cell>
        </row>
        <row r="269">
          <cell r="D269">
            <v>1</v>
          </cell>
          <cell r="E269" t="str">
            <v>PVC SUSPENDED PIPING SUPPLY &amp; INSTALLATION SERIES HEAVY 3"Ø</v>
          </cell>
          <cell r="F269" t="str">
            <v>Ml</v>
          </cell>
          <cell r="G269">
            <v>8.1</v>
          </cell>
        </row>
        <row r="270">
          <cell r="D270">
            <v>1</v>
          </cell>
          <cell r="E270" t="str">
            <v>PVC SUSPENDED PIPING SUPPLY &amp; INSTALLATION SERIES HEAVY 2"Ø</v>
          </cell>
          <cell r="F270" t="str">
            <v>Ml</v>
          </cell>
          <cell r="G270">
            <v>26</v>
          </cell>
        </row>
        <row r="271">
          <cell r="D271">
            <v>1</v>
          </cell>
          <cell r="E271" t="str">
            <v>DRAINAGE WITHIN THE BUILDING 1st LEVEL.</v>
          </cell>
          <cell r="F271">
            <v>0.87517337031900144</v>
          </cell>
          <cell r="G271">
            <v>0</v>
          </cell>
          <cell r="J271">
            <v>0</v>
          </cell>
        </row>
        <row r="272">
          <cell r="D272">
            <v>2</v>
          </cell>
          <cell r="E272" t="str">
            <v>PVC DRAINAGE  RISER HEAVY 4"Ø</v>
          </cell>
          <cell r="F272" t="str">
            <v>Ml</v>
          </cell>
          <cell r="G272">
            <v>0</v>
          </cell>
        </row>
        <row r="273">
          <cell r="D273">
            <v>2</v>
          </cell>
          <cell r="E273" t="str">
            <v>PVC VENT RISER  HEAVY 4"Ø</v>
          </cell>
          <cell r="F273" t="str">
            <v>Ml</v>
          </cell>
          <cell r="G273">
            <v>0</v>
          </cell>
        </row>
        <row r="274">
          <cell r="D274">
            <v>2</v>
          </cell>
          <cell r="E274" t="str">
            <v>PVC VENT RISER  HEAVY 3"Ø</v>
          </cell>
          <cell r="F274" t="str">
            <v>Ml</v>
          </cell>
          <cell r="G274">
            <v>0</v>
          </cell>
        </row>
        <row r="275">
          <cell r="D275">
            <v>2</v>
          </cell>
          <cell r="E275" t="str">
            <v>PVC VENT RISER  HEAVY 2"Ø</v>
          </cell>
          <cell r="F275" t="str">
            <v>Ml</v>
          </cell>
          <cell r="G275">
            <v>0</v>
          </cell>
        </row>
        <row r="276">
          <cell r="D276">
            <v>2</v>
          </cell>
          <cell r="E276" t="str">
            <v>PVC SUSPENDED PIPING SUPPLY &amp; INSTALLATION SERIES HEAVY 4"Ø</v>
          </cell>
          <cell r="F276" t="str">
            <v>Ml</v>
          </cell>
          <cell r="G276">
            <v>0</v>
          </cell>
        </row>
        <row r="277">
          <cell r="D277">
            <v>2</v>
          </cell>
          <cell r="E277" t="str">
            <v>PVC SUSPENDED PIPING SUPPLY &amp; INSTALLATION SERIES HEAVY 3"Ø</v>
          </cell>
          <cell r="F277" t="str">
            <v>Ml</v>
          </cell>
          <cell r="G277">
            <v>0</v>
          </cell>
        </row>
        <row r="278">
          <cell r="D278">
            <v>2</v>
          </cell>
          <cell r="E278" t="str">
            <v>PVC SUSPENDED PIPING SUPPLY &amp; INSTALLATION SERIES HEAVY 2"Ø</v>
          </cell>
          <cell r="F278" t="str">
            <v>Ml</v>
          </cell>
          <cell r="G278">
            <v>0</v>
          </cell>
        </row>
        <row r="279">
          <cell r="D279">
            <v>2</v>
          </cell>
          <cell r="E279" t="str">
            <v>DRAINAGE WITHIN THE BUILDING 2nd LEVEL.</v>
          </cell>
          <cell r="F279">
            <v>0</v>
          </cell>
          <cell r="G279">
            <v>0.60240963855421692</v>
          </cell>
          <cell r="J279">
            <v>0</v>
          </cell>
        </row>
        <row r="280">
          <cell r="D280">
            <v>2</v>
          </cell>
          <cell r="E280" t="str">
            <v>PVC DRAINAGE  RISER HEAVY 4"Ø</v>
          </cell>
          <cell r="F280" t="str">
            <v>Ml</v>
          </cell>
          <cell r="G280">
            <v>0</v>
          </cell>
        </row>
        <row r="281">
          <cell r="D281">
            <v>2</v>
          </cell>
          <cell r="E281" t="str">
            <v>PVC VENT RISER  HEAVY 4"Ø</v>
          </cell>
          <cell r="F281" t="str">
            <v>Ml</v>
          </cell>
          <cell r="G281">
            <v>0</v>
          </cell>
        </row>
        <row r="282">
          <cell r="D282">
            <v>2</v>
          </cell>
          <cell r="E282" t="str">
            <v>PVC VENT RISER  HEAVY 3"Ø</v>
          </cell>
          <cell r="F282" t="str">
            <v>Ml</v>
          </cell>
          <cell r="G282">
            <v>0</v>
          </cell>
        </row>
        <row r="283">
          <cell r="D283">
            <v>2</v>
          </cell>
          <cell r="E283" t="str">
            <v>PVC VENT RISER  HEAVY 2"Ø</v>
          </cell>
          <cell r="F283" t="str">
            <v>Ml</v>
          </cell>
          <cell r="G283">
            <v>0</v>
          </cell>
        </row>
        <row r="284">
          <cell r="D284">
            <v>2</v>
          </cell>
          <cell r="E284" t="str">
            <v>PVC SUSPENDED PIPING SUPPLY &amp; INSTALLATION SERIES HEAVY 4"Ø</v>
          </cell>
          <cell r="F284" t="str">
            <v>Ml</v>
          </cell>
          <cell r="G284">
            <v>0</v>
          </cell>
        </row>
        <row r="285">
          <cell r="D285">
            <v>2</v>
          </cell>
          <cell r="E285" t="str">
            <v>PVC SUSPENDED PIPING SUPPLY &amp; INSTALLATION SERIES HEAVY 3"Ø</v>
          </cell>
          <cell r="F285" t="str">
            <v>Ml</v>
          </cell>
          <cell r="G285">
            <v>0</v>
          </cell>
        </row>
        <row r="286">
          <cell r="D286">
            <v>2</v>
          </cell>
          <cell r="E286" t="str">
            <v>PVC SUSPENDED PIPING SUPPLY &amp; INSTALLATION SERIES HEAVY 2"Ø</v>
          </cell>
          <cell r="F286" t="str">
            <v>Ml</v>
          </cell>
          <cell r="G286">
            <v>0</v>
          </cell>
        </row>
        <row r="287">
          <cell r="D287">
            <v>2</v>
          </cell>
          <cell r="E287" t="str">
            <v>DRAINAGE WITHIN THE BUILDING 2nd LEVEL.</v>
          </cell>
          <cell r="F287">
            <v>0</v>
          </cell>
          <cell r="G287">
            <v>0.52600472813238774</v>
          </cell>
          <cell r="J28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BASE"/>
      <sheetName val="QURR"/>
      <sheetName val="QURR (2)"/>
      <sheetName val="S"/>
      <sheetName val="Ponderados"/>
      <sheetName val="%Blocks"/>
      <sheetName val="Pond_Baños"/>
      <sheetName val="4 Week Sche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D2">
            <v>1</v>
          </cell>
          <cell r="E2" t="str">
            <v>SUPPLY AND INST-OF CARBON STEEL GALVANIZED PIPING SCH40 2 1/2"Ø</v>
          </cell>
          <cell r="F2" t="str">
            <v>Ml</v>
          </cell>
          <cell r="H2">
            <v>1.6</v>
          </cell>
          <cell r="I2">
            <v>1.6</v>
          </cell>
          <cell r="L2">
            <v>1.6</v>
          </cell>
        </row>
        <row r="3">
          <cell r="D3">
            <v>1</v>
          </cell>
          <cell r="E3" t="str">
            <v>SUPPLY AND INST-OF CARBON STEEL GALVANIZED PIPING SCH 80  2"Ø</v>
          </cell>
          <cell r="F3" t="str">
            <v>Ml</v>
          </cell>
          <cell r="H3">
            <v>10.7</v>
          </cell>
          <cell r="I3">
            <v>10.7</v>
          </cell>
          <cell r="L3">
            <v>10.7</v>
          </cell>
        </row>
        <row r="4">
          <cell r="D4">
            <v>1</v>
          </cell>
          <cell r="E4" t="str">
            <v>SUPPLY AND INST-OF CARBON STEEL GALVANIZED PIPING SCH 80  1 1/2"Ø</v>
          </cell>
          <cell r="F4" t="str">
            <v>Ml</v>
          </cell>
          <cell r="H4">
            <v>7</v>
          </cell>
          <cell r="I4">
            <v>7</v>
          </cell>
          <cell r="L4">
            <v>7</v>
          </cell>
        </row>
        <row r="5">
          <cell r="D5">
            <v>1</v>
          </cell>
          <cell r="E5" t="str">
            <v>SUPPLY AND INST-OF CARBON STEEL GALVANIZED PIPING SCH 80  1 1/4"Ø</v>
          </cell>
          <cell r="F5" t="str">
            <v>Ml</v>
          </cell>
          <cell r="H5">
            <v>2</v>
          </cell>
          <cell r="I5">
            <v>2</v>
          </cell>
          <cell r="L5">
            <v>2</v>
          </cell>
        </row>
        <row r="6">
          <cell r="D6">
            <v>1</v>
          </cell>
          <cell r="E6" t="str">
            <v>SUPPLY AND INST-OF CARBON STEEL GALVANIZED PIPING SCH 80  1"Ø</v>
          </cell>
          <cell r="F6" t="str">
            <v>Ml</v>
          </cell>
          <cell r="H6">
            <v>12.3</v>
          </cell>
          <cell r="I6">
            <v>12.3</v>
          </cell>
          <cell r="L6">
            <v>12.3</v>
          </cell>
        </row>
        <row r="7">
          <cell r="D7">
            <v>1</v>
          </cell>
          <cell r="E7" t="str">
            <v>SUPPLY AND INST-OF CARBON STEEL GALVANIZED PIPING SCH 80  3/4"Ø</v>
          </cell>
          <cell r="F7" t="str">
            <v>Ml</v>
          </cell>
          <cell r="H7">
            <v>0.4</v>
          </cell>
          <cell r="I7">
            <v>0.4</v>
          </cell>
          <cell r="L7">
            <v>0.4</v>
          </cell>
        </row>
        <row r="8">
          <cell r="D8">
            <v>1</v>
          </cell>
          <cell r="E8" t="str">
            <v>SUPPLY AND INST-OF CARBON STEEL GALVANIZED PIPING SCH 80  1/2"Ø</v>
          </cell>
          <cell r="F8" t="str">
            <v>Ml</v>
          </cell>
          <cell r="H8">
            <v>3.3</v>
          </cell>
          <cell r="I8">
            <v>3.3</v>
          </cell>
          <cell r="L8">
            <v>3.3</v>
          </cell>
        </row>
        <row r="9">
          <cell r="A9" t="str">
            <v>1.01.02</v>
          </cell>
          <cell r="B9" t="str">
            <v>TE</v>
          </cell>
          <cell r="C9" t="str">
            <v>24-24'/C-D</v>
          </cell>
          <cell r="D9">
            <v>1</v>
          </cell>
          <cell r="E9" t="str">
            <v xml:space="preserve">POTABLE WATER WITHIN THE BUILDING 1st LEVEL. 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</row>
        <row r="10">
          <cell r="D10">
            <v>1</v>
          </cell>
          <cell r="E10" t="str">
            <v>SUPPLY AND INST-OF CARBON STEEL GALVANIZED PIPING SCH40 2 1/2"Ø</v>
          </cell>
          <cell r="F10" t="str">
            <v>Ml</v>
          </cell>
          <cell r="H10">
            <v>0</v>
          </cell>
          <cell r="I10">
            <v>0</v>
          </cell>
          <cell r="L10">
            <v>1.6</v>
          </cell>
        </row>
        <row r="11">
          <cell r="D11">
            <v>1</v>
          </cell>
          <cell r="E11" t="str">
            <v>SUPPLY AND INST-OF CARBON STEEL GALVANIZED PIPING SCH 80  2"Ø</v>
          </cell>
          <cell r="F11" t="str">
            <v>Ml</v>
          </cell>
          <cell r="H11">
            <v>0</v>
          </cell>
          <cell r="I11">
            <v>0</v>
          </cell>
          <cell r="L11">
            <v>10.1</v>
          </cell>
        </row>
        <row r="12">
          <cell r="D12">
            <v>1</v>
          </cell>
          <cell r="E12" t="str">
            <v>SUPPLY AND INST-OF CARBON STEEL GALVANIZED PIPING SCH 80  1 1/2"Ø</v>
          </cell>
          <cell r="F12" t="str">
            <v>Ml</v>
          </cell>
          <cell r="H12">
            <v>0</v>
          </cell>
          <cell r="I12">
            <v>0</v>
          </cell>
          <cell r="L12">
            <v>6.6</v>
          </cell>
        </row>
        <row r="13">
          <cell r="D13">
            <v>1</v>
          </cell>
          <cell r="E13" t="str">
            <v>SUPPLY AND INST-OF CARBON STEEL GALVANIZED PIPING SCH 80  1 1/4"Ø</v>
          </cell>
          <cell r="F13" t="str">
            <v>Ml</v>
          </cell>
          <cell r="H13">
            <v>0</v>
          </cell>
          <cell r="I13">
            <v>0</v>
          </cell>
          <cell r="L13">
            <v>2</v>
          </cell>
        </row>
        <row r="14">
          <cell r="D14">
            <v>1</v>
          </cell>
          <cell r="E14" t="str">
            <v>SUPPLY AND INST-OF CARBON STEEL GALVANIZED PIPING SCH 80  1"Ø</v>
          </cell>
          <cell r="F14" t="str">
            <v>Ml</v>
          </cell>
          <cell r="H14">
            <v>0</v>
          </cell>
          <cell r="I14">
            <v>0</v>
          </cell>
          <cell r="L14">
            <v>11.7</v>
          </cell>
        </row>
        <row r="15">
          <cell r="D15">
            <v>1</v>
          </cell>
          <cell r="E15" t="str">
            <v>SUPPLY AND INST-OF CARBON STEEL GALVANIZED PIPING SCH 80  3/4"Ø</v>
          </cell>
          <cell r="F15" t="str">
            <v>Ml</v>
          </cell>
          <cell r="H15">
            <v>0</v>
          </cell>
          <cell r="I15">
            <v>0</v>
          </cell>
          <cell r="L15">
            <v>0.4</v>
          </cell>
        </row>
        <row r="16">
          <cell r="D16">
            <v>1</v>
          </cell>
          <cell r="E16" t="str">
            <v>SUPPLY AND INST-OF CARBON STEEL GALVANIZED PIPING SCH 80  1/2"Ø</v>
          </cell>
          <cell r="F16" t="str">
            <v>Ml</v>
          </cell>
          <cell r="H16">
            <v>0</v>
          </cell>
          <cell r="I16">
            <v>0</v>
          </cell>
          <cell r="L16">
            <v>3.1</v>
          </cell>
        </row>
        <row r="17">
          <cell r="A17" t="str">
            <v>1.01.02</v>
          </cell>
          <cell r="B17" t="str">
            <v>TE</v>
          </cell>
          <cell r="C17" t="str">
            <v>10-11/C-E</v>
          </cell>
          <cell r="D17">
            <v>1</v>
          </cell>
          <cell r="E17" t="str">
            <v>POTABLE WATER WITHIN THE BUILDING 1st LEVEL.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1</v>
          </cell>
          <cell r="E18" t="str">
            <v>SUPPLY AND INST-OF CARBON STEEL GALVANIZED PIPING SCH40 2 1/2"Ø</v>
          </cell>
          <cell r="F18" t="str">
            <v>Ml</v>
          </cell>
          <cell r="H18">
            <v>0.8</v>
          </cell>
          <cell r="I18">
            <v>0.8</v>
          </cell>
          <cell r="L18">
            <v>0.8</v>
          </cell>
        </row>
        <row r="19">
          <cell r="D19">
            <v>1</v>
          </cell>
          <cell r="E19" t="str">
            <v>SUPPLY AND INST-OF CARBON STEEL GALVANIZED PIPING SCH 80  2"Ø</v>
          </cell>
          <cell r="F19" t="str">
            <v>Ml</v>
          </cell>
          <cell r="H19">
            <v>5.2</v>
          </cell>
          <cell r="I19">
            <v>5.2</v>
          </cell>
          <cell r="L19">
            <v>5.2</v>
          </cell>
        </row>
        <row r="20">
          <cell r="D20">
            <v>1</v>
          </cell>
          <cell r="E20" t="str">
            <v>SUPPLY AND INST-OF CARBON STEEL GALVANIZED PIPING SCH 80  1 1/2"Ø</v>
          </cell>
          <cell r="F20" t="str">
            <v>Ml</v>
          </cell>
          <cell r="H20">
            <v>3.4</v>
          </cell>
          <cell r="I20">
            <v>3.4</v>
          </cell>
          <cell r="L20">
            <v>3.4</v>
          </cell>
        </row>
        <row r="21">
          <cell r="D21">
            <v>1</v>
          </cell>
          <cell r="E21" t="str">
            <v>SUPPLY AND INST-OF CARBON STEEL GALVANIZED PIPING SCH 80  1 1/4"Ø</v>
          </cell>
          <cell r="F21" t="str">
            <v>Ml</v>
          </cell>
          <cell r="H21">
            <v>1</v>
          </cell>
          <cell r="I21">
            <v>1</v>
          </cell>
          <cell r="L21">
            <v>1</v>
          </cell>
        </row>
        <row r="22">
          <cell r="D22">
            <v>1</v>
          </cell>
          <cell r="E22" t="str">
            <v>SUPPLY AND INST-OF CARBON STEEL GALVANIZED PIPING SCH 80  1"Ø</v>
          </cell>
          <cell r="F22" t="str">
            <v>Ml</v>
          </cell>
          <cell r="H22">
            <v>6</v>
          </cell>
          <cell r="I22">
            <v>6</v>
          </cell>
          <cell r="L22">
            <v>6</v>
          </cell>
        </row>
        <row r="23">
          <cell r="D23">
            <v>1</v>
          </cell>
          <cell r="E23" t="str">
            <v>SUPPLY AND INST-OF CARBON STEEL GALVANIZED PIPING SCH 80  3/4"Ø</v>
          </cell>
          <cell r="F23" t="str">
            <v>Ml</v>
          </cell>
          <cell r="H23">
            <v>0.2</v>
          </cell>
          <cell r="I23">
            <v>0.2</v>
          </cell>
          <cell r="L23">
            <v>0.2</v>
          </cell>
        </row>
        <row r="24">
          <cell r="D24">
            <v>1</v>
          </cell>
          <cell r="E24" t="str">
            <v>SUPPLY AND INST-OF CARBON STEEL GALVANIZED PIPING SCH 80  1/2"Ø</v>
          </cell>
          <cell r="F24" t="str">
            <v>Ml</v>
          </cell>
          <cell r="H24">
            <v>1.6</v>
          </cell>
          <cell r="I24">
            <v>1.6</v>
          </cell>
          <cell r="L24">
            <v>1.6</v>
          </cell>
        </row>
        <row r="25">
          <cell r="A25" t="str">
            <v>1.01.02</v>
          </cell>
          <cell r="B25" t="str">
            <v>TE</v>
          </cell>
          <cell r="C25" t="str">
            <v xml:space="preserve">21-22/E-E' </v>
          </cell>
          <cell r="D25">
            <v>1</v>
          </cell>
          <cell r="E25" t="str">
            <v>POTABLE WATER WITHIN THE BUILDING 1st LEVEL.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</row>
        <row r="26">
          <cell r="D26">
            <v>1</v>
          </cell>
          <cell r="E26" t="str">
            <v>SUPPLY AND INST OF CARBON STEEL GALVANIZED PIPINGSCH  40 3"Ø</v>
          </cell>
          <cell r="F26" t="str">
            <v>Ml</v>
          </cell>
          <cell r="H26">
            <v>3</v>
          </cell>
          <cell r="I26">
            <v>3</v>
          </cell>
          <cell r="L26">
            <v>3</v>
          </cell>
        </row>
        <row r="27">
          <cell r="D27">
            <v>1</v>
          </cell>
          <cell r="E27" t="str">
            <v>SUPPLY AND INST-OF CARBON STEEL GALVANIZED PIPING SCH 80  2"Ø</v>
          </cell>
          <cell r="F27" t="str">
            <v>Ml</v>
          </cell>
          <cell r="H27">
            <v>22</v>
          </cell>
          <cell r="I27">
            <v>22</v>
          </cell>
          <cell r="L27">
            <v>22</v>
          </cell>
        </row>
        <row r="28">
          <cell r="D28">
            <v>1</v>
          </cell>
          <cell r="E28" t="str">
            <v>SUPPLY AND INST-OF CARBON STEEL GALVANIZED PIPING SCH 80  1 1/2"Ø</v>
          </cell>
          <cell r="F28" t="str">
            <v>Ml</v>
          </cell>
          <cell r="H28">
            <v>22</v>
          </cell>
          <cell r="I28">
            <v>22</v>
          </cell>
          <cell r="L28">
            <v>22</v>
          </cell>
        </row>
        <row r="29">
          <cell r="D29">
            <v>1</v>
          </cell>
          <cell r="E29" t="str">
            <v>SUPPLY AND INST-OF CARBON STEEL GALVANIZED PIPING SCH 80  1 1/4"Ø</v>
          </cell>
          <cell r="F29" t="str">
            <v>Ml</v>
          </cell>
          <cell r="H29">
            <v>6</v>
          </cell>
          <cell r="I29">
            <v>6</v>
          </cell>
          <cell r="L29">
            <v>6</v>
          </cell>
        </row>
        <row r="30">
          <cell r="D30">
            <v>1</v>
          </cell>
          <cell r="E30" t="str">
            <v>SUPPLY AND INST-OF CARBON STEEL GALVANIZED PIPING SCH 80  1"Ø</v>
          </cell>
          <cell r="F30" t="str">
            <v>Ml</v>
          </cell>
          <cell r="H30">
            <v>16</v>
          </cell>
          <cell r="I30">
            <v>16</v>
          </cell>
          <cell r="L30">
            <v>16</v>
          </cell>
        </row>
        <row r="31">
          <cell r="D31">
            <v>1</v>
          </cell>
          <cell r="E31" t="str">
            <v>SUPPLY AND INST-OF CARBON STEEL GALVANIZED PIPING SCH 80  3/4"Ø</v>
          </cell>
          <cell r="F31" t="str">
            <v>Ml</v>
          </cell>
          <cell r="H31">
            <v>10</v>
          </cell>
          <cell r="I31">
            <v>10</v>
          </cell>
          <cell r="L31">
            <v>10</v>
          </cell>
        </row>
        <row r="32">
          <cell r="D32">
            <v>1</v>
          </cell>
          <cell r="E32" t="str">
            <v>SUPPLY AND INST-OF CARBON STEEL GALVANIZED PIPING SCH 80  1/2"Ø</v>
          </cell>
          <cell r="F32" t="str">
            <v>Ml</v>
          </cell>
          <cell r="H32">
            <v>18</v>
          </cell>
          <cell r="I32">
            <v>18</v>
          </cell>
          <cell r="L32">
            <v>18</v>
          </cell>
        </row>
        <row r="33">
          <cell r="A33" t="str">
            <v>1.02.05</v>
          </cell>
          <cell r="B33" t="str">
            <v>PP</v>
          </cell>
          <cell r="C33" t="str">
            <v>C15-C17/3P-4P</v>
          </cell>
          <cell r="D33">
            <v>1</v>
          </cell>
          <cell r="E33" t="str">
            <v xml:space="preserve">POTABLE WATER WITHIN THE BUILDING 1st LEVEL. 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</row>
        <row r="34">
          <cell r="D34">
            <v>2</v>
          </cell>
          <cell r="E34" t="str">
            <v>SUPPLY AND INST OF CARBON STEEL GALVANIZED PIPING SCH  40 3"Ø</v>
          </cell>
          <cell r="F34" t="str">
            <v>Ml</v>
          </cell>
          <cell r="H34">
            <v>1.3</v>
          </cell>
          <cell r="I34">
            <v>1.3</v>
          </cell>
          <cell r="L34">
            <v>1.3</v>
          </cell>
        </row>
        <row r="35">
          <cell r="D35">
            <v>2</v>
          </cell>
          <cell r="E35" t="str">
            <v>SUPPLY AND INST-OF CARBON STEEL GALVANIZED PIPING SCH 40 2 1/2"Ø</v>
          </cell>
          <cell r="F35" t="str">
            <v>Ml</v>
          </cell>
          <cell r="H35">
            <v>5.9</v>
          </cell>
          <cell r="I35">
            <v>5.9</v>
          </cell>
          <cell r="L35">
            <v>5.9</v>
          </cell>
        </row>
        <row r="36">
          <cell r="D36">
            <v>2</v>
          </cell>
          <cell r="E36" t="str">
            <v>SUPPLY AND INST-OF CARBON STEEL GALVANIZED PIPING SCH 80  2"Ø</v>
          </cell>
          <cell r="F36" t="str">
            <v>Ml</v>
          </cell>
          <cell r="H36">
            <v>23.5</v>
          </cell>
          <cell r="I36">
            <v>23.5</v>
          </cell>
          <cell r="L36">
            <v>23.5</v>
          </cell>
        </row>
        <row r="37">
          <cell r="D37">
            <v>2</v>
          </cell>
          <cell r="E37" t="str">
            <v>SUPPLY AND INST-OF CARBON STEEL GALVANIZED PIPING SCH 80  1 1/2"Ø</v>
          </cell>
          <cell r="F37" t="str">
            <v>Ml</v>
          </cell>
          <cell r="H37">
            <v>1.3</v>
          </cell>
          <cell r="I37">
            <v>1.3</v>
          </cell>
          <cell r="L37">
            <v>1.3</v>
          </cell>
        </row>
        <row r="38">
          <cell r="D38">
            <v>2</v>
          </cell>
          <cell r="E38" t="str">
            <v>SUPPLY AND INST-OF CARBON STEEL GALVANIZED PIPING SCH 80  1 1/4"Ø</v>
          </cell>
          <cell r="F38" t="str">
            <v>Ml</v>
          </cell>
          <cell r="H38">
            <v>1.3</v>
          </cell>
          <cell r="I38">
            <v>1.3</v>
          </cell>
          <cell r="L38">
            <v>1.3</v>
          </cell>
        </row>
        <row r="39">
          <cell r="D39">
            <v>2</v>
          </cell>
          <cell r="E39" t="str">
            <v>SUPPLY AND INST-OF CARBON STEEL GALVANIZED PIPING SCH 80  1"Ø</v>
          </cell>
          <cell r="F39" t="str">
            <v>Ml</v>
          </cell>
          <cell r="H39">
            <v>17.600000000000001</v>
          </cell>
          <cell r="I39">
            <v>17.600000000000001</v>
          </cell>
          <cell r="L39">
            <v>17.600000000000001</v>
          </cell>
        </row>
        <row r="40">
          <cell r="D40">
            <v>2</v>
          </cell>
          <cell r="E40" t="str">
            <v>SUPPLY AND INST-OF CARBON STEEL GALVANIZED PIPING SCH 80  3/4"Ø</v>
          </cell>
          <cell r="F40" t="str">
            <v>Ml</v>
          </cell>
          <cell r="H40">
            <v>3.8</v>
          </cell>
          <cell r="I40">
            <v>3.8</v>
          </cell>
          <cell r="L40">
            <v>3.8</v>
          </cell>
        </row>
        <row r="41">
          <cell r="D41">
            <v>2</v>
          </cell>
          <cell r="E41" t="str">
            <v>SUPPLY AND INST-OF CARBON STEEL GALVANIZED PIPING SCH 80  1/2"Ø</v>
          </cell>
          <cell r="F41" t="str">
            <v>Ml</v>
          </cell>
          <cell r="H41">
            <v>18.5</v>
          </cell>
          <cell r="I41">
            <v>18.5</v>
          </cell>
          <cell r="L41">
            <v>18.5</v>
          </cell>
        </row>
        <row r="42">
          <cell r="A42" t="str">
            <v>1.02.06</v>
          </cell>
          <cell r="B42" t="str">
            <v>PP</v>
          </cell>
          <cell r="C42" t="str">
            <v>C15-C18/3P-4P</v>
          </cell>
          <cell r="D42">
            <v>2</v>
          </cell>
          <cell r="E42" t="str">
            <v>POTABLE WATER WITHIN THE BUILDING 2nd LEVEL.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</row>
        <row r="43">
          <cell r="D43">
            <v>2</v>
          </cell>
          <cell r="E43" t="str">
            <v>SUPPLY AND INST OF CARBON STEEL GALVANIZED PIPING SCH  40 3"Ø</v>
          </cell>
          <cell r="F43" t="str">
            <v>Ml</v>
          </cell>
          <cell r="H43">
            <v>1.3</v>
          </cell>
          <cell r="I43">
            <v>1.3</v>
          </cell>
          <cell r="L43">
            <v>1.3</v>
          </cell>
        </row>
        <row r="44">
          <cell r="D44">
            <v>2</v>
          </cell>
          <cell r="E44" t="str">
            <v>SUPPLY AND INST-OF CARBON STEEL GALVANIZED PIPING SCH 40 2 1/2"Ø</v>
          </cell>
          <cell r="F44" t="str">
            <v>Ml</v>
          </cell>
          <cell r="H44">
            <v>6.2</v>
          </cell>
          <cell r="I44">
            <v>6.2</v>
          </cell>
          <cell r="L44">
            <v>6.2</v>
          </cell>
        </row>
        <row r="45">
          <cell r="D45">
            <v>2</v>
          </cell>
          <cell r="E45" t="str">
            <v>SUPPLY AND INST-OF CARBON STEEL GALVANIZED PIPING SCH 80  2"Ø</v>
          </cell>
          <cell r="F45" t="str">
            <v>Ml</v>
          </cell>
          <cell r="H45">
            <v>24.6</v>
          </cell>
          <cell r="I45">
            <v>24.6</v>
          </cell>
          <cell r="L45">
            <v>24.6</v>
          </cell>
        </row>
        <row r="46">
          <cell r="D46">
            <v>2</v>
          </cell>
          <cell r="E46" t="str">
            <v>SUPPLY AND INST-OF CARBON STEEL GALVANIZED PIPING SCH 80  1 1/2"Ø</v>
          </cell>
          <cell r="F46" t="str">
            <v>Ml</v>
          </cell>
          <cell r="H46">
            <v>1.3</v>
          </cell>
          <cell r="I46">
            <v>1.3</v>
          </cell>
          <cell r="L46">
            <v>1.3</v>
          </cell>
        </row>
        <row r="47">
          <cell r="D47">
            <v>2</v>
          </cell>
          <cell r="E47" t="str">
            <v>SUPPLY AND INST-OF CARBON STEEL GALVANIZED PIPING SCH 80  1 1/4"Ø</v>
          </cell>
          <cell r="F47" t="str">
            <v>Ml</v>
          </cell>
          <cell r="H47">
            <v>1.3</v>
          </cell>
          <cell r="I47">
            <v>1.3</v>
          </cell>
          <cell r="L47">
            <v>1.3</v>
          </cell>
        </row>
        <row r="48">
          <cell r="D48">
            <v>2</v>
          </cell>
          <cell r="E48" t="str">
            <v>SUPPLY AND INST-OF CARBON STEEL GALVANIZED PIPING SCH 80  1"Ø</v>
          </cell>
          <cell r="F48" t="str">
            <v>Ml</v>
          </cell>
          <cell r="H48">
            <v>18.5</v>
          </cell>
          <cell r="I48">
            <v>18.5</v>
          </cell>
          <cell r="L48">
            <v>18.5</v>
          </cell>
        </row>
        <row r="49">
          <cell r="D49">
            <v>2</v>
          </cell>
          <cell r="E49" t="str">
            <v>SUPPLY AND INST-OF CARBON STEEL GALVANIZED PIPING SCH 80  3/4"Ø</v>
          </cell>
          <cell r="F49" t="str">
            <v>Ml</v>
          </cell>
          <cell r="H49">
            <v>4</v>
          </cell>
          <cell r="I49">
            <v>4</v>
          </cell>
          <cell r="L49">
            <v>4</v>
          </cell>
        </row>
        <row r="50">
          <cell r="D50">
            <v>2</v>
          </cell>
          <cell r="E50" t="str">
            <v>SUPPLY AND INST-OF CARBON STEEL GALVANIZED PIPING SCH 80  1/2"Ø</v>
          </cell>
          <cell r="F50" t="str">
            <v>Ml</v>
          </cell>
          <cell r="H50">
            <v>19.399999999999999</v>
          </cell>
          <cell r="I50">
            <v>19.399999999999999</v>
          </cell>
          <cell r="L50">
            <v>19.399999999999999</v>
          </cell>
        </row>
        <row r="51">
          <cell r="A51" t="str">
            <v>1.02.06</v>
          </cell>
          <cell r="B51" t="str">
            <v>PP</v>
          </cell>
          <cell r="C51" t="str">
            <v>C22-C23/3P-5P</v>
          </cell>
          <cell r="D51">
            <v>2</v>
          </cell>
          <cell r="E51" t="str">
            <v>POTABLE WATER WITHIN THE BUILDING 2nd LEVEL.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</row>
        <row r="52">
          <cell r="D52">
            <v>2</v>
          </cell>
          <cell r="E52" t="str">
            <v>SUPPLY AND INST OF CARBON STEEL GALVANIZED PIPING SCH  40 3"Ø</v>
          </cell>
          <cell r="F52" t="str">
            <v>Ml</v>
          </cell>
          <cell r="H52">
            <v>0.2</v>
          </cell>
          <cell r="I52">
            <v>0.2</v>
          </cell>
          <cell r="L52">
            <v>0.2</v>
          </cell>
        </row>
        <row r="53">
          <cell r="D53">
            <v>2</v>
          </cell>
          <cell r="E53" t="str">
            <v>SUPPLY AND INST-OF CARBON STEEL GALVANIZED PIPING SCH 40 2 1/2"Ø</v>
          </cell>
          <cell r="F53" t="str">
            <v>Ml</v>
          </cell>
          <cell r="H53">
            <v>0.8</v>
          </cell>
          <cell r="I53">
            <v>0.8</v>
          </cell>
          <cell r="L53">
            <v>0.8</v>
          </cell>
        </row>
        <row r="54">
          <cell r="D54">
            <v>2</v>
          </cell>
          <cell r="E54" t="str">
            <v>SUPPLY AND INST-OF CARBON STEEL GALVANIZED PIPING SCH 80  2"Ø</v>
          </cell>
          <cell r="F54" t="str">
            <v>Ml</v>
          </cell>
          <cell r="H54">
            <v>3.4</v>
          </cell>
          <cell r="I54">
            <v>3.4</v>
          </cell>
          <cell r="L54">
            <v>3.4</v>
          </cell>
        </row>
        <row r="55">
          <cell r="D55">
            <v>2</v>
          </cell>
          <cell r="E55" t="str">
            <v>SUPPLY AND INST-OF CARBON STEEL GALVANIZED PIPING SCH 80  1 1/2"Ø</v>
          </cell>
          <cell r="F55" t="str">
            <v>Ml</v>
          </cell>
          <cell r="H55">
            <v>0.2</v>
          </cell>
          <cell r="I55">
            <v>0.2</v>
          </cell>
          <cell r="L55">
            <v>0.2</v>
          </cell>
        </row>
        <row r="56">
          <cell r="D56">
            <v>2</v>
          </cell>
          <cell r="E56" t="str">
            <v>SUPPLY AND INST-OF CARBON STEEL GALVANIZED PIPING SCH 80  1 1/4"Ø</v>
          </cell>
          <cell r="F56" t="str">
            <v>Ml</v>
          </cell>
          <cell r="H56">
            <v>0.2</v>
          </cell>
          <cell r="I56">
            <v>0.2</v>
          </cell>
          <cell r="L56">
            <v>0.2</v>
          </cell>
        </row>
        <row r="57">
          <cell r="D57">
            <v>2</v>
          </cell>
          <cell r="E57" t="str">
            <v>SUPPLY AND INST-OF CARBON STEEL GALVANIZED PIPING SCH 80  1"Ø</v>
          </cell>
          <cell r="F57" t="str">
            <v>Ml</v>
          </cell>
          <cell r="H57">
            <v>2.5</v>
          </cell>
          <cell r="I57">
            <v>2.5</v>
          </cell>
          <cell r="L57">
            <v>2.5</v>
          </cell>
        </row>
        <row r="58">
          <cell r="D58">
            <v>2</v>
          </cell>
          <cell r="E58" t="str">
            <v>SUPPLY AND INST-OF CARBON STEEL GALVANIZED PIPING SCH 80  3/4"Ø</v>
          </cell>
          <cell r="F58" t="str">
            <v>Ml</v>
          </cell>
          <cell r="H58">
            <v>0.5</v>
          </cell>
          <cell r="I58">
            <v>0.5</v>
          </cell>
          <cell r="L58">
            <v>0.5</v>
          </cell>
        </row>
        <row r="59">
          <cell r="D59">
            <v>2</v>
          </cell>
          <cell r="E59" t="str">
            <v>SUPPLY AND INST-OF CARBON STEEL GALVANIZED PIPING SCH 80  1/2"Ø</v>
          </cell>
          <cell r="F59" t="str">
            <v>Ml</v>
          </cell>
          <cell r="H59">
            <v>2.6</v>
          </cell>
          <cell r="I59">
            <v>2.6</v>
          </cell>
          <cell r="L59">
            <v>2.6</v>
          </cell>
        </row>
        <row r="60">
          <cell r="A60" t="str">
            <v>1.02.06</v>
          </cell>
          <cell r="B60" t="str">
            <v>PP</v>
          </cell>
          <cell r="C60" t="str">
            <v>C22-C23/6P</v>
          </cell>
          <cell r="D60">
            <v>2</v>
          </cell>
          <cell r="E60" t="str">
            <v>POTABLE WATER WITHIN THE BUILDING 2nd LEVEL.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</row>
        <row r="61">
          <cell r="D61">
            <v>2</v>
          </cell>
          <cell r="E61" t="str">
            <v>SUPPLY AND INST OF CARBON STEEL GALVANIZED PIPING SCH  40 3"Ø</v>
          </cell>
          <cell r="F61" t="str">
            <v>Ml</v>
          </cell>
          <cell r="H61">
            <v>0.2</v>
          </cell>
          <cell r="I61">
            <v>0.2</v>
          </cell>
          <cell r="L61">
            <v>0.2</v>
          </cell>
        </row>
        <row r="62">
          <cell r="D62">
            <v>2</v>
          </cell>
          <cell r="E62" t="str">
            <v>SUPPLY AND INST-OF CARBON STEEL GALVANIZED PIPING SCH 40 2 1/2"Ø</v>
          </cell>
          <cell r="F62" t="str">
            <v>Ml</v>
          </cell>
          <cell r="H62">
            <v>1.1000000000000001</v>
          </cell>
          <cell r="I62">
            <v>1.1000000000000001</v>
          </cell>
          <cell r="L62">
            <v>1.1000000000000001</v>
          </cell>
        </row>
        <row r="63">
          <cell r="D63">
            <v>2</v>
          </cell>
          <cell r="E63" t="str">
            <v>SUPPLY AND INST-OF CARBON STEEL GALVANIZED PIPING SCH 80  2"Ø</v>
          </cell>
          <cell r="F63" t="str">
            <v>Ml</v>
          </cell>
          <cell r="H63">
            <v>4.5</v>
          </cell>
          <cell r="I63">
            <v>4.5</v>
          </cell>
          <cell r="L63">
            <v>4.5</v>
          </cell>
        </row>
        <row r="64">
          <cell r="D64">
            <v>2</v>
          </cell>
          <cell r="E64" t="str">
            <v>SUPPLY AND INST-OF CARBON STEEL GALVANIZED PIPING SCH 80  1 1/2"Ø</v>
          </cell>
          <cell r="F64" t="str">
            <v>Ml</v>
          </cell>
          <cell r="H64">
            <v>0.2</v>
          </cell>
          <cell r="I64">
            <v>0.2</v>
          </cell>
          <cell r="L64">
            <v>0.2</v>
          </cell>
        </row>
        <row r="65">
          <cell r="D65">
            <v>2</v>
          </cell>
          <cell r="E65" t="str">
            <v>SUPPLY AND INST-OF CARBON STEEL GALVANIZED PIPING SCH 80  1 1/4"Ø</v>
          </cell>
          <cell r="F65" t="str">
            <v>Ml</v>
          </cell>
          <cell r="H65">
            <v>0.2</v>
          </cell>
          <cell r="I65">
            <v>0.2</v>
          </cell>
          <cell r="L65">
            <v>0.2</v>
          </cell>
        </row>
        <row r="66">
          <cell r="D66">
            <v>2</v>
          </cell>
          <cell r="E66" t="str">
            <v>SUPPLY AND INST-OF CARBON STEEL GALVANIZED PIPING SCH 80  1"Ø</v>
          </cell>
          <cell r="F66" t="str">
            <v>Ml</v>
          </cell>
          <cell r="H66">
            <v>3.4</v>
          </cell>
          <cell r="I66">
            <v>3.4</v>
          </cell>
          <cell r="L66">
            <v>3.4</v>
          </cell>
        </row>
        <row r="67">
          <cell r="D67">
            <v>2</v>
          </cell>
          <cell r="E67" t="str">
            <v>SUPPLY AND INST-OF CARBON STEEL GALVANIZED PIPING SCH 80  3/4"Ø</v>
          </cell>
          <cell r="F67" t="str">
            <v>Ml</v>
          </cell>
          <cell r="H67">
            <v>0.7</v>
          </cell>
          <cell r="I67">
            <v>0.7</v>
          </cell>
          <cell r="L67">
            <v>0.7</v>
          </cell>
        </row>
        <row r="68">
          <cell r="D68">
            <v>2</v>
          </cell>
          <cell r="E68" t="str">
            <v>SUPPLY AND INST-OF CARBON STEEL GALVANIZED PIPING SCH 80  1/2"Ø</v>
          </cell>
          <cell r="F68" t="str">
            <v>Ml</v>
          </cell>
          <cell r="H68">
            <v>3.5</v>
          </cell>
          <cell r="I68">
            <v>3.5</v>
          </cell>
          <cell r="L68">
            <v>3.5</v>
          </cell>
        </row>
        <row r="69">
          <cell r="A69" t="str">
            <v>1.02.06</v>
          </cell>
          <cell r="B69" t="str">
            <v>PP</v>
          </cell>
          <cell r="C69" t="str">
            <v>C14-C15/8P</v>
          </cell>
          <cell r="D69">
            <v>2</v>
          </cell>
          <cell r="E69" t="str">
            <v xml:space="preserve">POTABLE WATER WITHIN THE BUILDING 2nd LEVEL. 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</row>
        <row r="70">
          <cell r="D70">
            <v>1</v>
          </cell>
          <cell r="E70" t="str">
            <v>SUPPLY AND INST-OF CARBON STEEL GALVANIZED PIPING SCH 40 2 1/2"Ø</v>
          </cell>
          <cell r="F70" t="str">
            <v>Ml</v>
          </cell>
          <cell r="H70">
            <v>0.7</v>
          </cell>
          <cell r="I70">
            <v>0.7</v>
          </cell>
          <cell r="L70">
            <v>0.7</v>
          </cell>
        </row>
        <row r="71">
          <cell r="D71">
            <v>1</v>
          </cell>
          <cell r="E71" t="str">
            <v>SUPPLY AND INST-OF CARBON STEEL GALVANIZED PIPING SCH 80  2"Ø</v>
          </cell>
          <cell r="F71" t="str">
            <v>Ml</v>
          </cell>
          <cell r="H71">
            <v>3.6</v>
          </cell>
          <cell r="I71">
            <v>3.6</v>
          </cell>
          <cell r="L71">
            <v>3.6</v>
          </cell>
        </row>
        <row r="72">
          <cell r="D72">
            <v>1</v>
          </cell>
          <cell r="E72" t="str">
            <v>SUPPLY AND INST-OF CARBON STEEL GALVANIZED PIPING SCH 80  1 1/2"Ø</v>
          </cell>
          <cell r="F72" t="str">
            <v>Ml</v>
          </cell>
          <cell r="H72">
            <v>10.5</v>
          </cell>
          <cell r="I72">
            <v>10.5</v>
          </cell>
          <cell r="L72">
            <v>10.5</v>
          </cell>
        </row>
        <row r="73">
          <cell r="D73">
            <v>1</v>
          </cell>
          <cell r="E73" t="str">
            <v>SUPPLY AND INST-OF CARBON STEEL GALVANIZED PIPING SCH 80  1 1/4"Ø</v>
          </cell>
          <cell r="F73" t="str">
            <v>Ml</v>
          </cell>
          <cell r="H73">
            <v>3.5</v>
          </cell>
          <cell r="I73">
            <v>3.5</v>
          </cell>
          <cell r="L73">
            <v>3.5</v>
          </cell>
        </row>
        <row r="74">
          <cell r="D74">
            <v>1</v>
          </cell>
          <cell r="E74" t="str">
            <v>SUPPLY AND INST-OF CARBON STEEL GALVANIZED PIPING SCH 80  1"Ø</v>
          </cell>
          <cell r="F74" t="str">
            <v>Ml</v>
          </cell>
          <cell r="H74">
            <v>4</v>
          </cell>
          <cell r="I74">
            <v>4</v>
          </cell>
          <cell r="L74">
            <v>4</v>
          </cell>
        </row>
        <row r="75">
          <cell r="D75">
            <v>1</v>
          </cell>
          <cell r="E75" t="str">
            <v>SUPPLY AND INST-OF CARBON STEEL GALVANIZED PIPING SCH 80  3/4"Ø</v>
          </cell>
          <cell r="F75" t="str">
            <v>Ml</v>
          </cell>
          <cell r="H75">
            <v>3.1</v>
          </cell>
          <cell r="I75">
            <v>3.1</v>
          </cell>
          <cell r="L75">
            <v>3.1</v>
          </cell>
        </row>
        <row r="76">
          <cell r="D76">
            <v>1</v>
          </cell>
          <cell r="E76" t="str">
            <v>SUPPLY AND INST-OF CARBON STEEL GALVANIZED PIPING SCH 80  1/2"Ø</v>
          </cell>
          <cell r="F76" t="str">
            <v>Ml</v>
          </cell>
          <cell r="H76">
            <v>10.1</v>
          </cell>
          <cell r="I76">
            <v>10.1</v>
          </cell>
          <cell r="L76">
            <v>10.1</v>
          </cell>
        </row>
        <row r="77">
          <cell r="A77" t="str">
            <v>1.03.04</v>
          </cell>
          <cell r="B77" t="str">
            <v>CON</v>
          </cell>
          <cell r="C77" t="str">
            <v>C11-C12/1C-2C</v>
          </cell>
          <cell r="D77">
            <v>1</v>
          </cell>
          <cell r="E77" t="str">
            <v>POTABLE WATER WITHIN THE BUILDING 1st LEVEL.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</row>
        <row r="78">
          <cell r="D78">
            <v>1</v>
          </cell>
          <cell r="E78" t="str">
            <v>SUPPLY AND INST-OF CARBON STEEL GALVANIZED PIPING SCH 40 2 1/2"Ø</v>
          </cell>
          <cell r="F78" t="str">
            <v>Ml</v>
          </cell>
          <cell r="H78">
            <v>0.4</v>
          </cell>
          <cell r="I78">
            <v>0.4</v>
          </cell>
          <cell r="L78">
            <v>0.4</v>
          </cell>
        </row>
        <row r="79">
          <cell r="D79">
            <v>1</v>
          </cell>
          <cell r="E79" t="str">
            <v>SUPPLY AND INST-OF CARBON STEEL GALVANIZED PIPING SCH 80  2"Ø</v>
          </cell>
          <cell r="F79" t="str">
            <v>Ml</v>
          </cell>
          <cell r="H79">
            <v>2.2000000000000002</v>
          </cell>
          <cell r="I79">
            <v>2.2000000000000002</v>
          </cell>
          <cell r="L79">
            <v>2.2000000000000002</v>
          </cell>
        </row>
        <row r="80">
          <cell r="D80">
            <v>1</v>
          </cell>
          <cell r="E80" t="str">
            <v>SUPPLY AND INST-OF CARBON STEEL GALVANIZED PIPING SCH 80  1 1/2"Ø</v>
          </cell>
          <cell r="F80" t="str">
            <v>Ml</v>
          </cell>
          <cell r="H80">
            <v>6.3</v>
          </cell>
          <cell r="I80">
            <v>6.3</v>
          </cell>
          <cell r="L80">
            <v>6.3</v>
          </cell>
        </row>
        <row r="81">
          <cell r="D81">
            <v>1</v>
          </cell>
          <cell r="E81" t="str">
            <v>SUPPLY AND INST-OF CARBON STEEL GALVANIZED PIPING SCH 80  1 1/4"Ø</v>
          </cell>
          <cell r="F81" t="str">
            <v>Ml</v>
          </cell>
          <cell r="H81">
            <v>2</v>
          </cell>
          <cell r="I81">
            <v>2</v>
          </cell>
          <cell r="L81">
            <v>2</v>
          </cell>
        </row>
        <row r="82">
          <cell r="D82">
            <v>1</v>
          </cell>
          <cell r="E82" t="str">
            <v>SUPPLY AND INST-OF CARBON STEEL GALVANIZED PIPING SCH 80  1"Ø</v>
          </cell>
          <cell r="F82" t="str">
            <v>Ml</v>
          </cell>
          <cell r="H82">
            <v>2.5</v>
          </cell>
          <cell r="I82">
            <v>2.5</v>
          </cell>
          <cell r="L82">
            <v>2.5</v>
          </cell>
        </row>
        <row r="83">
          <cell r="D83">
            <v>1</v>
          </cell>
          <cell r="E83" t="str">
            <v>SUPPLY AND INST-OF CARBON STEEL GALVANIZED PIPING SCH 80  3/4"Ø</v>
          </cell>
          <cell r="F83" t="str">
            <v>Ml</v>
          </cell>
          <cell r="H83">
            <v>1.9</v>
          </cell>
          <cell r="I83">
            <v>1.9</v>
          </cell>
          <cell r="L83">
            <v>1.9</v>
          </cell>
        </row>
        <row r="84">
          <cell r="D84">
            <v>1</v>
          </cell>
          <cell r="E84" t="str">
            <v>SUPPLY AND INST-OF CARBON STEEL GALVANIZED PIPING SCH 80  1/2"Ø</v>
          </cell>
          <cell r="F84" t="str">
            <v>Ml</v>
          </cell>
          <cell r="H84">
            <v>6.1</v>
          </cell>
          <cell r="I84">
            <v>6.1</v>
          </cell>
          <cell r="L84">
            <v>6.1</v>
          </cell>
        </row>
        <row r="85">
          <cell r="A85" t="str">
            <v>1.03.04</v>
          </cell>
          <cell r="B85" t="str">
            <v>CON</v>
          </cell>
          <cell r="C85" t="str">
            <v>C29-C32/4C-3C</v>
          </cell>
          <cell r="D85">
            <v>1</v>
          </cell>
          <cell r="E85" t="str">
            <v xml:space="preserve">POTABLE WATER WITHIN THE BUILDING 1st LEVEL. 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</row>
        <row r="86">
          <cell r="D86">
            <v>1</v>
          </cell>
          <cell r="E86" t="str">
            <v>SUPPLY AND INST-OF CARBON STEEL GALVANIZED PIPING SCH 40 2 1/2"Ø</v>
          </cell>
          <cell r="F86" t="str">
            <v>Ml</v>
          </cell>
          <cell r="H86">
            <v>1</v>
          </cell>
          <cell r="I86">
            <v>1</v>
          </cell>
          <cell r="L86">
            <v>1</v>
          </cell>
        </row>
        <row r="87">
          <cell r="D87">
            <v>1</v>
          </cell>
          <cell r="E87" t="str">
            <v>SUPPLY AND INST-OF CARBON STEEL GALVANIZED PIPING SCH 80  2"Ø</v>
          </cell>
          <cell r="F87" t="str">
            <v>Ml</v>
          </cell>
          <cell r="H87">
            <v>5.8</v>
          </cell>
          <cell r="I87">
            <v>5.8</v>
          </cell>
          <cell r="L87">
            <v>5.8</v>
          </cell>
        </row>
        <row r="88">
          <cell r="D88">
            <v>1</v>
          </cell>
          <cell r="E88" t="str">
            <v>SUPPLY AND INST-OF CARBON STEEL GALVANIZED PIPING SCH 80  1 1/2"Ø</v>
          </cell>
          <cell r="F88" t="str">
            <v>Ml</v>
          </cell>
          <cell r="H88">
            <v>17.2</v>
          </cell>
          <cell r="I88">
            <v>17.2</v>
          </cell>
          <cell r="L88">
            <v>17.2</v>
          </cell>
        </row>
        <row r="89">
          <cell r="D89">
            <v>1</v>
          </cell>
          <cell r="E89" t="str">
            <v>SUPPLY AND INST-OF CARBON STEEL GALVANIZED PIPING SCH 80  1 1/4"Ø</v>
          </cell>
          <cell r="F89" t="str">
            <v>Ml</v>
          </cell>
          <cell r="H89">
            <v>5.7</v>
          </cell>
          <cell r="I89">
            <v>5.7</v>
          </cell>
          <cell r="L89">
            <v>5.7</v>
          </cell>
        </row>
        <row r="90">
          <cell r="D90">
            <v>1</v>
          </cell>
          <cell r="E90" t="str">
            <v>SUPPLY AND INST-OF CARBON STEEL GALVANIZED PIPING SCH 80  1"Ø</v>
          </cell>
          <cell r="F90" t="str">
            <v>Ml</v>
          </cell>
          <cell r="H90">
            <v>6.8</v>
          </cell>
          <cell r="I90">
            <v>6.8</v>
          </cell>
          <cell r="L90">
            <v>6.8</v>
          </cell>
        </row>
        <row r="91">
          <cell r="D91">
            <v>1</v>
          </cell>
          <cell r="E91" t="str">
            <v>SUPPLY AND INST-OF CARBON STEEL GALVANIZED PIPING SCH 80  3/4"Ø</v>
          </cell>
          <cell r="F91" t="str">
            <v>Ml</v>
          </cell>
          <cell r="H91">
            <v>5.0999999999999996</v>
          </cell>
          <cell r="I91">
            <v>5.0999999999999996</v>
          </cell>
          <cell r="L91">
            <v>5.0999999999999996</v>
          </cell>
        </row>
        <row r="92">
          <cell r="D92">
            <v>1</v>
          </cell>
          <cell r="E92" t="str">
            <v>SUPPLY AND INST-OF CARBON STEEL GALVANIZED PIPING SCH 80  1/2"Ø</v>
          </cell>
          <cell r="F92" t="str">
            <v>Ml</v>
          </cell>
          <cell r="H92">
            <v>16.600000000000001</v>
          </cell>
          <cell r="I92">
            <v>16.600000000000001</v>
          </cell>
          <cell r="L92">
            <v>16.600000000000001</v>
          </cell>
        </row>
        <row r="93">
          <cell r="A93" t="str">
            <v>1.03.04</v>
          </cell>
          <cell r="B93" t="str">
            <v>COS</v>
          </cell>
          <cell r="C93" t="str">
            <v>C36-C37/F-G</v>
          </cell>
          <cell r="D93">
            <v>1</v>
          </cell>
          <cell r="E93" t="str">
            <v>POTABLE WATER WITHIN THE BUILDING 1st LEVEL.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</row>
        <row r="94">
          <cell r="D94">
            <v>1</v>
          </cell>
          <cell r="E94" t="str">
            <v>SUPPLY AND INST-OF CARBON STEEL GALVANIZED PIPING SCH 40 2 1/2"Ø</v>
          </cell>
          <cell r="F94" t="str">
            <v>Ml</v>
          </cell>
          <cell r="H94">
            <v>0.4</v>
          </cell>
          <cell r="I94">
            <v>0.4</v>
          </cell>
          <cell r="L94">
            <v>0.4</v>
          </cell>
        </row>
        <row r="95">
          <cell r="D95">
            <v>1</v>
          </cell>
          <cell r="E95" t="str">
            <v>SUPPLY AND INST-OF CARBON STEEL GALVANIZED PIPING SCH 80  2"Ø</v>
          </cell>
          <cell r="F95" t="str">
            <v>Ml</v>
          </cell>
          <cell r="H95">
            <v>2.2000000000000002</v>
          </cell>
          <cell r="I95">
            <v>2.2000000000000002</v>
          </cell>
          <cell r="L95">
            <v>2.2000000000000002</v>
          </cell>
        </row>
        <row r="96">
          <cell r="D96">
            <v>1</v>
          </cell>
          <cell r="E96" t="str">
            <v>SUPPLY AND INST-OF CARBON STEEL GALVANIZED PIPING SCH 80  1 1/2"Ø</v>
          </cell>
          <cell r="F96" t="str">
            <v>Ml</v>
          </cell>
          <cell r="H96">
            <v>6.3</v>
          </cell>
          <cell r="I96">
            <v>6.3</v>
          </cell>
          <cell r="L96">
            <v>6.3</v>
          </cell>
        </row>
        <row r="97">
          <cell r="D97">
            <v>1</v>
          </cell>
          <cell r="E97" t="str">
            <v>SUPPLY AND INST-OF CARBON STEEL GALVANIZED PIPING SCH 80  1 1/4"Ø</v>
          </cell>
          <cell r="F97" t="str">
            <v>Ml</v>
          </cell>
          <cell r="H97">
            <v>2</v>
          </cell>
          <cell r="I97">
            <v>2</v>
          </cell>
          <cell r="L97">
            <v>2</v>
          </cell>
        </row>
        <row r="98">
          <cell r="D98">
            <v>1</v>
          </cell>
          <cell r="E98" t="str">
            <v>SUPPLY AND INST-OF CARBON STEEL GALVANIZED PIPING SCH 80  1"Ø</v>
          </cell>
          <cell r="F98" t="str">
            <v>Ml</v>
          </cell>
          <cell r="H98">
            <v>2.5</v>
          </cell>
          <cell r="I98">
            <v>2.5</v>
          </cell>
          <cell r="L98">
            <v>2.5</v>
          </cell>
        </row>
        <row r="99">
          <cell r="D99">
            <v>1</v>
          </cell>
          <cell r="E99" t="str">
            <v>SUPPLY AND INST-OF CARBON STEEL GALVANIZED PIPING SCH 80  3/4"Ø</v>
          </cell>
          <cell r="F99" t="str">
            <v>Ml</v>
          </cell>
          <cell r="H99">
            <v>1.9</v>
          </cell>
          <cell r="I99">
            <v>1.9</v>
          </cell>
          <cell r="L99">
            <v>1.9</v>
          </cell>
        </row>
        <row r="100">
          <cell r="D100">
            <v>1</v>
          </cell>
          <cell r="E100" t="str">
            <v>SUPPLY AND INST-OF CARBON STEEL GALVANIZED PIPING SCH 80  1/2"Ø</v>
          </cell>
          <cell r="F100" t="str">
            <v>Ml</v>
          </cell>
          <cell r="H100">
            <v>6.2</v>
          </cell>
          <cell r="I100">
            <v>6.2</v>
          </cell>
          <cell r="L100">
            <v>6.2</v>
          </cell>
        </row>
        <row r="101">
          <cell r="A101" t="str">
            <v>1.03.04</v>
          </cell>
          <cell r="B101" t="str">
            <v>COS</v>
          </cell>
          <cell r="C101" t="str">
            <v>C37-C38/3C-4C</v>
          </cell>
          <cell r="D101">
            <v>1</v>
          </cell>
          <cell r="E101" t="str">
            <v>POTABLE WATER WITHIN THE BUILDING 1st LEVEL.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</row>
        <row r="102">
          <cell r="D102">
            <v>1</v>
          </cell>
          <cell r="E102" t="str">
            <v>SUPPLY AND INST-OF CARBON STEEL GALVANIZED PIPING SCH 40 2 1/2"Ø</v>
          </cell>
          <cell r="F102" t="str">
            <v>Ml</v>
          </cell>
          <cell r="H102">
            <v>0.7</v>
          </cell>
          <cell r="I102">
            <v>0.7</v>
          </cell>
          <cell r="L102">
            <v>0.7</v>
          </cell>
        </row>
        <row r="103">
          <cell r="D103">
            <v>1</v>
          </cell>
          <cell r="E103" t="str">
            <v>SUPPLY AND INST-OF CARBON STEEL GALVANIZED PIPING SCH 80  2"Ø</v>
          </cell>
          <cell r="F103" t="str">
            <v>Ml</v>
          </cell>
          <cell r="H103">
            <v>4</v>
          </cell>
          <cell r="I103">
            <v>4</v>
          </cell>
          <cell r="L103">
            <v>4</v>
          </cell>
        </row>
        <row r="104">
          <cell r="D104">
            <v>1</v>
          </cell>
          <cell r="E104" t="str">
            <v>SUPPLY AND INST-OF CARBON STEEL GALVANIZED PIPING SCH 80  1 1/2"Ø</v>
          </cell>
          <cell r="F104" t="str">
            <v>Ml</v>
          </cell>
          <cell r="H104">
            <v>11.5</v>
          </cell>
          <cell r="I104">
            <v>11.5</v>
          </cell>
          <cell r="L104">
            <v>11.5</v>
          </cell>
        </row>
        <row r="105">
          <cell r="D105">
            <v>1</v>
          </cell>
          <cell r="E105" t="str">
            <v>SUPPLY AND INST-OF CARBON STEEL GALVANIZED PIPING SCH 80  1 1/4"Ø</v>
          </cell>
          <cell r="F105" t="str">
            <v>Ml</v>
          </cell>
          <cell r="H105">
            <v>3.8</v>
          </cell>
          <cell r="I105">
            <v>3.8</v>
          </cell>
          <cell r="L105">
            <v>3.8</v>
          </cell>
        </row>
        <row r="106">
          <cell r="D106">
            <v>1</v>
          </cell>
          <cell r="E106" t="str">
            <v>SUPPLY AND INST-OF CARBON STEEL GALVANIZED PIPING SCH 80  1"Ø</v>
          </cell>
          <cell r="F106" t="str">
            <v>Ml</v>
          </cell>
          <cell r="H106">
            <v>4.4000000000000004</v>
          </cell>
          <cell r="I106">
            <v>4.4000000000000004</v>
          </cell>
          <cell r="L106">
            <v>4.4000000000000004</v>
          </cell>
        </row>
        <row r="107">
          <cell r="D107">
            <v>1</v>
          </cell>
          <cell r="E107" t="str">
            <v>SUPPLY AND INST-OF CARBON STEEL GALVANIZED PIPING SCH 80  3/4"Ø</v>
          </cell>
          <cell r="F107" t="str">
            <v>Ml</v>
          </cell>
          <cell r="H107">
            <v>3.4</v>
          </cell>
          <cell r="I107">
            <v>3.4</v>
          </cell>
          <cell r="L107">
            <v>3.4</v>
          </cell>
        </row>
        <row r="108">
          <cell r="D108">
            <v>1</v>
          </cell>
          <cell r="E108" t="str">
            <v>SUPPLY AND INST-OF CARBON STEEL GALVANIZED PIPING SCH 80  1/2"Ø</v>
          </cell>
          <cell r="F108" t="str">
            <v>Ml</v>
          </cell>
          <cell r="H108">
            <v>11.2</v>
          </cell>
          <cell r="I108">
            <v>11.2</v>
          </cell>
          <cell r="L108">
            <v>11.2</v>
          </cell>
        </row>
        <row r="109">
          <cell r="A109" t="str">
            <v>1.03.04</v>
          </cell>
          <cell r="B109" t="str">
            <v>COS</v>
          </cell>
          <cell r="C109" t="str">
            <v>C37-C38/4C-5C</v>
          </cell>
          <cell r="D109">
            <v>1</v>
          </cell>
          <cell r="E109" t="str">
            <v>POTABLE WATER WITHIN THE BUILDING 1st LEVEL.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</row>
        <row r="110">
          <cell r="D110">
            <v>1</v>
          </cell>
          <cell r="E110" t="str">
            <v>SUPPLY AND INST-OF CARBON STEEL GALVANIZED PIPING SCH 40 2 1/2"Ø</v>
          </cell>
          <cell r="F110" t="str">
            <v>Ml</v>
          </cell>
          <cell r="H110">
            <v>0.8</v>
          </cell>
          <cell r="I110">
            <v>0.8</v>
          </cell>
          <cell r="L110">
            <v>0.8</v>
          </cell>
        </row>
        <row r="111">
          <cell r="D111">
            <v>1</v>
          </cell>
          <cell r="E111" t="str">
            <v>SUPPLY AND INST-OF CARBON STEEL GALVANIZED PIPING SCH 80  2"Ø</v>
          </cell>
          <cell r="F111" t="str">
            <v>Ml</v>
          </cell>
          <cell r="H111">
            <v>4.2</v>
          </cell>
          <cell r="I111">
            <v>4.2</v>
          </cell>
          <cell r="L111">
            <v>4.2</v>
          </cell>
        </row>
        <row r="112">
          <cell r="D112">
            <v>1</v>
          </cell>
          <cell r="E112" t="str">
            <v>SUPPLY AND INST-OF CARBON STEEL GALVANIZED PIPING SCH 80  1 1/2"Ø</v>
          </cell>
          <cell r="F112" t="str">
            <v>Ml</v>
          </cell>
          <cell r="H112">
            <v>12.2</v>
          </cell>
          <cell r="I112">
            <v>12.2</v>
          </cell>
          <cell r="L112">
            <v>12.2</v>
          </cell>
        </row>
        <row r="113">
          <cell r="D113">
            <v>1</v>
          </cell>
          <cell r="E113" t="str">
            <v>SUPPLY AND INST-OF CARBON STEEL GALVANIZED PIPING SCH 80  1 1/4"Ø</v>
          </cell>
          <cell r="F113" t="str">
            <v>Ml</v>
          </cell>
          <cell r="H113">
            <v>4</v>
          </cell>
          <cell r="I113">
            <v>4</v>
          </cell>
          <cell r="L113">
            <v>4</v>
          </cell>
        </row>
        <row r="114">
          <cell r="D114">
            <v>1</v>
          </cell>
          <cell r="E114" t="str">
            <v>SUPPLY AND INST-OF CARBON STEEL GALVANIZED PIPING SCH 80  1"Ø</v>
          </cell>
          <cell r="F114" t="str">
            <v>Ml</v>
          </cell>
          <cell r="H114">
            <v>4.8</v>
          </cell>
          <cell r="I114">
            <v>4.8</v>
          </cell>
          <cell r="L114">
            <v>4.8</v>
          </cell>
        </row>
        <row r="115">
          <cell r="D115">
            <v>1</v>
          </cell>
          <cell r="E115" t="str">
            <v>SUPPLY AND INST-OF CARBON STEEL GALVANIZED PIPING SCH 80  3/4"Ø</v>
          </cell>
          <cell r="F115" t="str">
            <v>Ml</v>
          </cell>
          <cell r="H115">
            <v>3.6</v>
          </cell>
          <cell r="I115">
            <v>3.6</v>
          </cell>
          <cell r="L115">
            <v>3.6</v>
          </cell>
        </row>
        <row r="116">
          <cell r="D116">
            <v>1</v>
          </cell>
          <cell r="E116" t="str">
            <v>SUPPLY AND INST-OF CARBON STEEL GALVANIZED PIPING SCH 80  1/2"Ø</v>
          </cell>
          <cell r="F116" t="str">
            <v>Ml</v>
          </cell>
          <cell r="H116">
            <v>11.8</v>
          </cell>
          <cell r="I116">
            <v>11.8</v>
          </cell>
          <cell r="L116">
            <v>11.8</v>
          </cell>
        </row>
        <row r="117">
          <cell r="A117" t="str">
            <v>1.03.04</v>
          </cell>
          <cell r="B117" t="str">
            <v>COS</v>
          </cell>
          <cell r="C117" t="str">
            <v>C51-C52/2C-3C</v>
          </cell>
          <cell r="D117">
            <v>1</v>
          </cell>
          <cell r="E117" t="str">
            <v>POTABLE WATER WITHIN THE BUILDING 1st LEVEL.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</row>
        <row r="118">
          <cell r="D118">
            <v>2</v>
          </cell>
          <cell r="E118" t="str">
            <v>SUPPLY AND INST-OF CARBON STEEL GALVANIZED PIPING SCH 40 2 1/2"Ø</v>
          </cell>
          <cell r="F118" t="str">
            <v>Ml</v>
          </cell>
          <cell r="H118">
            <v>1.3</v>
          </cell>
          <cell r="I118">
            <v>1.3</v>
          </cell>
          <cell r="L118">
            <v>1.3</v>
          </cell>
        </row>
        <row r="119">
          <cell r="D119">
            <v>2</v>
          </cell>
          <cell r="E119" t="str">
            <v>SUPPLY AND INST-OF CARBON STEEL GALVANIZED PIPING SCH 80  2"Ø</v>
          </cell>
          <cell r="F119" t="str">
            <v>Ml</v>
          </cell>
          <cell r="H119">
            <v>9.1999999999999993</v>
          </cell>
          <cell r="I119">
            <v>9.1999999999999993</v>
          </cell>
          <cell r="L119">
            <v>9.1999999999999993</v>
          </cell>
        </row>
        <row r="120">
          <cell r="D120">
            <v>2</v>
          </cell>
          <cell r="E120" t="str">
            <v>SUPPLY AND INST-OF CARBON STEEL GALVANIZED PIPING SCH 80  1 1/2"Ø</v>
          </cell>
          <cell r="F120" t="str">
            <v>Ml</v>
          </cell>
          <cell r="H120">
            <v>11.2</v>
          </cell>
          <cell r="I120">
            <v>11.2</v>
          </cell>
          <cell r="L120">
            <v>11.2</v>
          </cell>
        </row>
        <row r="121">
          <cell r="D121">
            <v>2</v>
          </cell>
          <cell r="E121" t="str">
            <v>SUPPLY AND INST-OF CARBON STEEL GALVANIZED PIPING SCH 80  1 1/4"Ø</v>
          </cell>
          <cell r="F121" t="str">
            <v>Ml</v>
          </cell>
          <cell r="H121">
            <v>4</v>
          </cell>
          <cell r="I121">
            <v>4</v>
          </cell>
          <cell r="L121">
            <v>4</v>
          </cell>
        </row>
        <row r="122">
          <cell r="D122">
            <v>2</v>
          </cell>
          <cell r="E122" t="str">
            <v>SUPPLY AND INST-OF CARBON STEEL GALVANIZED PIPING SCH 80  1"Ø</v>
          </cell>
          <cell r="F122" t="str">
            <v>Ml</v>
          </cell>
          <cell r="H122">
            <v>4</v>
          </cell>
          <cell r="I122">
            <v>4</v>
          </cell>
          <cell r="L122">
            <v>4</v>
          </cell>
        </row>
        <row r="123">
          <cell r="D123">
            <v>2</v>
          </cell>
          <cell r="E123" t="str">
            <v>SUPPLY AND INST-OF CARBON STEEL GALVANIZED PIPING SCH 80  3/4"Ø</v>
          </cell>
          <cell r="F123" t="str">
            <v>Ml</v>
          </cell>
          <cell r="H123">
            <v>10.9</v>
          </cell>
          <cell r="I123">
            <v>10.9</v>
          </cell>
          <cell r="L123">
            <v>10.9</v>
          </cell>
        </row>
        <row r="124">
          <cell r="D124">
            <v>2</v>
          </cell>
          <cell r="E124" t="str">
            <v>SUPPLY AND INST-OF CARBON STEEL GALVANIZED PIPING SCH 80  1/2"Ø</v>
          </cell>
          <cell r="F124" t="str">
            <v>Ml</v>
          </cell>
          <cell r="H124">
            <v>3.3</v>
          </cell>
          <cell r="I124">
            <v>3.3</v>
          </cell>
          <cell r="L124">
            <v>3.3</v>
          </cell>
        </row>
        <row r="125">
          <cell r="A125" t="str">
            <v>1.03.05</v>
          </cell>
          <cell r="B125" t="str">
            <v>CON</v>
          </cell>
          <cell r="C125" t="str">
            <v>C11-C12/1C-2C</v>
          </cell>
          <cell r="D125">
            <v>2</v>
          </cell>
          <cell r="E125" t="str">
            <v xml:space="preserve">POTABLE WATER WITHIN THE BUILDING 2nd LEVEL. 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</row>
        <row r="126">
          <cell r="D126">
            <v>2</v>
          </cell>
          <cell r="E126" t="str">
            <v>SUPPLY AND INST-OF CARBON STEEL GALVANIZED PIPING SCH 40 2 1/2"Ø</v>
          </cell>
          <cell r="F126" t="str">
            <v>Ml</v>
          </cell>
          <cell r="H126">
            <v>1.1000000000000001</v>
          </cell>
          <cell r="I126">
            <v>1.1000000000000001</v>
          </cell>
          <cell r="L126">
            <v>1.1000000000000001</v>
          </cell>
        </row>
        <row r="127">
          <cell r="D127">
            <v>2</v>
          </cell>
          <cell r="E127" t="str">
            <v>SUPPLY AND INST-OF CARBON STEEL GALVANIZED PIPING SCH 80  2"Ø</v>
          </cell>
          <cell r="F127" t="str">
            <v>Ml</v>
          </cell>
          <cell r="H127">
            <v>7.6</v>
          </cell>
          <cell r="I127">
            <v>7.6</v>
          </cell>
          <cell r="L127">
            <v>7.6</v>
          </cell>
        </row>
        <row r="128">
          <cell r="D128">
            <v>2</v>
          </cell>
          <cell r="E128" t="str">
            <v>SUPPLY AND INST-OF CARBON STEEL GALVANIZED PIPING SCH 80  1 1/2"Ø</v>
          </cell>
          <cell r="F128" t="str">
            <v>Ml</v>
          </cell>
          <cell r="H128">
            <v>9.1999999999999993</v>
          </cell>
          <cell r="I128">
            <v>9.1999999999999993</v>
          </cell>
          <cell r="L128">
            <v>9.1999999999999993</v>
          </cell>
        </row>
        <row r="129">
          <cell r="D129">
            <v>2</v>
          </cell>
          <cell r="E129" t="str">
            <v>SUPPLY AND INST-OF CARBON STEEL GALVANIZED PIPING SCH 80  1 1/4"Ø</v>
          </cell>
          <cell r="F129" t="str">
            <v>Ml</v>
          </cell>
          <cell r="H129">
            <v>3.2</v>
          </cell>
          <cell r="I129">
            <v>3.2</v>
          </cell>
          <cell r="L129">
            <v>3.2</v>
          </cell>
        </row>
        <row r="130">
          <cell r="D130">
            <v>2</v>
          </cell>
          <cell r="E130" t="str">
            <v>SUPPLY AND INST-OF CARBON STEEL GALVANIZED PIPING SCH 80  1"Ø</v>
          </cell>
          <cell r="F130" t="str">
            <v>Ml</v>
          </cell>
          <cell r="H130">
            <v>3.2</v>
          </cell>
          <cell r="I130">
            <v>3.2</v>
          </cell>
          <cell r="L130">
            <v>3.2</v>
          </cell>
        </row>
        <row r="131">
          <cell r="D131">
            <v>2</v>
          </cell>
          <cell r="E131" t="str">
            <v>SUPPLY AND INST-OF CARBON STEEL GALVANIZED PIPING SCH 80  3/4"Ø</v>
          </cell>
          <cell r="F131" t="str">
            <v>Ml</v>
          </cell>
          <cell r="H131">
            <v>8.9</v>
          </cell>
          <cell r="I131">
            <v>8.9</v>
          </cell>
          <cell r="L131">
            <v>8.9</v>
          </cell>
        </row>
        <row r="132">
          <cell r="D132">
            <v>2</v>
          </cell>
          <cell r="E132" t="str">
            <v>SUPPLY AND INST-OF CARBON STEEL GALVANIZED PIPING SCH 80  1/2"Ø</v>
          </cell>
          <cell r="F132" t="str">
            <v>Ml</v>
          </cell>
          <cell r="H132">
            <v>2.7</v>
          </cell>
          <cell r="I132">
            <v>2.7</v>
          </cell>
          <cell r="L132">
            <v>2.7</v>
          </cell>
        </row>
        <row r="133">
          <cell r="A133" t="str">
            <v>1.03.05</v>
          </cell>
          <cell r="B133" t="str">
            <v>CON</v>
          </cell>
          <cell r="C133" t="str">
            <v>C25-C26/1C-2C</v>
          </cell>
          <cell r="D133">
            <v>2</v>
          </cell>
          <cell r="E133" t="str">
            <v>POTABLE WATER WITHIN THE BUILDING 2nd LEVEL.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</row>
        <row r="134">
          <cell r="D134">
            <v>2</v>
          </cell>
          <cell r="E134" t="str">
            <v>SUPPLY AND INST-OF CARBON STEEL GALVANIZED PIPING SCH 40 2 1/2"Ø</v>
          </cell>
          <cell r="F134" t="str">
            <v>Ml</v>
          </cell>
          <cell r="H134">
            <v>0.4</v>
          </cell>
          <cell r="I134">
            <v>0.4</v>
          </cell>
          <cell r="L134">
            <v>0.4</v>
          </cell>
        </row>
        <row r="135">
          <cell r="D135">
            <v>2</v>
          </cell>
          <cell r="E135" t="str">
            <v>SUPPLY AND INST-OF CARBON STEEL GALVANIZED PIPING SCH 80  2"Ø</v>
          </cell>
          <cell r="F135" t="str">
            <v>Ml</v>
          </cell>
          <cell r="H135">
            <v>2.5</v>
          </cell>
          <cell r="I135">
            <v>2.5</v>
          </cell>
          <cell r="L135">
            <v>2.5</v>
          </cell>
        </row>
        <row r="136">
          <cell r="D136">
            <v>2</v>
          </cell>
          <cell r="E136" t="str">
            <v>SUPPLY AND INST-OF CARBON STEEL GALVANIZED PIPING SCH 80  1 1/2"Ø</v>
          </cell>
          <cell r="F136" t="str">
            <v>Ml</v>
          </cell>
          <cell r="H136">
            <v>3.1</v>
          </cell>
          <cell r="I136">
            <v>3.1</v>
          </cell>
          <cell r="L136">
            <v>3.1</v>
          </cell>
        </row>
        <row r="137">
          <cell r="D137">
            <v>2</v>
          </cell>
          <cell r="E137" t="str">
            <v>SUPPLY AND INST-OF CARBON STEEL GALVANIZED PIPING SCH 80  1 1/4"Ø</v>
          </cell>
          <cell r="F137" t="str">
            <v>Ml</v>
          </cell>
          <cell r="H137">
            <v>1.1000000000000001</v>
          </cell>
          <cell r="I137">
            <v>1.1000000000000001</v>
          </cell>
          <cell r="L137">
            <v>1.1000000000000001</v>
          </cell>
        </row>
        <row r="138">
          <cell r="D138">
            <v>2</v>
          </cell>
          <cell r="E138" t="str">
            <v>SUPPLY AND INST-OF CARBON STEEL GALVANIZED PIPING SCH 80  1"Ø</v>
          </cell>
          <cell r="F138" t="str">
            <v>Ml</v>
          </cell>
          <cell r="H138">
            <v>1.1000000000000001</v>
          </cell>
          <cell r="I138">
            <v>1.1000000000000001</v>
          </cell>
          <cell r="L138">
            <v>1.1000000000000001</v>
          </cell>
        </row>
        <row r="139">
          <cell r="D139">
            <v>2</v>
          </cell>
          <cell r="E139" t="str">
            <v>SUPPLY AND INST-OF CARBON STEEL GALVANIZED PIPING SCH 80  3/4"Ø</v>
          </cell>
          <cell r="F139" t="str">
            <v>Ml</v>
          </cell>
          <cell r="H139">
            <v>3</v>
          </cell>
          <cell r="I139">
            <v>3</v>
          </cell>
          <cell r="L139">
            <v>3</v>
          </cell>
        </row>
        <row r="140">
          <cell r="D140">
            <v>2</v>
          </cell>
          <cell r="E140" t="str">
            <v>SUPPLY AND INST-OF CARBON STEEL GALVANIZED PIPING SCH 80  1/2"Ø</v>
          </cell>
          <cell r="F140" t="str">
            <v>Ml</v>
          </cell>
          <cell r="H140">
            <v>0.9</v>
          </cell>
          <cell r="I140">
            <v>0.9</v>
          </cell>
          <cell r="L140">
            <v>0.9</v>
          </cell>
        </row>
        <row r="141">
          <cell r="A141" t="str">
            <v>1.03.05</v>
          </cell>
          <cell r="B141" t="str">
            <v>COS</v>
          </cell>
          <cell r="C141" t="str">
            <v>C38-C39/K-L</v>
          </cell>
          <cell r="D141">
            <v>2</v>
          </cell>
          <cell r="E141" t="str">
            <v xml:space="preserve">POTABLE WATER WITHIN THE BUILDING 2nd LEVEL. 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</row>
        <row r="142">
          <cell r="D142">
            <v>2</v>
          </cell>
          <cell r="E142" t="str">
            <v>SUPPLY AND INST-OF CARBON STEEL GALVANIZED PIPING SCH 40 2 1/2"Ø</v>
          </cell>
          <cell r="F142" t="str">
            <v>Ml</v>
          </cell>
          <cell r="H142">
            <v>1.2</v>
          </cell>
          <cell r="I142">
            <v>1.2</v>
          </cell>
          <cell r="L142">
            <v>1.2</v>
          </cell>
        </row>
        <row r="143">
          <cell r="D143">
            <v>2</v>
          </cell>
          <cell r="E143" t="str">
            <v>SUPPLY AND INST-OF CARBON STEEL GALVANIZED PIPING SCH 80  2"Ø</v>
          </cell>
          <cell r="F143" t="str">
            <v>Ml</v>
          </cell>
          <cell r="H143">
            <v>8.6999999999999993</v>
          </cell>
          <cell r="I143">
            <v>8.6999999999999993</v>
          </cell>
          <cell r="L143">
            <v>8.6999999999999993</v>
          </cell>
        </row>
        <row r="144">
          <cell r="D144">
            <v>2</v>
          </cell>
          <cell r="E144" t="str">
            <v>SUPPLY AND INST-OF CARBON STEEL GALVANIZED PIPING SCH 80  1 1/2"Ø</v>
          </cell>
          <cell r="F144" t="str">
            <v>Ml</v>
          </cell>
          <cell r="H144">
            <v>10.5</v>
          </cell>
          <cell r="I144">
            <v>10.5</v>
          </cell>
          <cell r="L144">
            <v>10.5</v>
          </cell>
        </row>
        <row r="145">
          <cell r="D145">
            <v>2</v>
          </cell>
          <cell r="E145" t="str">
            <v>SUPPLY AND INST-OF CARBON STEEL GALVANIZED PIPING SCH 80  1 1/4"Ø</v>
          </cell>
          <cell r="F145" t="str">
            <v>Ml</v>
          </cell>
          <cell r="H145">
            <v>3.7</v>
          </cell>
          <cell r="I145">
            <v>3.7</v>
          </cell>
          <cell r="L145">
            <v>3.7</v>
          </cell>
        </row>
        <row r="146">
          <cell r="D146">
            <v>2</v>
          </cell>
          <cell r="E146" t="str">
            <v>SUPPLY AND INST-OF CARBON STEEL GALVANIZED PIPING SCH 80  1"Ø</v>
          </cell>
          <cell r="F146" t="str">
            <v>Ml</v>
          </cell>
          <cell r="H146">
            <v>3.7</v>
          </cell>
          <cell r="I146">
            <v>3.7</v>
          </cell>
          <cell r="L146">
            <v>3.7</v>
          </cell>
        </row>
        <row r="147">
          <cell r="D147">
            <v>2</v>
          </cell>
          <cell r="E147" t="str">
            <v>SUPPLY AND INST-OF CARBON STEEL GALVANIZED PIPING SCH 80  3/4"Ø</v>
          </cell>
          <cell r="F147" t="str">
            <v>Ml</v>
          </cell>
          <cell r="H147">
            <v>10.199999999999999</v>
          </cell>
          <cell r="I147">
            <v>10.199999999999999</v>
          </cell>
          <cell r="L147">
            <v>10.199999999999999</v>
          </cell>
        </row>
        <row r="148">
          <cell r="D148">
            <v>2</v>
          </cell>
          <cell r="E148" t="str">
            <v>SUPPLY AND INST-OF CARBON STEEL GALVANIZED PIPING SCH 80  1/2"Ø</v>
          </cell>
          <cell r="F148" t="str">
            <v>Ml</v>
          </cell>
          <cell r="H148">
            <v>3.1</v>
          </cell>
          <cell r="I148">
            <v>3.1</v>
          </cell>
          <cell r="L148">
            <v>3.1</v>
          </cell>
        </row>
        <row r="149">
          <cell r="A149" t="str">
            <v>1.03.05</v>
          </cell>
          <cell r="B149" t="str">
            <v>COS</v>
          </cell>
          <cell r="C149" t="str">
            <v>C44-C45/3C-4C</v>
          </cell>
          <cell r="D149">
            <v>2</v>
          </cell>
          <cell r="E149" t="str">
            <v>POTABLE WATER WITHIN THE BUILDING 2nd LEVEL.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</row>
        <row r="150">
          <cell r="D150">
            <v>1</v>
          </cell>
          <cell r="E150" t="str">
            <v>PVC VENT RISER  HEAVY 4"Ø</v>
          </cell>
          <cell r="F150" t="str">
            <v>Ml</v>
          </cell>
          <cell r="H150">
            <v>5.3</v>
          </cell>
          <cell r="I150">
            <v>5.3</v>
          </cell>
          <cell r="L150">
            <v>5.3</v>
          </cell>
        </row>
        <row r="151">
          <cell r="D151">
            <v>1</v>
          </cell>
          <cell r="E151" t="str">
            <v>PVC VENT RISER  HEAVY 3"Ø</v>
          </cell>
          <cell r="F151" t="str">
            <v>Ml</v>
          </cell>
          <cell r="H151">
            <v>9</v>
          </cell>
          <cell r="I151">
            <v>9</v>
          </cell>
          <cell r="L151">
            <v>9</v>
          </cell>
        </row>
        <row r="152">
          <cell r="D152">
            <v>1</v>
          </cell>
          <cell r="E152" t="str">
            <v>PVC SUSPENDED PIPING SUPPLY &amp; INSTALLATION SERIES HEAVY 4"Ø</v>
          </cell>
          <cell r="F152" t="str">
            <v>Ml</v>
          </cell>
          <cell r="H152">
            <v>9</v>
          </cell>
          <cell r="I152">
            <v>9</v>
          </cell>
          <cell r="L152">
            <v>9</v>
          </cell>
        </row>
        <row r="153">
          <cell r="D153">
            <v>1</v>
          </cell>
          <cell r="E153" t="str">
            <v>PVC SUSPENDED PIPING SUPPLY &amp; INSTALLATION SERIES HEAVY 3"Ø</v>
          </cell>
          <cell r="F153" t="str">
            <v>Ml</v>
          </cell>
          <cell r="H153">
            <v>6.6</v>
          </cell>
          <cell r="I153">
            <v>6.6</v>
          </cell>
          <cell r="L153">
            <v>6.6</v>
          </cell>
        </row>
        <row r="154">
          <cell r="D154">
            <v>1</v>
          </cell>
          <cell r="E154" t="str">
            <v>PVC SUSPENDED PIPING SUPPLY &amp; INSTALLATION SERIES HEAVY 2"Ø</v>
          </cell>
          <cell r="F154" t="str">
            <v>Ml</v>
          </cell>
          <cell r="H154">
            <v>20.5</v>
          </cell>
          <cell r="I154">
            <v>20.5</v>
          </cell>
          <cell r="L154">
            <v>20.5</v>
          </cell>
        </row>
        <row r="155">
          <cell r="A155" t="str">
            <v>2.01.01</v>
          </cell>
          <cell r="B155" t="str">
            <v>TE</v>
          </cell>
          <cell r="C155" t="str">
            <v>24-24'/C-D</v>
          </cell>
          <cell r="D155">
            <v>1</v>
          </cell>
          <cell r="E155" t="str">
            <v>DRAINAGE WITHIN THE BUILDING 1nd LEVEL.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 t="str">
            <v>X</v>
          </cell>
          <cell r="L155">
            <v>1</v>
          </cell>
        </row>
        <row r="156">
          <cell r="D156">
            <v>1</v>
          </cell>
          <cell r="E156" t="str">
            <v>PVC VENT RISER  HEAVY 4"Ø</v>
          </cell>
          <cell r="F156" t="str">
            <v>Ml</v>
          </cell>
          <cell r="H156">
            <v>0</v>
          </cell>
          <cell r="I156">
            <v>0</v>
          </cell>
          <cell r="L156">
            <v>5.0999999999999996</v>
          </cell>
        </row>
        <row r="157">
          <cell r="D157">
            <v>1</v>
          </cell>
          <cell r="E157" t="str">
            <v>PVC VENT RISER  HEAVY 3"Ø</v>
          </cell>
          <cell r="F157" t="str">
            <v>Ml</v>
          </cell>
          <cell r="H157">
            <v>0</v>
          </cell>
          <cell r="I157">
            <v>0</v>
          </cell>
          <cell r="L157">
            <v>8.6</v>
          </cell>
        </row>
        <row r="158">
          <cell r="D158">
            <v>1</v>
          </cell>
          <cell r="E158" t="str">
            <v>PVC SUSPENDED PIPING SUPPLY &amp; INSTALLATION SERIES HEAVY 4"Ø</v>
          </cell>
          <cell r="F158" t="str">
            <v>Ml</v>
          </cell>
          <cell r="H158">
            <v>0</v>
          </cell>
          <cell r="I158">
            <v>0</v>
          </cell>
          <cell r="L158">
            <v>8.6</v>
          </cell>
        </row>
        <row r="159">
          <cell r="D159">
            <v>1</v>
          </cell>
          <cell r="E159" t="str">
            <v>PVC SUSPENDED PIPING SUPPLY &amp; INSTALLATION SERIES HEAVY 3"Ø</v>
          </cell>
          <cell r="F159" t="str">
            <v>Ml</v>
          </cell>
          <cell r="H159">
            <v>0</v>
          </cell>
          <cell r="I159">
            <v>0</v>
          </cell>
          <cell r="L159">
            <v>6.2</v>
          </cell>
        </row>
        <row r="160">
          <cell r="D160">
            <v>1</v>
          </cell>
          <cell r="E160" t="str">
            <v>PVC SUSPENDED PIPING SUPPLY &amp; INSTALLATION SERIES HEAVY 2"Ø</v>
          </cell>
          <cell r="F160" t="str">
            <v>Ml</v>
          </cell>
          <cell r="H160">
            <v>0</v>
          </cell>
          <cell r="I160">
            <v>0</v>
          </cell>
          <cell r="L160">
            <v>19.5</v>
          </cell>
        </row>
        <row r="161">
          <cell r="A161" t="str">
            <v>2.01.01</v>
          </cell>
          <cell r="B161" t="str">
            <v>TE</v>
          </cell>
          <cell r="C161" t="str">
            <v>10-11/C-E</v>
          </cell>
          <cell r="D161">
            <v>1</v>
          </cell>
          <cell r="E161" t="str">
            <v xml:space="preserve">DRAINAGE WITHIN THE BUILDING 1nd LEVEL. 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X</v>
          </cell>
          <cell r="L161">
            <v>0</v>
          </cell>
        </row>
        <row r="162">
          <cell r="D162">
            <v>1</v>
          </cell>
          <cell r="E162" t="str">
            <v>PVC VENT RISER  HEAVY 4"Ø</v>
          </cell>
          <cell r="F162" t="str">
            <v>Ml</v>
          </cell>
          <cell r="H162">
            <v>2.6</v>
          </cell>
          <cell r="I162">
            <v>2.6</v>
          </cell>
          <cell r="L162">
            <v>2.6</v>
          </cell>
        </row>
        <row r="163">
          <cell r="D163">
            <v>1</v>
          </cell>
          <cell r="E163" t="str">
            <v>PVC VENT RISER  HEAVY 3"Ø</v>
          </cell>
          <cell r="F163" t="str">
            <v>Ml</v>
          </cell>
          <cell r="H163">
            <v>4.4000000000000004</v>
          </cell>
          <cell r="I163">
            <v>4.4000000000000004</v>
          </cell>
          <cell r="L163">
            <v>4.4000000000000004</v>
          </cell>
        </row>
        <row r="164">
          <cell r="D164">
            <v>1</v>
          </cell>
          <cell r="E164" t="str">
            <v>PVC SUSPENDED PIPING SUPPLY &amp; INSTALLATION SERIES HEAVY 4"Ø</v>
          </cell>
          <cell r="F164" t="str">
            <v>Ml</v>
          </cell>
          <cell r="H164">
            <v>4.4000000000000004</v>
          </cell>
          <cell r="I164">
            <v>4.4000000000000004</v>
          </cell>
          <cell r="L164">
            <v>4.4000000000000004</v>
          </cell>
        </row>
        <row r="165">
          <cell r="D165">
            <v>1</v>
          </cell>
          <cell r="E165" t="str">
            <v>PVC SUSPENDED PIPING SUPPLY &amp; INSTALLATION SERIES HEAVY 3"Ø</v>
          </cell>
          <cell r="F165" t="str">
            <v>Ml</v>
          </cell>
          <cell r="H165">
            <v>3.2</v>
          </cell>
          <cell r="I165">
            <v>3.2</v>
          </cell>
          <cell r="L165">
            <v>3.2</v>
          </cell>
        </row>
        <row r="166">
          <cell r="D166">
            <v>1</v>
          </cell>
          <cell r="E166" t="str">
            <v>PVC SUSPENDED PIPING SUPPLY &amp; INSTALLATION SERIES HEAVY 2"Ø</v>
          </cell>
          <cell r="F166" t="str">
            <v>Ml</v>
          </cell>
          <cell r="H166">
            <v>10</v>
          </cell>
          <cell r="I166">
            <v>10</v>
          </cell>
          <cell r="L166">
            <v>10</v>
          </cell>
        </row>
        <row r="167">
          <cell r="A167" t="str">
            <v>2.01.01</v>
          </cell>
          <cell r="B167" t="str">
            <v>TE</v>
          </cell>
          <cell r="C167" t="str">
            <v>21-22/E-E'</v>
          </cell>
          <cell r="D167">
            <v>1</v>
          </cell>
          <cell r="E167" t="str">
            <v xml:space="preserve">DRAINAGE WITHIN THE BUILDING 1st LEVEL. 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 t="str">
            <v>X</v>
          </cell>
          <cell r="L167">
            <v>1</v>
          </cell>
        </row>
        <row r="168">
          <cell r="D168">
            <v>1</v>
          </cell>
          <cell r="E168" t="str">
            <v>PVC DRAINAGE  RISER HEAVY 4"Ø</v>
          </cell>
          <cell r="F168" t="str">
            <v>Ml</v>
          </cell>
          <cell r="H168">
            <v>23.1</v>
          </cell>
          <cell r="I168">
            <v>23.1</v>
          </cell>
          <cell r="L168">
            <v>23.1</v>
          </cell>
        </row>
        <row r="169">
          <cell r="D169">
            <v>1</v>
          </cell>
          <cell r="E169" t="str">
            <v>PVC VENT RISER  HEAVY 4"Ø</v>
          </cell>
          <cell r="F169" t="str">
            <v>Ml</v>
          </cell>
          <cell r="H169">
            <v>5.7</v>
          </cell>
          <cell r="I169">
            <v>5.7</v>
          </cell>
          <cell r="L169">
            <v>5.7</v>
          </cell>
        </row>
        <row r="170">
          <cell r="D170">
            <v>1</v>
          </cell>
          <cell r="E170" t="str">
            <v>PVC VENT RISER  HEAVY 3"Ø</v>
          </cell>
          <cell r="F170" t="str">
            <v>Ml</v>
          </cell>
          <cell r="H170">
            <v>7.7</v>
          </cell>
          <cell r="I170">
            <v>7.7</v>
          </cell>
          <cell r="L170">
            <v>7.7</v>
          </cell>
        </row>
        <row r="171">
          <cell r="D171">
            <v>1</v>
          </cell>
          <cell r="E171" t="str">
            <v>PVC VENT RISER  HEAVY 2"Ø</v>
          </cell>
          <cell r="F171" t="str">
            <v>Ml</v>
          </cell>
          <cell r="H171">
            <v>38.4</v>
          </cell>
          <cell r="I171">
            <v>38.4</v>
          </cell>
          <cell r="L171">
            <v>38.4</v>
          </cell>
        </row>
        <row r="172">
          <cell r="D172">
            <v>1</v>
          </cell>
          <cell r="E172" t="str">
            <v>PVC SUSPENDED PIPING SUPPLY &amp; INSTALLATION SERIES HEAVY 4"Ø</v>
          </cell>
          <cell r="F172" t="str">
            <v>Ml</v>
          </cell>
          <cell r="H172">
            <v>12.5</v>
          </cell>
          <cell r="I172">
            <v>12.5</v>
          </cell>
          <cell r="L172">
            <v>12.5</v>
          </cell>
        </row>
        <row r="173">
          <cell r="D173">
            <v>1</v>
          </cell>
          <cell r="E173" t="str">
            <v>PVC SUSPENDED PIPING SUPPLY &amp; INSTALLATION SERIES HEAVY 3"Ø</v>
          </cell>
          <cell r="F173" t="str">
            <v>Ml</v>
          </cell>
          <cell r="H173">
            <v>17.100000000000001</v>
          </cell>
          <cell r="I173">
            <v>17.100000000000001</v>
          </cell>
          <cell r="L173">
            <v>17.100000000000001</v>
          </cell>
        </row>
        <row r="174">
          <cell r="D174">
            <v>1</v>
          </cell>
          <cell r="E174" t="str">
            <v>PVC SUSPENDED PIPING SUPPLY &amp; INSTALLATION SERIES HEAVY 2"Ø</v>
          </cell>
          <cell r="F174" t="str">
            <v>Ml</v>
          </cell>
          <cell r="H174">
            <v>26.8</v>
          </cell>
          <cell r="I174">
            <v>26.8</v>
          </cell>
          <cell r="L174">
            <v>26.8</v>
          </cell>
        </row>
        <row r="175">
          <cell r="A175" t="str">
            <v>2.02.01</v>
          </cell>
          <cell r="B175" t="str">
            <v>PP</v>
          </cell>
          <cell r="C175" t="str">
            <v>C15-C17/3P-4P</v>
          </cell>
          <cell r="D175">
            <v>1</v>
          </cell>
          <cell r="E175" t="str">
            <v>DRAINAGE WITHIN THE BUILDING 1st LEVEL.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 t="str">
            <v>X</v>
          </cell>
          <cell r="L175">
            <v>1</v>
          </cell>
        </row>
        <row r="176">
          <cell r="D176">
            <v>2</v>
          </cell>
          <cell r="E176" t="str">
            <v>PVC DRAINAGE  RISER HEAVY 4"Ø</v>
          </cell>
          <cell r="F176" t="str">
            <v>Ml</v>
          </cell>
          <cell r="H176">
            <v>27.7</v>
          </cell>
          <cell r="I176">
            <v>27.7</v>
          </cell>
          <cell r="L176">
            <v>27.7</v>
          </cell>
        </row>
        <row r="177">
          <cell r="D177">
            <v>2</v>
          </cell>
          <cell r="E177" t="str">
            <v>PVC VENT RISER  HEAVY 4"Ø</v>
          </cell>
          <cell r="F177" t="str">
            <v>Ml</v>
          </cell>
          <cell r="H177">
            <v>6.8</v>
          </cell>
          <cell r="I177">
            <v>6.8</v>
          </cell>
          <cell r="L177">
            <v>6.8</v>
          </cell>
        </row>
        <row r="178">
          <cell r="D178">
            <v>2</v>
          </cell>
          <cell r="E178" t="str">
            <v>PVC VENT RISER  HEAVY 3"Ø</v>
          </cell>
          <cell r="F178" t="str">
            <v>Ml</v>
          </cell>
          <cell r="H178">
            <v>9.3000000000000007</v>
          </cell>
          <cell r="I178">
            <v>9.3000000000000007</v>
          </cell>
          <cell r="L178">
            <v>9.3000000000000007</v>
          </cell>
        </row>
        <row r="179">
          <cell r="D179">
            <v>2</v>
          </cell>
          <cell r="E179" t="str">
            <v>PVC VENT RISER  HEAVY 2"Ø</v>
          </cell>
          <cell r="F179" t="str">
            <v>Ml</v>
          </cell>
          <cell r="H179">
            <v>47.1</v>
          </cell>
          <cell r="I179">
            <v>47.1</v>
          </cell>
          <cell r="L179">
            <v>47.1</v>
          </cell>
        </row>
        <row r="180">
          <cell r="D180">
            <v>2</v>
          </cell>
          <cell r="E180" t="str">
            <v>PVC SUSPENDED PIPING SUPPLY &amp; INSTALLATION SERIES HEAVY 4"Ø</v>
          </cell>
          <cell r="F180" t="str">
            <v>Ml</v>
          </cell>
          <cell r="H180">
            <v>15.5</v>
          </cell>
          <cell r="I180">
            <v>15.5</v>
          </cell>
          <cell r="L180">
            <v>15.5</v>
          </cell>
        </row>
        <row r="181">
          <cell r="D181">
            <v>2</v>
          </cell>
          <cell r="E181" t="str">
            <v>PVC SUSPENDED PIPING SUPPLY &amp; INSTALLATION SERIES HEAVY 3"Ø</v>
          </cell>
          <cell r="F181" t="str">
            <v>Ml</v>
          </cell>
          <cell r="H181">
            <v>20.399999999999999</v>
          </cell>
          <cell r="I181">
            <v>20.399999999999999</v>
          </cell>
          <cell r="L181">
            <v>20.399999999999999</v>
          </cell>
        </row>
        <row r="182">
          <cell r="D182">
            <v>2</v>
          </cell>
          <cell r="E182" t="str">
            <v>PVC SUSPENDED PIPING SUPPLY &amp; INSTALLATION SERIES HEAVY 2"Ø</v>
          </cell>
          <cell r="F182" t="str">
            <v>Ml</v>
          </cell>
          <cell r="H182">
            <v>32.299999999999997</v>
          </cell>
          <cell r="I182">
            <v>32.299999999999997</v>
          </cell>
          <cell r="L182">
            <v>32.299999999999997</v>
          </cell>
        </row>
        <row r="183">
          <cell r="A183" t="str">
            <v>2.02.01</v>
          </cell>
          <cell r="B183" t="str">
            <v>PP</v>
          </cell>
          <cell r="C183" t="str">
            <v>C15-C18/3P-4P</v>
          </cell>
          <cell r="D183">
            <v>2</v>
          </cell>
          <cell r="E183" t="str">
            <v>DRAINAGE WITHIN THE BUILDING 2nd LEVEL.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 t="str">
            <v>X</v>
          </cell>
          <cell r="L183">
            <v>1</v>
          </cell>
        </row>
        <row r="184">
          <cell r="D184">
            <v>2</v>
          </cell>
          <cell r="E184" t="str">
            <v>PVC DRAINAGE  RISER HEAVY 4"Ø</v>
          </cell>
          <cell r="F184" t="str">
            <v>Ml</v>
          </cell>
          <cell r="H184">
            <v>29.5</v>
          </cell>
          <cell r="I184">
            <v>29.5</v>
          </cell>
          <cell r="L184">
            <v>29.5</v>
          </cell>
        </row>
        <row r="185">
          <cell r="D185">
            <v>2</v>
          </cell>
          <cell r="E185" t="str">
            <v>PVC VENT RISER  HEAVY 4"Ø</v>
          </cell>
          <cell r="F185" t="str">
            <v>Ml</v>
          </cell>
          <cell r="H185">
            <v>7.2</v>
          </cell>
          <cell r="I185">
            <v>7.2</v>
          </cell>
          <cell r="L185">
            <v>7.2</v>
          </cell>
        </row>
        <row r="186">
          <cell r="D186">
            <v>2</v>
          </cell>
          <cell r="E186" t="str">
            <v>PVC VENT RISER  HEAVY 3"Ø</v>
          </cell>
          <cell r="F186" t="str">
            <v>Ml</v>
          </cell>
          <cell r="H186">
            <v>9.8000000000000007</v>
          </cell>
          <cell r="I186">
            <v>9.8000000000000007</v>
          </cell>
          <cell r="L186">
            <v>9.8000000000000007</v>
          </cell>
        </row>
        <row r="187">
          <cell r="D187">
            <v>2</v>
          </cell>
          <cell r="E187" t="str">
            <v>PVC VENT RISER  HEAVY 2"Ø</v>
          </cell>
          <cell r="F187" t="str">
            <v>Ml</v>
          </cell>
          <cell r="H187">
            <v>50</v>
          </cell>
          <cell r="I187">
            <v>50</v>
          </cell>
          <cell r="L187">
            <v>50</v>
          </cell>
        </row>
        <row r="188">
          <cell r="D188">
            <v>2</v>
          </cell>
          <cell r="E188" t="str">
            <v>PVC SUSPENDED PIPING SUPPLY &amp; INSTALLATION SERIES HEAVY 4"Ø</v>
          </cell>
          <cell r="F188" t="str">
            <v>Ml</v>
          </cell>
          <cell r="H188">
            <v>16.5</v>
          </cell>
          <cell r="I188">
            <v>16.5</v>
          </cell>
          <cell r="L188">
            <v>16.5</v>
          </cell>
        </row>
        <row r="189">
          <cell r="D189">
            <v>2</v>
          </cell>
          <cell r="E189" t="str">
            <v>PVC SUSPENDED PIPING SUPPLY &amp; INSTALLATION SERIES HEAVY 3"Ø</v>
          </cell>
          <cell r="F189" t="str">
            <v>Ml</v>
          </cell>
          <cell r="H189">
            <v>22.1</v>
          </cell>
          <cell r="I189">
            <v>22.1</v>
          </cell>
          <cell r="L189">
            <v>22.1</v>
          </cell>
        </row>
        <row r="190">
          <cell r="D190">
            <v>2</v>
          </cell>
          <cell r="E190" t="str">
            <v>PVC SUSPENDED PIPING SUPPLY &amp; INSTALLATION SERIES HEAVY 2"Ø</v>
          </cell>
          <cell r="F190" t="str">
            <v>Ml</v>
          </cell>
          <cell r="H190">
            <v>34.700000000000003</v>
          </cell>
          <cell r="I190">
            <v>34.700000000000003</v>
          </cell>
          <cell r="L190">
            <v>34.700000000000003</v>
          </cell>
        </row>
        <row r="191">
          <cell r="A191" t="str">
            <v>2.02.01</v>
          </cell>
          <cell r="B191" t="str">
            <v>PP</v>
          </cell>
          <cell r="C191" t="str">
            <v>C22-C23/3P-5P</v>
          </cell>
          <cell r="D191">
            <v>2</v>
          </cell>
          <cell r="E191" t="str">
            <v>DRAINAGE WITHIN THE BUILDING 2nd LEVEL.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 t="str">
            <v>X</v>
          </cell>
          <cell r="L191">
            <v>1</v>
          </cell>
        </row>
        <row r="192">
          <cell r="D192">
            <v>2</v>
          </cell>
          <cell r="E192" t="str">
            <v>PVC DRAINAGE  RISER HEAVY 4"Ø</v>
          </cell>
          <cell r="F192" t="str">
            <v>Ml</v>
          </cell>
          <cell r="H192">
            <v>4.4000000000000004</v>
          </cell>
          <cell r="I192">
            <v>4.4000000000000004</v>
          </cell>
          <cell r="L192">
            <v>4.4000000000000004</v>
          </cell>
        </row>
        <row r="193">
          <cell r="D193">
            <v>2</v>
          </cell>
          <cell r="E193" t="str">
            <v>PVC VENT RISER  HEAVY 4"Ø</v>
          </cell>
          <cell r="F193" t="str">
            <v>Ml</v>
          </cell>
          <cell r="H193">
            <v>1</v>
          </cell>
          <cell r="I193">
            <v>1</v>
          </cell>
          <cell r="L193">
            <v>1</v>
          </cell>
        </row>
        <row r="194">
          <cell r="D194">
            <v>2</v>
          </cell>
          <cell r="E194" t="str">
            <v>PVC VENT RISER  HEAVY 3"Ø</v>
          </cell>
          <cell r="F194" t="str">
            <v>Ml</v>
          </cell>
          <cell r="H194">
            <v>1.5</v>
          </cell>
          <cell r="I194">
            <v>1.5</v>
          </cell>
          <cell r="L194">
            <v>1.5</v>
          </cell>
        </row>
        <row r="195">
          <cell r="D195">
            <v>2</v>
          </cell>
          <cell r="E195" t="str">
            <v>PVC VENT RISER  HEAVY 2"Ø</v>
          </cell>
          <cell r="F195" t="str">
            <v>Ml</v>
          </cell>
          <cell r="H195">
            <v>7.5</v>
          </cell>
          <cell r="I195">
            <v>7.5</v>
          </cell>
          <cell r="L195">
            <v>7.5</v>
          </cell>
        </row>
        <row r="196">
          <cell r="D196">
            <v>2</v>
          </cell>
          <cell r="E196" t="str">
            <v>PVC SUSPENDED PIPING SUPPLY &amp; INSTALLATION SERIES HEAVY 4"Ø</v>
          </cell>
          <cell r="F196" t="str">
            <v>Ml</v>
          </cell>
          <cell r="H196">
            <v>2.5</v>
          </cell>
          <cell r="I196">
            <v>2.5</v>
          </cell>
          <cell r="L196">
            <v>2.5</v>
          </cell>
        </row>
        <row r="197">
          <cell r="D197">
            <v>2</v>
          </cell>
          <cell r="E197" t="str">
            <v>PVC SUSPENDED PIPING SUPPLY &amp; INSTALLATION SERIES HEAVY 3"Ø</v>
          </cell>
          <cell r="F197" t="str">
            <v>Ml</v>
          </cell>
          <cell r="H197">
            <v>3.4</v>
          </cell>
          <cell r="I197">
            <v>3.4</v>
          </cell>
          <cell r="L197">
            <v>3.4</v>
          </cell>
        </row>
        <row r="198">
          <cell r="D198">
            <v>2</v>
          </cell>
          <cell r="E198" t="str">
            <v>PVC SUSPENDED PIPING SUPPLY &amp; INSTALLATION SERIES HEAVY 2"Ø</v>
          </cell>
          <cell r="F198" t="str">
            <v>Ml</v>
          </cell>
          <cell r="H198">
            <v>5.0999999999999996</v>
          </cell>
          <cell r="I198">
            <v>5.0999999999999996</v>
          </cell>
          <cell r="L198">
            <v>5.0999999999999996</v>
          </cell>
        </row>
        <row r="199">
          <cell r="A199" t="str">
            <v>2.02.01</v>
          </cell>
          <cell r="B199" t="str">
            <v>PP</v>
          </cell>
          <cell r="C199" t="str">
            <v>C22-C23/6P</v>
          </cell>
          <cell r="D199">
            <v>2</v>
          </cell>
          <cell r="E199" t="str">
            <v>DRAINAGE WITHIN THE BUILDING 2nd LEVEL.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 t="str">
            <v>X</v>
          </cell>
          <cell r="L199">
            <v>1</v>
          </cell>
        </row>
        <row r="200">
          <cell r="D200">
            <v>2</v>
          </cell>
          <cell r="E200" t="str">
            <v>PVC DRAINAGE  RISER HEAVY 4"Ø</v>
          </cell>
          <cell r="F200" t="str">
            <v>Ml</v>
          </cell>
          <cell r="H200">
            <v>5.3</v>
          </cell>
          <cell r="I200">
            <v>5.3</v>
          </cell>
          <cell r="L200">
            <v>5.3</v>
          </cell>
        </row>
        <row r="201">
          <cell r="D201">
            <v>2</v>
          </cell>
          <cell r="E201" t="str">
            <v>PVC VENT RISER  HEAVY 4"Ø</v>
          </cell>
          <cell r="F201" t="str">
            <v>Ml</v>
          </cell>
          <cell r="H201">
            <v>1.3</v>
          </cell>
          <cell r="I201">
            <v>1.3</v>
          </cell>
          <cell r="L201">
            <v>1.3</v>
          </cell>
        </row>
        <row r="202">
          <cell r="D202">
            <v>2</v>
          </cell>
          <cell r="E202" t="str">
            <v>PVC VENT RISER  HEAVY 3"Ø</v>
          </cell>
          <cell r="F202" t="str">
            <v>Ml</v>
          </cell>
          <cell r="H202">
            <v>1.7</v>
          </cell>
          <cell r="I202">
            <v>1.7</v>
          </cell>
          <cell r="L202">
            <v>1.7</v>
          </cell>
        </row>
        <row r="203">
          <cell r="D203">
            <v>2</v>
          </cell>
          <cell r="E203" t="str">
            <v>PVC VENT RISER  HEAVY 2"Ø</v>
          </cell>
          <cell r="F203" t="str">
            <v>Ml</v>
          </cell>
          <cell r="H203">
            <v>9</v>
          </cell>
          <cell r="I203">
            <v>9</v>
          </cell>
          <cell r="L203">
            <v>9</v>
          </cell>
        </row>
        <row r="204">
          <cell r="D204">
            <v>2</v>
          </cell>
          <cell r="E204" t="str">
            <v>PVC SUSPENDED PIPING SUPPLY &amp; INSTALLATION SERIES HEAVY 4"Ø</v>
          </cell>
          <cell r="F204" t="str">
            <v>Ml</v>
          </cell>
          <cell r="H204">
            <v>3</v>
          </cell>
          <cell r="I204">
            <v>3</v>
          </cell>
          <cell r="L204">
            <v>3</v>
          </cell>
        </row>
        <row r="205">
          <cell r="D205">
            <v>2</v>
          </cell>
          <cell r="E205" t="str">
            <v>PVC SUSPENDED PIPING SUPPLY &amp; INSTALLATION SERIES HEAVY 3"Ø</v>
          </cell>
          <cell r="F205" t="str">
            <v>Ml</v>
          </cell>
          <cell r="H205">
            <v>4</v>
          </cell>
          <cell r="I205">
            <v>4</v>
          </cell>
          <cell r="L205">
            <v>4</v>
          </cell>
        </row>
        <row r="206">
          <cell r="D206">
            <v>2</v>
          </cell>
          <cell r="E206" t="str">
            <v>PVC SUSPENDED PIPING SUPPLY &amp; INSTALLATION SERIES HEAVY 2"Ø</v>
          </cell>
          <cell r="F206" t="str">
            <v>Ml</v>
          </cell>
          <cell r="H206">
            <v>6.1</v>
          </cell>
          <cell r="I206">
            <v>6.1</v>
          </cell>
          <cell r="L206">
            <v>6.1</v>
          </cell>
        </row>
        <row r="207">
          <cell r="A207" t="str">
            <v>2.02.01</v>
          </cell>
          <cell r="B207" t="str">
            <v>PP</v>
          </cell>
          <cell r="C207" t="str">
            <v>C14-C15/8P</v>
          </cell>
          <cell r="D207">
            <v>2</v>
          </cell>
          <cell r="E207" t="str">
            <v>DRAINAGE WITHIN THE BUILDING 2nd LEVEL.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 t="str">
            <v>X</v>
          </cell>
          <cell r="L207">
            <v>1</v>
          </cell>
        </row>
        <row r="208">
          <cell r="D208">
            <v>1</v>
          </cell>
          <cell r="E208" t="str">
            <v>PVC DRAINAGE  RISER HEAVY 4"Ø</v>
          </cell>
          <cell r="F208" t="str">
            <v>Ml</v>
          </cell>
          <cell r="H208">
            <v>3.3</v>
          </cell>
          <cell r="I208">
            <v>3.3</v>
          </cell>
          <cell r="L208">
            <v>3.3</v>
          </cell>
        </row>
        <row r="209">
          <cell r="D209">
            <v>1</v>
          </cell>
          <cell r="E209" t="str">
            <v>PVC VENT RISER  HEAVY 4"Ø</v>
          </cell>
          <cell r="F209" t="str">
            <v>Ml</v>
          </cell>
          <cell r="H209">
            <v>3.2</v>
          </cell>
          <cell r="I209">
            <v>3.2</v>
          </cell>
          <cell r="L209">
            <v>3.2</v>
          </cell>
        </row>
        <row r="210">
          <cell r="D210">
            <v>1</v>
          </cell>
          <cell r="E210" t="str">
            <v>PVC VENT RISER  HEAVY 3"Ø</v>
          </cell>
          <cell r="F210" t="str">
            <v>Ml</v>
          </cell>
          <cell r="H210">
            <v>5.0999999999999996</v>
          </cell>
          <cell r="I210">
            <v>5.0999999999999996</v>
          </cell>
          <cell r="L210">
            <v>5.0999999999999996</v>
          </cell>
        </row>
        <row r="211">
          <cell r="D211">
            <v>1</v>
          </cell>
          <cell r="E211" t="str">
            <v>PVC VENT RISER  HEAVY 2"Ø</v>
          </cell>
          <cell r="F211" t="str">
            <v>Ml</v>
          </cell>
          <cell r="H211">
            <v>7.9</v>
          </cell>
          <cell r="I211">
            <v>7.9</v>
          </cell>
          <cell r="L211">
            <v>7.9</v>
          </cell>
        </row>
        <row r="212">
          <cell r="D212">
            <v>1</v>
          </cell>
          <cell r="E212" t="str">
            <v>PVC SUSPENDED PIPING SUPPLY &amp; INSTALLATION SERIES HEAVY 4"Ø</v>
          </cell>
          <cell r="F212" t="str">
            <v>Ml</v>
          </cell>
          <cell r="H212">
            <v>8.3000000000000007</v>
          </cell>
          <cell r="I212">
            <v>8.3000000000000007</v>
          </cell>
          <cell r="L212">
            <v>8.3000000000000007</v>
          </cell>
        </row>
        <row r="213">
          <cell r="D213">
            <v>1</v>
          </cell>
          <cell r="E213" t="str">
            <v>PVC SUSPENDED PIPING SUPPLY &amp; INSTALLATION SERIES HEAVY 3"Ø</v>
          </cell>
          <cell r="F213" t="str">
            <v>Ml</v>
          </cell>
          <cell r="H213">
            <v>6.5</v>
          </cell>
          <cell r="I213">
            <v>6.5</v>
          </cell>
          <cell r="L213">
            <v>6.5</v>
          </cell>
        </row>
        <row r="214">
          <cell r="D214">
            <v>1</v>
          </cell>
          <cell r="E214" t="str">
            <v>PVC SUSPENDED PIPING SUPPLY &amp; INSTALLATION SERIES HEAVY 2"Ø</v>
          </cell>
          <cell r="F214" t="str">
            <v>Ml</v>
          </cell>
          <cell r="H214">
            <v>20.2</v>
          </cell>
          <cell r="I214">
            <v>20.2</v>
          </cell>
          <cell r="L214">
            <v>20.2</v>
          </cell>
        </row>
        <row r="215">
          <cell r="A215" t="str">
            <v>2.03.01</v>
          </cell>
          <cell r="B215" t="str">
            <v>CON</v>
          </cell>
          <cell r="C215" t="str">
            <v>C11-C12/1C-2C</v>
          </cell>
          <cell r="D215">
            <v>1</v>
          </cell>
          <cell r="E215" t="str">
            <v>DRAINAGE WITHIN THE BUILDING 1st LEVEL.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 t="str">
            <v>X</v>
          </cell>
          <cell r="L215">
            <v>1</v>
          </cell>
        </row>
        <row r="216">
          <cell r="D216">
            <v>1</v>
          </cell>
          <cell r="E216" t="str">
            <v>PVC DRAINAGE  RISER HEAVY 4"Ø</v>
          </cell>
          <cell r="F216" t="str">
            <v>Ml</v>
          </cell>
          <cell r="H216">
            <v>1.9</v>
          </cell>
          <cell r="I216">
            <v>1.9</v>
          </cell>
          <cell r="L216">
            <v>1.9</v>
          </cell>
        </row>
        <row r="217">
          <cell r="D217">
            <v>1</v>
          </cell>
          <cell r="E217" t="str">
            <v>PVC VENT RISER  HEAVY 4"Ø</v>
          </cell>
          <cell r="F217" t="str">
            <v>Ml</v>
          </cell>
          <cell r="H217">
            <v>1.9</v>
          </cell>
          <cell r="I217">
            <v>1.9</v>
          </cell>
          <cell r="L217">
            <v>1.9</v>
          </cell>
        </row>
        <row r="218">
          <cell r="D218">
            <v>1</v>
          </cell>
          <cell r="E218" t="str">
            <v>PVC VENT RISER  HEAVY 3"Ø</v>
          </cell>
          <cell r="F218" t="str">
            <v>Ml</v>
          </cell>
          <cell r="H218">
            <v>2.9</v>
          </cell>
          <cell r="I218">
            <v>2.9</v>
          </cell>
          <cell r="L218">
            <v>2.9</v>
          </cell>
        </row>
        <row r="219">
          <cell r="D219">
            <v>1</v>
          </cell>
          <cell r="E219" t="str">
            <v>PVC VENT RISER  HEAVY 2"Ø</v>
          </cell>
          <cell r="F219" t="str">
            <v>Ml</v>
          </cell>
          <cell r="H219">
            <v>4.5</v>
          </cell>
          <cell r="I219">
            <v>4.5</v>
          </cell>
          <cell r="L219">
            <v>4.5</v>
          </cell>
        </row>
        <row r="220">
          <cell r="D220">
            <v>1</v>
          </cell>
          <cell r="E220" t="str">
            <v>PVC SUSPENDED PIPING SUPPLY &amp; INSTALLATION SERIES HEAVY 4"Ø</v>
          </cell>
          <cell r="F220" t="str">
            <v>Ml</v>
          </cell>
          <cell r="H220">
            <v>4.8</v>
          </cell>
          <cell r="I220">
            <v>4.8</v>
          </cell>
          <cell r="L220">
            <v>4.8</v>
          </cell>
        </row>
        <row r="221">
          <cell r="D221">
            <v>1</v>
          </cell>
          <cell r="E221" t="str">
            <v>PVC SUSPENDED PIPING SUPPLY &amp; INSTALLATION SERIES HEAVY 3"Ø</v>
          </cell>
          <cell r="F221" t="str">
            <v>Ml</v>
          </cell>
          <cell r="H221">
            <v>3.7</v>
          </cell>
          <cell r="I221">
            <v>3.7</v>
          </cell>
          <cell r="L221">
            <v>3.7</v>
          </cell>
        </row>
        <row r="222">
          <cell r="D222">
            <v>1</v>
          </cell>
          <cell r="E222" t="str">
            <v>PVC SUSPENDED PIPING SUPPLY &amp; INSTALLATION SERIES HEAVY 2"Ø</v>
          </cell>
          <cell r="F222" t="str">
            <v>Ml</v>
          </cell>
          <cell r="H222">
            <v>11.4</v>
          </cell>
          <cell r="I222">
            <v>11.4</v>
          </cell>
          <cell r="L222">
            <v>11.4</v>
          </cell>
        </row>
        <row r="223">
          <cell r="A223" t="str">
            <v>2.03.01</v>
          </cell>
          <cell r="B223" t="str">
            <v>CON</v>
          </cell>
          <cell r="C223" t="str">
            <v>C29-C32/4C-3C</v>
          </cell>
          <cell r="D223">
            <v>1</v>
          </cell>
          <cell r="E223" t="str">
            <v>DRAINAGE WITHIN THE BUILDING 1st LEVEL.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 t="str">
            <v>X</v>
          </cell>
          <cell r="L223">
            <v>1</v>
          </cell>
        </row>
        <row r="224">
          <cell r="D224">
            <v>2</v>
          </cell>
          <cell r="E224" t="str">
            <v>PVC DRAINAGE  RISER HEAVY 4"Ø</v>
          </cell>
          <cell r="F224" t="str">
            <v>Ml</v>
          </cell>
          <cell r="H224">
            <v>5.5</v>
          </cell>
          <cell r="I224">
            <v>5.5</v>
          </cell>
          <cell r="L224">
            <v>5.5</v>
          </cell>
        </row>
        <row r="225">
          <cell r="D225">
            <v>2</v>
          </cell>
          <cell r="E225" t="str">
            <v>PVC VENT RISER  HEAVY 4"Ø</v>
          </cell>
          <cell r="F225" t="str">
            <v>Ml</v>
          </cell>
          <cell r="H225">
            <v>5.5</v>
          </cell>
          <cell r="I225">
            <v>5.5</v>
          </cell>
          <cell r="L225">
            <v>5.5</v>
          </cell>
        </row>
        <row r="226">
          <cell r="D226">
            <v>2</v>
          </cell>
          <cell r="E226" t="str">
            <v>PVC VENT RISER  HEAVY 3"Ø</v>
          </cell>
          <cell r="F226" t="str">
            <v>Ml</v>
          </cell>
          <cell r="H226">
            <v>8.6</v>
          </cell>
          <cell r="I226">
            <v>8.6</v>
          </cell>
          <cell r="L226">
            <v>8.6</v>
          </cell>
        </row>
        <row r="227">
          <cell r="D227">
            <v>2</v>
          </cell>
          <cell r="E227" t="str">
            <v>PVC VENT RISER  HEAVY 2"Ø</v>
          </cell>
          <cell r="F227" t="str">
            <v>Ml</v>
          </cell>
          <cell r="H227">
            <v>13.1</v>
          </cell>
          <cell r="I227">
            <v>13.1</v>
          </cell>
          <cell r="L227">
            <v>13.1</v>
          </cell>
        </row>
        <row r="228">
          <cell r="D228">
            <v>2</v>
          </cell>
          <cell r="E228" t="str">
            <v>PVC SUSPENDED PIPING SUPPLY &amp; INSTALLATION SERIES HEAVY 4"Ø</v>
          </cell>
          <cell r="F228" t="str">
            <v>Ml</v>
          </cell>
          <cell r="H228">
            <v>13.3</v>
          </cell>
          <cell r="I228">
            <v>13.3</v>
          </cell>
          <cell r="L228">
            <v>13.3</v>
          </cell>
        </row>
        <row r="229">
          <cell r="D229">
            <v>2</v>
          </cell>
          <cell r="E229" t="str">
            <v>PVC SUSPENDED PIPING SUPPLY &amp; INSTALLATION SERIES HEAVY 3"Ø</v>
          </cell>
          <cell r="F229" t="str">
            <v>Ml</v>
          </cell>
          <cell r="H229">
            <v>10.6</v>
          </cell>
          <cell r="I229">
            <v>10.6</v>
          </cell>
          <cell r="L229">
            <v>10.6</v>
          </cell>
        </row>
        <row r="230">
          <cell r="D230">
            <v>2</v>
          </cell>
          <cell r="E230" t="str">
            <v>PVC SUSPENDED PIPING SUPPLY &amp; INSTALLATION SERIES HEAVY 2"Ø</v>
          </cell>
          <cell r="F230" t="str">
            <v>Ml</v>
          </cell>
          <cell r="H230">
            <v>33.4</v>
          </cell>
          <cell r="I230">
            <v>33.4</v>
          </cell>
          <cell r="L230">
            <v>33.4</v>
          </cell>
        </row>
        <row r="231">
          <cell r="A231" t="str">
            <v>2.03.01</v>
          </cell>
          <cell r="B231" t="str">
            <v>CON</v>
          </cell>
          <cell r="C231" t="str">
            <v>C11-C12/1C-2C</v>
          </cell>
          <cell r="D231">
            <v>2</v>
          </cell>
          <cell r="E231" t="str">
            <v>DRAINAGE WITHIN THE BUILDING 2nd LEVEL.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 t="str">
            <v>X</v>
          </cell>
          <cell r="L231">
            <v>1</v>
          </cell>
        </row>
        <row r="232">
          <cell r="D232">
            <v>2</v>
          </cell>
          <cell r="E232" t="str">
            <v>PVC DRAINAGE  RISER HEAVY 4"Ø</v>
          </cell>
          <cell r="F232" t="str">
            <v>Ml</v>
          </cell>
          <cell r="H232">
            <v>4.3</v>
          </cell>
          <cell r="I232">
            <v>4.3</v>
          </cell>
          <cell r="L232">
            <v>4.3</v>
          </cell>
        </row>
        <row r="233">
          <cell r="D233">
            <v>2</v>
          </cell>
          <cell r="E233" t="str">
            <v>PVC VENT RISER  HEAVY 4"Ø</v>
          </cell>
          <cell r="F233" t="str">
            <v>Ml</v>
          </cell>
          <cell r="H233">
            <v>4.4000000000000004</v>
          </cell>
          <cell r="I233">
            <v>4.4000000000000004</v>
          </cell>
          <cell r="L233">
            <v>4.4000000000000004</v>
          </cell>
        </row>
        <row r="234">
          <cell r="D234">
            <v>2</v>
          </cell>
          <cell r="E234" t="str">
            <v>PVC VENT RISER  HEAVY 3"Ø</v>
          </cell>
          <cell r="F234" t="str">
            <v>Ml</v>
          </cell>
          <cell r="H234">
            <v>6.7</v>
          </cell>
          <cell r="I234">
            <v>6.7</v>
          </cell>
          <cell r="L234">
            <v>6.7</v>
          </cell>
        </row>
        <row r="235">
          <cell r="D235">
            <v>2</v>
          </cell>
          <cell r="E235" t="str">
            <v>PVC VENT RISER  HEAVY 2"Ø</v>
          </cell>
          <cell r="F235" t="str">
            <v>Ml</v>
          </cell>
          <cell r="H235">
            <v>10.5</v>
          </cell>
          <cell r="I235">
            <v>10.5</v>
          </cell>
          <cell r="L235">
            <v>10.5</v>
          </cell>
        </row>
        <row r="236">
          <cell r="D236">
            <v>2</v>
          </cell>
          <cell r="E236" t="str">
            <v>PVC SUSPENDED PIPING SUPPLY &amp; INSTALLATION SERIES HEAVY 4"Ø</v>
          </cell>
          <cell r="F236" t="str">
            <v>Ml</v>
          </cell>
          <cell r="H236">
            <v>10.9</v>
          </cell>
          <cell r="I236">
            <v>10.9</v>
          </cell>
          <cell r="L236">
            <v>10.9</v>
          </cell>
        </row>
        <row r="237">
          <cell r="D237">
            <v>2</v>
          </cell>
          <cell r="E237" t="str">
            <v>PVC SUSPENDED PIPING SUPPLY &amp; INSTALLATION SERIES HEAVY 3"Ø</v>
          </cell>
          <cell r="F237" t="str">
            <v>Ml</v>
          </cell>
          <cell r="H237">
            <v>8.5</v>
          </cell>
          <cell r="I237">
            <v>8.5</v>
          </cell>
          <cell r="L237">
            <v>8.5</v>
          </cell>
        </row>
        <row r="238">
          <cell r="D238">
            <v>2</v>
          </cell>
          <cell r="E238" t="str">
            <v>PVC SUSPENDED PIPING SUPPLY &amp; INSTALLATION SERIES HEAVY 2"Ø</v>
          </cell>
          <cell r="F238" t="str">
            <v>Ml</v>
          </cell>
          <cell r="H238">
            <v>26.8</v>
          </cell>
          <cell r="I238">
            <v>26.8</v>
          </cell>
          <cell r="L238">
            <v>26.8</v>
          </cell>
        </row>
        <row r="239">
          <cell r="A239" t="str">
            <v>2.03.01</v>
          </cell>
          <cell r="B239" t="str">
            <v>CON</v>
          </cell>
          <cell r="C239" t="str">
            <v>C25-C26/1C-2C</v>
          </cell>
          <cell r="D239">
            <v>2</v>
          </cell>
          <cell r="E239" t="str">
            <v>DRAINAGE WITHIN THE BUILDING 2nd LEVEL.</v>
          </cell>
          <cell r="G239">
            <v>1</v>
          </cell>
          <cell r="H239">
            <v>1</v>
          </cell>
          <cell r="I239">
            <v>1</v>
          </cell>
          <cell r="J239">
            <v>1</v>
          </cell>
          <cell r="K239" t="str">
            <v>X</v>
          </cell>
          <cell r="L239">
            <v>1</v>
          </cell>
        </row>
        <row r="240">
          <cell r="D240">
            <v>1</v>
          </cell>
          <cell r="E240" t="str">
            <v>PVC DRAINAGE  RISER HEAVY 4"Ø</v>
          </cell>
          <cell r="F240" t="str">
            <v>Ml</v>
          </cell>
          <cell r="H240">
            <v>5.0999999999999996</v>
          </cell>
          <cell r="I240">
            <v>5.0999999999999996</v>
          </cell>
          <cell r="L240">
            <v>5.0999999999999996</v>
          </cell>
        </row>
        <row r="241">
          <cell r="D241">
            <v>1</v>
          </cell>
          <cell r="E241" t="str">
            <v>PVC VENT RISER  HEAVY 4"Ø</v>
          </cell>
          <cell r="F241" t="str">
            <v>Ml</v>
          </cell>
          <cell r="H241">
            <v>5.0999999999999996</v>
          </cell>
          <cell r="I241">
            <v>5.0999999999999996</v>
          </cell>
          <cell r="L241">
            <v>5.0999999999999996</v>
          </cell>
        </row>
        <row r="242">
          <cell r="D242">
            <v>1</v>
          </cell>
          <cell r="E242" t="str">
            <v>PVC VENT RISER  HEAVY 3"Ø</v>
          </cell>
          <cell r="F242" t="str">
            <v>Ml</v>
          </cell>
          <cell r="H242">
            <v>7.9</v>
          </cell>
          <cell r="I242">
            <v>7.9</v>
          </cell>
          <cell r="L242">
            <v>7.9</v>
          </cell>
        </row>
        <row r="243">
          <cell r="D243">
            <v>1</v>
          </cell>
          <cell r="E243" t="str">
            <v>PVC VENT RISER  HEAVY 2"Ø</v>
          </cell>
          <cell r="F243" t="str">
            <v>Ml</v>
          </cell>
          <cell r="H243">
            <v>12.2</v>
          </cell>
          <cell r="I243">
            <v>12.2</v>
          </cell>
          <cell r="L243">
            <v>12.2</v>
          </cell>
        </row>
        <row r="244">
          <cell r="D244">
            <v>1</v>
          </cell>
          <cell r="E244" t="str">
            <v>PVC SUSPENDED PIPING SUPPLY &amp; INSTALLATION SERIES HEAVY 4"Ø</v>
          </cell>
          <cell r="F244" t="str">
            <v>Ml</v>
          </cell>
          <cell r="H244">
            <v>12.8</v>
          </cell>
          <cell r="I244">
            <v>12.8</v>
          </cell>
          <cell r="L244">
            <v>12.8</v>
          </cell>
        </row>
        <row r="245">
          <cell r="D245">
            <v>1</v>
          </cell>
          <cell r="E245" t="str">
            <v>PVC SUSPENDED PIPING SUPPLY &amp; INSTALLATION SERIES HEAVY 3"Ø</v>
          </cell>
          <cell r="F245" t="str">
            <v>Ml</v>
          </cell>
          <cell r="H245">
            <v>10</v>
          </cell>
          <cell r="I245">
            <v>10</v>
          </cell>
          <cell r="L245">
            <v>10</v>
          </cell>
        </row>
        <row r="246">
          <cell r="D246">
            <v>1</v>
          </cell>
          <cell r="E246" t="str">
            <v>PVC SUSPENDED PIPING SUPPLY &amp; INSTALLATION SERIES HEAVY 2"Ø</v>
          </cell>
          <cell r="F246" t="str">
            <v>Ml</v>
          </cell>
          <cell r="H246">
            <v>31.4</v>
          </cell>
          <cell r="I246">
            <v>31.4</v>
          </cell>
          <cell r="L246">
            <v>31.4</v>
          </cell>
        </row>
        <row r="247">
          <cell r="A247" t="str">
            <v>2.03.01</v>
          </cell>
          <cell r="B247" t="str">
            <v>COS</v>
          </cell>
          <cell r="C247" t="str">
            <v>C36-C37/F-G</v>
          </cell>
          <cell r="D247">
            <v>1</v>
          </cell>
          <cell r="E247" t="str">
            <v>DRAINAGE WITHIN THE BUILDING 1st LEVEL.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 t="str">
            <v>X</v>
          </cell>
          <cell r="L247">
            <v>1</v>
          </cell>
        </row>
        <row r="248">
          <cell r="D248">
            <v>1</v>
          </cell>
          <cell r="E248" t="str">
            <v>PVC DRAINAGE  RISER HEAVY 4"Ø</v>
          </cell>
          <cell r="F248" t="str">
            <v>Ml</v>
          </cell>
          <cell r="H248">
            <v>1.9</v>
          </cell>
          <cell r="I248">
            <v>1.9</v>
          </cell>
          <cell r="L248">
            <v>1.9</v>
          </cell>
        </row>
        <row r="249">
          <cell r="D249">
            <v>1</v>
          </cell>
          <cell r="E249" t="str">
            <v>PVC VENT RISER  HEAVY 4"Ø</v>
          </cell>
          <cell r="F249" t="str">
            <v>Ml</v>
          </cell>
          <cell r="H249">
            <v>1.9</v>
          </cell>
          <cell r="I249">
            <v>1.9</v>
          </cell>
          <cell r="L249">
            <v>1.9</v>
          </cell>
        </row>
        <row r="250">
          <cell r="D250">
            <v>1</v>
          </cell>
          <cell r="E250" t="str">
            <v>PVC VENT RISER  HEAVY 3"Ø</v>
          </cell>
          <cell r="F250" t="str">
            <v>Ml</v>
          </cell>
          <cell r="H250">
            <v>2.9</v>
          </cell>
          <cell r="I250">
            <v>2.9</v>
          </cell>
          <cell r="L250">
            <v>2.9</v>
          </cell>
        </row>
        <row r="251">
          <cell r="D251">
            <v>1</v>
          </cell>
          <cell r="E251" t="str">
            <v>PVC VENT RISER  HEAVY 2"Ø</v>
          </cell>
          <cell r="F251" t="str">
            <v>Ml</v>
          </cell>
          <cell r="H251">
            <v>4.5</v>
          </cell>
          <cell r="I251">
            <v>4.5</v>
          </cell>
          <cell r="L251">
            <v>4.5</v>
          </cell>
        </row>
        <row r="252">
          <cell r="D252">
            <v>1</v>
          </cell>
          <cell r="E252" t="str">
            <v>PVC SUSPENDED PIPING SUPPLY &amp; INSTALLATION SERIES HEAVY 4"Ø</v>
          </cell>
          <cell r="F252" t="str">
            <v>Ml</v>
          </cell>
          <cell r="H252">
            <v>4.8</v>
          </cell>
          <cell r="I252">
            <v>4.8</v>
          </cell>
          <cell r="L252">
            <v>4.8</v>
          </cell>
        </row>
        <row r="253">
          <cell r="D253">
            <v>1</v>
          </cell>
          <cell r="E253" t="str">
            <v>PVC SUSPENDED PIPING SUPPLY &amp; INSTALLATION SERIES HEAVY 3"Ø</v>
          </cell>
          <cell r="F253" t="str">
            <v>Ml</v>
          </cell>
          <cell r="H253">
            <v>3.6</v>
          </cell>
          <cell r="I253">
            <v>3.6</v>
          </cell>
          <cell r="L253">
            <v>3.6</v>
          </cell>
        </row>
        <row r="254">
          <cell r="D254">
            <v>1</v>
          </cell>
          <cell r="E254" t="str">
            <v>PVC SUSPENDED PIPING SUPPLY &amp; INSTALLATION SERIES HEAVY 2"Ø</v>
          </cell>
          <cell r="F254" t="str">
            <v>Ml</v>
          </cell>
          <cell r="H254">
            <v>11.4</v>
          </cell>
          <cell r="I254">
            <v>11.4</v>
          </cell>
          <cell r="L254">
            <v>11.4</v>
          </cell>
        </row>
        <row r="255">
          <cell r="A255" t="str">
            <v>2.03.01</v>
          </cell>
          <cell r="B255" t="str">
            <v>COS</v>
          </cell>
          <cell r="C255" t="str">
            <v>C37-C38/3C-4C</v>
          </cell>
          <cell r="D255">
            <v>1</v>
          </cell>
          <cell r="E255" t="str">
            <v>DRAINAGE WITHIN THE BUILDING 1st LEVEL.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 t="str">
            <v>X</v>
          </cell>
          <cell r="L255">
            <v>1</v>
          </cell>
        </row>
        <row r="256">
          <cell r="D256">
            <v>1</v>
          </cell>
          <cell r="E256" t="str">
            <v>PVC DRAINAGE  RISER HEAVY 4"Ø</v>
          </cell>
          <cell r="F256" t="str">
            <v>Ml</v>
          </cell>
          <cell r="H256">
            <v>3.7</v>
          </cell>
          <cell r="I256">
            <v>3.7</v>
          </cell>
          <cell r="L256">
            <v>3.7</v>
          </cell>
        </row>
        <row r="257">
          <cell r="D257">
            <v>1</v>
          </cell>
          <cell r="E257" t="str">
            <v>PVC VENT RISER  HEAVY 4"Ø</v>
          </cell>
          <cell r="F257" t="str">
            <v>Ml</v>
          </cell>
          <cell r="H257">
            <v>3.7</v>
          </cell>
          <cell r="I257">
            <v>3.7</v>
          </cell>
          <cell r="L257">
            <v>3.7</v>
          </cell>
        </row>
        <row r="258">
          <cell r="D258">
            <v>1</v>
          </cell>
          <cell r="E258" t="str">
            <v>PVC VENT RISER  HEAVY 3"Ø</v>
          </cell>
          <cell r="F258" t="str">
            <v>Ml</v>
          </cell>
          <cell r="H258">
            <v>5.7</v>
          </cell>
          <cell r="I258">
            <v>5.7</v>
          </cell>
          <cell r="L258">
            <v>5.7</v>
          </cell>
        </row>
        <row r="259">
          <cell r="D259">
            <v>1</v>
          </cell>
          <cell r="E259" t="str">
            <v>PVC VENT RISER  HEAVY 2"Ø</v>
          </cell>
          <cell r="F259" t="str">
            <v>Ml</v>
          </cell>
          <cell r="H259">
            <v>8.8000000000000007</v>
          </cell>
          <cell r="I259">
            <v>8.8000000000000007</v>
          </cell>
          <cell r="L259">
            <v>8.8000000000000007</v>
          </cell>
        </row>
        <row r="260">
          <cell r="D260">
            <v>1</v>
          </cell>
          <cell r="E260" t="str">
            <v>PVC SUSPENDED PIPING SUPPLY &amp; INSTALLATION SERIES HEAVY 4"Ø</v>
          </cell>
          <cell r="F260" t="str">
            <v>Ml</v>
          </cell>
          <cell r="H260">
            <v>9.1999999999999993</v>
          </cell>
          <cell r="I260">
            <v>9.1999999999999993</v>
          </cell>
          <cell r="L260">
            <v>9.1999999999999993</v>
          </cell>
        </row>
        <row r="261">
          <cell r="D261">
            <v>1</v>
          </cell>
          <cell r="E261" t="str">
            <v>PVC SUSPENDED PIPING SUPPLY &amp; INSTALLATION SERIES HEAVY 3"Ø</v>
          </cell>
          <cell r="F261" t="str">
            <v>Ml</v>
          </cell>
          <cell r="H261">
            <v>7.2</v>
          </cell>
          <cell r="I261">
            <v>7.2</v>
          </cell>
          <cell r="L261">
            <v>7.2</v>
          </cell>
        </row>
        <row r="262">
          <cell r="D262">
            <v>1</v>
          </cell>
          <cell r="E262" t="str">
            <v>PVC SUSPENDED PIPING SUPPLY &amp; INSTALLATION SERIES HEAVY 2"Ø</v>
          </cell>
          <cell r="F262" t="str">
            <v>Ml</v>
          </cell>
          <cell r="H262">
            <v>22.4</v>
          </cell>
          <cell r="I262">
            <v>22.4</v>
          </cell>
          <cell r="L262">
            <v>22.4</v>
          </cell>
        </row>
        <row r="263">
          <cell r="A263" t="str">
            <v>2.03.01</v>
          </cell>
          <cell r="B263" t="str">
            <v>COS</v>
          </cell>
          <cell r="C263" t="str">
            <v>C37-C38/4C-5C</v>
          </cell>
          <cell r="D263">
            <v>1</v>
          </cell>
          <cell r="E263" t="str">
            <v>DRAINAGE WITHIN THE BUILDING 1st LEVEL.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K263" t="str">
            <v>X</v>
          </cell>
          <cell r="L263">
            <v>1</v>
          </cell>
        </row>
        <row r="264">
          <cell r="D264">
            <v>1</v>
          </cell>
          <cell r="E264" t="str">
            <v>PVC DRAINAGE  RISER HEAVY 4"Ø</v>
          </cell>
          <cell r="F264" t="str">
            <v>Ml</v>
          </cell>
          <cell r="H264">
            <v>3.7</v>
          </cell>
          <cell r="I264">
            <v>3.7</v>
          </cell>
          <cell r="L264">
            <v>3.7</v>
          </cell>
        </row>
        <row r="265">
          <cell r="D265">
            <v>1</v>
          </cell>
          <cell r="E265" t="str">
            <v>PVC VENT RISER  HEAVY 4"Ø</v>
          </cell>
          <cell r="F265" t="str">
            <v>Ml</v>
          </cell>
          <cell r="H265">
            <v>3.7</v>
          </cell>
          <cell r="I265">
            <v>3.7</v>
          </cell>
          <cell r="L265">
            <v>3.7</v>
          </cell>
        </row>
        <row r="266">
          <cell r="D266">
            <v>1</v>
          </cell>
          <cell r="E266" t="str">
            <v>PVC VENT RISER  HEAVY 3"Ø</v>
          </cell>
          <cell r="F266" t="str">
            <v>Ml</v>
          </cell>
          <cell r="H266">
            <v>5.7</v>
          </cell>
          <cell r="I266">
            <v>5.7</v>
          </cell>
          <cell r="L266">
            <v>5.7</v>
          </cell>
        </row>
        <row r="267">
          <cell r="D267">
            <v>1</v>
          </cell>
          <cell r="E267" t="str">
            <v>PVC VENT RISER  HEAVY 2"Ø</v>
          </cell>
          <cell r="F267" t="str">
            <v>Ml</v>
          </cell>
          <cell r="H267">
            <v>8.8000000000000007</v>
          </cell>
          <cell r="I267">
            <v>8.8000000000000007</v>
          </cell>
          <cell r="L267">
            <v>8.8000000000000007</v>
          </cell>
        </row>
        <row r="268">
          <cell r="D268">
            <v>1</v>
          </cell>
          <cell r="E268" t="str">
            <v>PVC SUSPENDED PIPING SUPPLY &amp; INSTALLATION SERIES HEAVY 4"Ø</v>
          </cell>
          <cell r="F268" t="str">
            <v>Ml</v>
          </cell>
          <cell r="H268">
            <v>9.1</v>
          </cell>
          <cell r="I268">
            <v>9.1</v>
          </cell>
          <cell r="L268">
            <v>9.1</v>
          </cell>
        </row>
        <row r="269">
          <cell r="D269">
            <v>1</v>
          </cell>
          <cell r="E269" t="str">
            <v>PVC SUSPENDED PIPING SUPPLY &amp; INSTALLATION SERIES HEAVY 3"Ø</v>
          </cell>
          <cell r="F269" t="str">
            <v>Ml</v>
          </cell>
          <cell r="H269">
            <v>7.2</v>
          </cell>
          <cell r="I269">
            <v>7.2</v>
          </cell>
          <cell r="L269">
            <v>7.2</v>
          </cell>
        </row>
        <row r="270">
          <cell r="D270">
            <v>1</v>
          </cell>
          <cell r="E270" t="str">
            <v>PVC SUSPENDED PIPING SUPPLY &amp; INSTALLATION SERIES HEAVY 2"Ø</v>
          </cell>
          <cell r="F270" t="str">
            <v>Ml</v>
          </cell>
          <cell r="H270">
            <v>22.4</v>
          </cell>
          <cell r="I270">
            <v>22.4</v>
          </cell>
          <cell r="L270">
            <v>22.4</v>
          </cell>
        </row>
        <row r="271">
          <cell r="A271" t="str">
            <v>2.03.01</v>
          </cell>
          <cell r="B271" t="str">
            <v>COS</v>
          </cell>
          <cell r="C271" t="str">
            <v>C51-C52/2C-3C</v>
          </cell>
          <cell r="D271">
            <v>1</v>
          </cell>
          <cell r="E271" t="str">
            <v>DRAINAGE WITHIN THE BUILDING 1st LEVEL.</v>
          </cell>
          <cell r="G271">
            <v>1</v>
          </cell>
          <cell r="H271">
            <v>1</v>
          </cell>
          <cell r="I271">
            <v>1</v>
          </cell>
          <cell r="J271">
            <v>1</v>
          </cell>
          <cell r="K271" t="str">
            <v>X</v>
          </cell>
          <cell r="L271">
            <v>1</v>
          </cell>
        </row>
        <row r="272">
          <cell r="D272">
            <v>2</v>
          </cell>
          <cell r="E272" t="str">
            <v>PVC DRAINAGE  RISER HEAVY 4"Ø</v>
          </cell>
          <cell r="F272" t="str">
            <v>Ml</v>
          </cell>
          <cell r="H272">
            <v>1.5</v>
          </cell>
          <cell r="I272">
            <v>1.5</v>
          </cell>
          <cell r="L272">
            <v>1.5</v>
          </cell>
        </row>
        <row r="273">
          <cell r="D273">
            <v>2</v>
          </cell>
          <cell r="E273" t="str">
            <v>PVC VENT RISER  HEAVY 4"Ø</v>
          </cell>
          <cell r="F273" t="str">
            <v>Ml</v>
          </cell>
          <cell r="H273">
            <v>1.5</v>
          </cell>
          <cell r="I273">
            <v>1.5</v>
          </cell>
          <cell r="L273">
            <v>1.5</v>
          </cell>
        </row>
        <row r="274">
          <cell r="D274">
            <v>2</v>
          </cell>
          <cell r="E274" t="str">
            <v>PVC VENT RISER  HEAVY 3"Ø</v>
          </cell>
          <cell r="F274" t="str">
            <v>Ml</v>
          </cell>
          <cell r="H274">
            <v>2.4</v>
          </cell>
          <cell r="I274">
            <v>2.4</v>
          </cell>
          <cell r="L274">
            <v>2.4</v>
          </cell>
        </row>
        <row r="275">
          <cell r="D275">
            <v>2</v>
          </cell>
          <cell r="E275" t="str">
            <v>PVC VENT RISER  HEAVY 2"Ø</v>
          </cell>
          <cell r="F275" t="str">
            <v>Ml</v>
          </cell>
          <cell r="H275">
            <v>3.6</v>
          </cell>
          <cell r="I275">
            <v>3.6</v>
          </cell>
          <cell r="L275">
            <v>3.6</v>
          </cell>
        </row>
        <row r="276">
          <cell r="D276">
            <v>2</v>
          </cell>
          <cell r="E276" t="str">
            <v>PVC SUSPENDED PIPING SUPPLY &amp; INSTALLATION SERIES HEAVY 4"Ø</v>
          </cell>
          <cell r="F276" t="str">
            <v>Ml</v>
          </cell>
          <cell r="H276">
            <v>3.9</v>
          </cell>
          <cell r="I276">
            <v>3.9</v>
          </cell>
          <cell r="L276">
            <v>3.9</v>
          </cell>
        </row>
        <row r="277">
          <cell r="D277">
            <v>2</v>
          </cell>
          <cell r="E277" t="str">
            <v>PVC SUSPENDED PIPING SUPPLY &amp; INSTALLATION SERIES HEAVY 3"Ø</v>
          </cell>
          <cell r="F277" t="str">
            <v>Ml</v>
          </cell>
          <cell r="H277">
            <v>2.8</v>
          </cell>
          <cell r="I277">
            <v>2.8</v>
          </cell>
          <cell r="L277">
            <v>2.8</v>
          </cell>
        </row>
        <row r="278">
          <cell r="D278">
            <v>2</v>
          </cell>
          <cell r="E278" t="str">
            <v>PVC SUSPENDED PIPING SUPPLY &amp; INSTALLATION SERIES HEAVY 2"Ø</v>
          </cell>
          <cell r="F278" t="str">
            <v>Ml</v>
          </cell>
          <cell r="H278">
            <v>9.1999999999999993</v>
          </cell>
          <cell r="I278">
            <v>9.1999999999999993</v>
          </cell>
          <cell r="L278">
            <v>9.1999999999999993</v>
          </cell>
        </row>
        <row r="279">
          <cell r="A279" t="str">
            <v>2.03.01</v>
          </cell>
          <cell r="B279" t="str">
            <v>COS</v>
          </cell>
          <cell r="C279" t="str">
            <v>C38-C39/K-L</v>
          </cell>
          <cell r="D279">
            <v>2</v>
          </cell>
          <cell r="E279" t="str">
            <v>DRAINAGE WITHIN THE BUILDING 2nd LEVEL.</v>
          </cell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 t="str">
            <v>X</v>
          </cell>
          <cell r="L279">
            <v>1</v>
          </cell>
        </row>
        <row r="280">
          <cell r="D280">
            <v>2</v>
          </cell>
          <cell r="E280" t="str">
            <v>PVC DRAINAGE  RISER HEAVY 4"Ø</v>
          </cell>
          <cell r="F280" t="str">
            <v>Ml</v>
          </cell>
          <cell r="H280">
            <v>5.0999999999999996</v>
          </cell>
          <cell r="I280">
            <v>5.0999999999999996</v>
          </cell>
          <cell r="L280">
            <v>5.0999999999999996</v>
          </cell>
        </row>
        <row r="281">
          <cell r="D281">
            <v>2</v>
          </cell>
          <cell r="E281" t="str">
            <v>PVC VENT RISER  HEAVY 4"Ø</v>
          </cell>
          <cell r="F281" t="str">
            <v>Ml</v>
          </cell>
          <cell r="H281">
            <v>5.0999999999999996</v>
          </cell>
          <cell r="I281">
            <v>5.0999999999999996</v>
          </cell>
          <cell r="L281">
            <v>5.0999999999999996</v>
          </cell>
        </row>
        <row r="282">
          <cell r="D282">
            <v>2</v>
          </cell>
          <cell r="E282" t="str">
            <v>PVC VENT RISER  HEAVY 3"Ø</v>
          </cell>
          <cell r="F282" t="str">
            <v>Ml</v>
          </cell>
          <cell r="H282">
            <v>8.1</v>
          </cell>
          <cell r="I282">
            <v>8.1</v>
          </cell>
          <cell r="L282">
            <v>8.1</v>
          </cell>
        </row>
        <row r="283">
          <cell r="D283">
            <v>2</v>
          </cell>
          <cell r="E283" t="str">
            <v>PVC VENT RISER  HEAVY 2"Ø</v>
          </cell>
          <cell r="F283" t="str">
            <v>Ml</v>
          </cell>
          <cell r="H283">
            <v>12.1</v>
          </cell>
          <cell r="I283">
            <v>12.1</v>
          </cell>
          <cell r="L283">
            <v>12.1</v>
          </cell>
        </row>
        <row r="284">
          <cell r="D284">
            <v>2</v>
          </cell>
          <cell r="E284" t="str">
            <v>PVC SUSPENDED PIPING SUPPLY &amp; INSTALLATION SERIES HEAVY 4"Ø</v>
          </cell>
          <cell r="F284" t="str">
            <v>Ml</v>
          </cell>
          <cell r="H284">
            <v>12.9</v>
          </cell>
          <cell r="I284">
            <v>12.9</v>
          </cell>
          <cell r="L284">
            <v>12.9</v>
          </cell>
        </row>
        <row r="285">
          <cell r="D285">
            <v>2</v>
          </cell>
          <cell r="E285" t="str">
            <v>PVC SUSPENDED PIPING SUPPLY &amp; INSTALLATION SERIES HEAVY 3"Ø</v>
          </cell>
          <cell r="F285" t="str">
            <v>Ml</v>
          </cell>
          <cell r="H285">
            <v>9.9</v>
          </cell>
          <cell r="I285">
            <v>9.9</v>
          </cell>
          <cell r="L285">
            <v>9.9</v>
          </cell>
        </row>
        <row r="286">
          <cell r="D286">
            <v>2</v>
          </cell>
          <cell r="E286" t="str">
            <v>PVC SUSPENDED PIPING SUPPLY &amp; INSTALLATION SERIES HEAVY 2"Ø</v>
          </cell>
          <cell r="F286" t="str">
            <v>Ml</v>
          </cell>
          <cell r="H286">
            <v>31.4</v>
          </cell>
          <cell r="I286">
            <v>31.4</v>
          </cell>
          <cell r="L286">
            <v>31.4</v>
          </cell>
        </row>
        <row r="287">
          <cell r="A287" t="str">
            <v>2.03.01</v>
          </cell>
          <cell r="B287" t="str">
            <v>COS</v>
          </cell>
          <cell r="C287" t="str">
            <v>C44-C45/3C-4C</v>
          </cell>
          <cell r="D287">
            <v>2</v>
          </cell>
          <cell r="E287" t="str">
            <v>DRAINAGE WITHIN THE BUILDING 2nd LEVEL.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 t="str">
            <v>X</v>
          </cell>
          <cell r="L287">
            <v>1</v>
          </cell>
        </row>
        <row r="288">
          <cell r="A288" t="str">
            <v>PAY ITEM</v>
          </cell>
          <cell r="B288" t="str">
            <v>FACILITY</v>
          </cell>
          <cell r="C288" t="str">
            <v>EJES</v>
          </cell>
          <cell r="D288" t="str">
            <v>LEVEL</v>
          </cell>
          <cell r="E288" t="str">
            <v>DESCRIPTION</v>
          </cell>
          <cell r="F288" t="str">
            <v>UND</v>
          </cell>
          <cell r="H288" t="str">
            <v>INST. APAR. SAN.60%</v>
          </cell>
          <cell r="I288" t="str">
            <v>INST. FLUX. o GRIF.25%</v>
          </cell>
          <cell r="J288" t="str">
            <v>CONEX.  AP Y SW5%</v>
          </cell>
          <cell r="K288" t="str">
            <v>PRUEBA10%</v>
          </cell>
          <cell r="L288" t="str">
            <v>QtytoDate</v>
          </cell>
        </row>
        <row r="289">
          <cell r="A289" t="str">
            <v>3.01.01</v>
          </cell>
          <cell r="C289"/>
          <cell r="E289" t="str">
            <v>WATER  CLOSET  FOR  PUBLIC  AREAS,  WALL MOUNTED WHITE COLOR, WITH WATER CLOSET FLUSH VALVE AND TRANSFORMER.</v>
          </cell>
          <cell r="F289" t="str">
            <v>EA</v>
          </cell>
          <cell r="G289" t="str">
            <v>-</v>
          </cell>
          <cell r="H289">
            <v>11</v>
          </cell>
          <cell r="I289">
            <v>11</v>
          </cell>
          <cell r="J289">
            <v>11</v>
          </cell>
          <cell r="K289">
            <v>11</v>
          </cell>
          <cell r="L289">
            <v>11</v>
          </cell>
        </row>
        <row r="290">
          <cell r="A290" t="str">
            <v>3.01.02</v>
          </cell>
          <cell r="E290" t="str">
            <v>URINAL FOR PUBLIC AREAS, WHITE COLOR, WITH WATER CLOSET FLUSH VALVE AND TRANSFORMER</v>
          </cell>
          <cell r="F290" t="str">
            <v>EA</v>
          </cell>
          <cell r="G290" t="str">
            <v>-</v>
          </cell>
          <cell r="H290">
            <v>5</v>
          </cell>
          <cell r="I290">
            <v>5</v>
          </cell>
          <cell r="J290">
            <v>5</v>
          </cell>
          <cell r="K290">
            <v>5</v>
          </cell>
          <cell r="L290">
            <v>5</v>
          </cell>
        </row>
        <row r="291">
          <cell r="A291" t="str">
            <v>3.01.03</v>
          </cell>
          <cell r="E291" t="str">
            <v>LAVATORY HANDBASIN FOR PUBLIC AREAS, WHITE COLOR, TRANSFORMER, SINGLE SUPPLY FAUCET.</v>
          </cell>
          <cell r="F291" t="str">
            <v>EA</v>
          </cell>
          <cell r="G291" t="str">
            <v>-</v>
          </cell>
          <cell r="H291">
            <v>10</v>
          </cell>
          <cell r="I291">
            <v>10</v>
          </cell>
          <cell r="J291">
            <v>10</v>
          </cell>
          <cell r="K291">
            <v>10</v>
          </cell>
          <cell r="L291">
            <v>10</v>
          </cell>
        </row>
        <row r="292">
          <cell r="A292" t="str">
            <v>3.01.04</v>
          </cell>
          <cell r="E292" t="str">
            <v xml:space="preserve">LAVATORY FOR HANDICAPPED USERS </v>
          </cell>
          <cell r="F292" t="str">
            <v>EA</v>
          </cell>
          <cell r="G292" t="str">
            <v>-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</row>
        <row r="293">
          <cell r="A293" t="str">
            <v>3.01.05</v>
          </cell>
          <cell r="E293" t="str">
            <v>SERVICE  SINK</v>
          </cell>
          <cell r="F293" t="str">
            <v>EA</v>
          </cell>
          <cell r="G293" t="str">
            <v>-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</row>
        <row r="294">
          <cell r="A294" t="str">
            <v>3.01</v>
          </cell>
          <cell r="B294" t="str">
            <v>TE</v>
          </cell>
          <cell r="C294" t="str">
            <v>24-24'/C-D</v>
          </cell>
          <cell r="D294">
            <v>1</v>
          </cell>
          <cell r="E294" t="str">
            <v>TERMINAL  FIXTURES SUPPLY AND INSTALLATION</v>
          </cell>
          <cell r="G294" t="str">
            <v>-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</row>
        <row r="295">
          <cell r="A295" t="str">
            <v>3.01.01</v>
          </cell>
          <cell r="E295" t="str">
            <v>WATER  CLOSET  FOR  PUBLIC  AREAS,  WALL MOUNTED WHITE COLOR, WITH WATER CLOSET FLUSH VALVE AND TRANSFORMER.</v>
          </cell>
          <cell r="F295" t="str">
            <v>EA</v>
          </cell>
          <cell r="G295" t="str">
            <v>-</v>
          </cell>
          <cell r="L295">
            <v>11</v>
          </cell>
        </row>
        <row r="296">
          <cell r="A296" t="str">
            <v>3.01.02</v>
          </cell>
          <cell r="E296" t="str">
            <v>URINAL FOR PUBLIC AREAS, WHITE COLOR, WITH WATER CLOSET FLUSH VALVE AND TRANSFORMER</v>
          </cell>
          <cell r="F296" t="str">
            <v>EA</v>
          </cell>
          <cell r="G296" t="str">
            <v>-</v>
          </cell>
          <cell r="L296">
            <v>4</v>
          </cell>
        </row>
        <row r="297">
          <cell r="A297" t="str">
            <v>3.01.03</v>
          </cell>
          <cell r="E297" t="str">
            <v>LAVATORY HANDBASIN FOR PUBLIC AREAS, WHITE COLOR, TRANSFORMER, SINGLE SUPPLY FAUCET.</v>
          </cell>
          <cell r="F297" t="str">
            <v>EA</v>
          </cell>
          <cell r="G297" t="str">
            <v>-</v>
          </cell>
          <cell r="L297">
            <v>9</v>
          </cell>
        </row>
        <row r="298">
          <cell r="A298" t="str">
            <v>3.01.04</v>
          </cell>
          <cell r="E298" t="str">
            <v xml:space="preserve">LAVATORY FOR HANDICAPPED USERS </v>
          </cell>
          <cell r="F298" t="str">
            <v>EA</v>
          </cell>
          <cell r="G298" t="str">
            <v>-</v>
          </cell>
          <cell r="L298">
            <v>1</v>
          </cell>
        </row>
        <row r="299">
          <cell r="A299" t="str">
            <v>3.01.05</v>
          </cell>
          <cell r="E299" t="str">
            <v>SERVICE  SINK</v>
          </cell>
          <cell r="F299" t="str">
            <v>EA</v>
          </cell>
          <cell r="G299" t="str">
            <v>-</v>
          </cell>
          <cell r="L299">
            <v>1</v>
          </cell>
        </row>
        <row r="300">
          <cell r="A300" t="str">
            <v>3.01</v>
          </cell>
          <cell r="B300" t="str">
            <v>TE</v>
          </cell>
          <cell r="C300" t="str">
            <v>10-11/C-E</v>
          </cell>
          <cell r="D300">
            <v>1</v>
          </cell>
          <cell r="E300" t="str">
            <v>TERMINAL  FIXTURES SUPPLY AND INSTALLATION</v>
          </cell>
          <cell r="G300" t="str">
            <v>-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3.01.01</v>
          </cell>
          <cell r="E301" t="str">
            <v>WATER  CLOSET  FOR  PUBLIC  AREAS,  WALL MOUNTED WHITE COLOR, WITH WATER CLOSET FLUSH VALVE AND TRANSFORMER.</v>
          </cell>
          <cell r="F301" t="str">
            <v>EA</v>
          </cell>
          <cell r="G301" t="str">
            <v>-</v>
          </cell>
          <cell r="H301">
            <v>5</v>
          </cell>
          <cell r="I301">
            <v>5</v>
          </cell>
          <cell r="J301">
            <v>5</v>
          </cell>
          <cell r="L301">
            <v>5</v>
          </cell>
        </row>
        <row r="302">
          <cell r="A302" t="str">
            <v>3.01.02</v>
          </cell>
          <cell r="E302" t="str">
            <v>URINAL FOR PUBLIC AREAS, WHITE COLOR, WITH WATER CLOSET FLUSH VALVE AND TRANSFORMER</v>
          </cell>
          <cell r="F302" t="str">
            <v>EA</v>
          </cell>
          <cell r="G302" t="str">
            <v>-</v>
          </cell>
          <cell r="H302">
            <v>2</v>
          </cell>
          <cell r="I302">
            <v>2</v>
          </cell>
          <cell r="J302">
            <v>2</v>
          </cell>
          <cell r="L302">
            <v>2</v>
          </cell>
        </row>
        <row r="303">
          <cell r="A303" t="str">
            <v>3.01.03</v>
          </cell>
          <cell r="E303" t="str">
            <v>LAVATORY HANDBASIN FOR PUBLIC AREAS, WHITE COLOR, TRANSFORMER, SINGLE SUPPLY FAUCET.</v>
          </cell>
          <cell r="F303" t="str">
            <v>EA</v>
          </cell>
          <cell r="G303" t="str">
            <v>-</v>
          </cell>
          <cell r="H303">
            <v>4</v>
          </cell>
          <cell r="I303">
            <v>4</v>
          </cell>
          <cell r="J303">
            <v>4</v>
          </cell>
          <cell r="L303">
            <v>4</v>
          </cell>
        </row>
        <row r="304">
          <cell r="A304" t="str">
            <v>3.01.04</v>
          </cell>
          <cell r="E304" t="str">
            <v xml:space="preserve">LAVATORY FOR HANDICAPPED USERS </v>
          </cell>
          <cell r="F304" t="str">
            <v>EA</v>
          </cell>
          <cell r="G304" t="str">
            <v>-</v>
          </cell>
          <cell r="H304">
            <v>1</v>
          </cell>
          <cell r="I304">
            <v>1</v>
          </cell>
          <cell r="J304">
            <v>1</v>
          </cell>
          <cell r="L304">
            <v>1</v>
          </cell>
        </row>
        <row r="305">
          <cell r="A305" t="str">
            <v>3.01.05</v>
          </cell>
          <cell r="E305" t="str">
            <v>SERVICE  SINK</v>
          </cell>
          <cell r="F305" t="str">
            <v>EA</v>
          </cell>
          <cell r="G305" t="str">
            <v>-</v>
          </cell>
          <cell r="H305">
            <v>1</v>
          </cell>
          <cell r="I305">
            <v>1</v>
          </cell>
          <cell r="J305">
            <v>1</v>
          </cell>
          <cell r="L305">
            <v>1</v>
          </cell>
        </row>
        <row r="306">
          <cell r="A306" t="str">
            <v>3.01</v>
          </cell>
          <cell r="B306" t="str">
            <v>TE</v>
          </cell>
          <cell r="C306" t="str">
            <v>21-22/E-E'</v>
          </cell>
          <cell r="D306">
            <v>1</v>
          </cell>
          <cell r="E306" t="str">
            <v>PERU PLAZA  FIXTURES SUPPLY AND INSTALLATION</v>
          </cell>
          <cell r="G306" t="str">
            <v>-</v>
          </cell>
          <cell r="H306">
            <v>1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</row>
        <row r="307">
          <cell r="A307" t="str">
            <v>3.02a.01</v>
          </cell>
          <cell r="E307" t="str">
            <v>WATER CLOSET FOR PUBLIC AREAS, WHITE COLOR, WITH WATER CLOSET FLUSH VALVE AND TRANSFORMER.</v>
          </cell>
          <cell r="F307" t="str">
            <v>EA</v>
          </cell>
          <cell r="G307" t="str">
            <v>-</v>
          </cell>
          <cell r="H307">
            <v>1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</row>
        <row r="308">
          <cell r="A308" t="str">
            <v>3.02a.04</v>
          </cell>
          <cell r="E308" t="str">
            <v>WATER CLOSET FOR SERVICE AREAS, WHITE COLOR, FLASH VALVE VAINSA</v>
          </cell>
          <cell r="F308" t="str">
            <v>EA</v>
          </cell>
          <cell r="G308" t="str">
            <v>-</v>
          </cell>
          <cell r="H308">
            <v>8</v>
          </cell>
          <cell r="I308">
            <v>8</v>
          </cell>
          <cell r="J308">
            <v>8</v>
          </cell>
          <cell r="K308">
            <v>8</v>
          </cell>
          <cell r="L308">
            <v>8</v>
          </cell>
        </row>
        <row r="309">
          <cell r="A309" t="str">
            <v>3.02a.05</v>
          </cell>
          <cell r="E309" t="str">
            <v>URINAL FOR SERVICE AREAS WHITE COLOR FLUSH VALVE VAINSA</v>
          </cell>
          <cell r="F309" t="str">
            <v>EA</v>
          </cell>
          <cell r="G309" t="str">
            <v>-</v>
          </cell>
          <cell r="H309">
            <v>3</v>
          </cell>
          <cell r="I309">
            <v>3</v>
          </cell>
          <cell r="J309">
            <v>3</v>
          </cell>
          <cell r="K309">
            <v>3</v>
          </cell>
          <cell r="L309">
            <v>3</v>
          </cell>
        </row>
        <row r="310">
          <cell r="A310" t="str">
            <v>3.02a.06</v>
          </cell>
          <cell r="E310" t="str">
            <v>LAVARATORY HANDBASIN FOR SERVICE  AREAS  WHITE COLOR</v>
          </cell>
          <cell r="F310" t="str">
            <v>EA</v>
          </cell>
          <cell r="G310" t="str">
            <v>-</v>
          </cell>
          <cell r="H310">
            <v>8</v>
          </cell>
          <cell r="I310">
            <v>8</v>
          </cell>
          <cell r="J310">
            <v>8</v>
          </cell>
          <cell r="K310">
            <v>8</v>
          </cell>
          <cell r="L310">
            <v>8</v>
          </cell>
        </row>
        <row r="311">
          <cell r="A311" t="str">
            <v>3.02a.07</v>
          </cell>
          <cell r="E311" t="str">
            <v xml:space="preserve">LAVATORY FOR HANDICAPPED USERS </v>
          </cell>
          <cell r="F311" t="str">
            <v>EA</v>
          </cell>
          <cell r="G311" t="str">
            <v>-</v>
          </cell>
          <cell r="H311">
            <v>1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</row>
        <row r="312">
          <cell r="A312" t="str">
            <v>3.02a.08</v>
          </cell>
          <cell r="E312" t="str">
            <v>SERVICE  SINK</v>
          </cell>
          <cell r="F312" t="str">
            <v>EA</v>
          </cell>
          <cell r="G312" t="str">
            <v>-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</row>
        <row r="313">
          <cell r="A313" t="str">
            <v>3.02a</v>
          </cell>
          <cell r="B313" t="str">
            <v>PP</v>
          </cell>
          <cell r="C313" t="str">
            <v>C15-C17/3P-4P</v>
          </cell>
          <cell r="D313">
            <v>1</v>
          </cell>
          <cell r="E313" t="str">
            <v>PERU PLAZA  FIXTURES SUPPLY AND INSTALLATION</v>
          </cell>
          <cell r="G313" t="str">
            <v>-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</row>
        <row r="314">
          <cell r="A314" t="str">
            <v>3.02b.01</v>
          </cell>
          <cell r="E314" t="str">
            <v>WATER CLOSET FOR PUBLIC AREAS, WHITE COLOR, WITH WATER CLOSET FLUSH VALVE AND TRANSFORMER.</v>
          </cell>
          <cell r="F314" t="str">
            <v>EA</v>
          </cell>
          <cell r="G314" t="str">
            <v>-</v>
          </cell>
          <cell r="H314">
            <v>10</v>
          </cell>
          <cell r="I314">
            <v>10</v>
          </cell>
          <cell r="J314">
            <v>10</v>
          </cell>
          <cell r="K314">
            <v>10</v>
          </cell>
          <cell r="L314">
            <v>10</v>
          </cell>
        </row>
        <row r="315">
          <cell r="A315" t="str">
            <v>3.02b.02</v>
          </cell>
          <cell r="E315" t="str">
            <v>URINAL FOR PUBLIC AREAS, WHITE COLOR, WITH WATER CLOSET FLUSH VALVE AND TRANSFORMER</v>
          </cell>
          <cell r="F315" t="str">
            <v>EA</v>
          </cell>
          <cell r="G315" t="str">
            <v>-</v>
          </cell>
          <cell r="H315">
            <v>6</v>
          </cell>
          <cell r="I315">
            <v>6</v>
          </cell>
          <cell r="J315">
            <v>6</v>
          </cell>
          <cell r="K315">
            <v>6</v>
          </cell>
          <cell r="L315">
            <v>6</v>
          </cell>
        </row>
        <row r="316">
          <cell r="A316" t="str">
            <v>3.02b.03</v>
          </cell>
          <cell r="E316" t="str">
            <v>LAVATORY HANDBASIN FOR PUBLIC AREAS, WHITE COLOR, TRANSFORMER, SINGLE SUPPLY FAUCET.</v>
          </cell>
          <cell r="F316" t="str">
            <v>EA</v>
          </cell>
          <cell r="G316" t="str">
            <v>-</v>
          </cell>
          <cell r="H316">
            <v>10</v>
          </cell>
          <cell r="I316">
            <v>10</v>
          </cell>
          <cell r="J316">
            <v>10</v>
          </cell>
          <cell r="K316">
            <v>10</v>
          </cell>
          <cell r="L316">
            <v>10</v>
          </cell>
        </row>
        <row r="317">
          <cell r="A317" t="str">
            <v>3.02b.10</v>
          </cell>
          <cell r="E317" t="str">
            <v>SERVICE  SINK</v>
          </cell>
          <cell r="F317" t="str">
            <v>EA</v>
          </cell>
          <cell r="G317" t="str">
            <v>-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</row>
        <row r="318">
          <cell r="A318" t="str">
            <v>3.02b</v>
          </cell>
          <cell r="B318" t="str">
            <v>PP</v>
          </cell>
          <cell r="C318" t="str">
            <v>C15-C18/3P-5P</v>
          </cell>
          <cell r="D318">
            <v>2</v>
          </cell>
          <cell r="E318" t="str">
            <v>PERU PLAZA  FIXTURES SUPPLY AND INSTALLATION</v>
          </cell>
          <cell r="G318" t="str">
            <v>-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</row>
        <row r="319">
          <cell r="A319" t="str">
            <v>3.02b.01</v>
          </cell>
          <cell r="E319" t="str">
            <v>WATER CLOSET FOR PUBLIC AREAS, WHITE COLOR, WITH WATER CLOSET FLUSH VALVE AND TRANSFORMER.</v>
          </cell>
          <cell r="F319" t="str">
            <v>EA</v>
          </cell>
          <cell r="G319" t="str">
            <v>-</v>
          </cell>
          <cell r="H319">
            <v>11</v>
          </cell>
          <cell r="I319">
            <v>11</v>
          </cell>
          <cell r="J319">
            <v>11</v>
          </cell>
          <cell r="K319">
            <v>11</v>
          </cell>
          <cell r="L319">
            <v>11</v>
          </cell>
        </row>
        <row r="320">
          <cell r="A320" t="str">
            <v>3.02b.02</v>
          </cell>
          <cell r="E320" t="str">
            <v>URINAL FOR PUBLIC AREAS, WHITE COLOR, WITH WATER CLOSET FLUSH VALVE AND TRANSFORMER</v>
          </cell>
          <cell r="F320" t="str">
            <v>EA</v>
          </cell>
          <cell r="G320" t="str">
            <v>-</v>
          </cell>
          <cell r="H320">
            <v>5</v>
          </cell>
          <cell r="I320">
            <v>5</v>
          </cell>
          <cell r="J320">
            <v>5</v>
          </cell>
          <cell r="K320">
            <v>5</v>
          </cell>
          <cell r="L320">
            <v>5</v>
          </cell>
        </row>
        <row r="321">
          <cell r="A321" t="str">
            <v>3.02b.03</v>
          </cell>
          <cell r="E321" t="str">
            <v>LAVATORY HANDBASIN FOR PUBLIC AREAS, WHITE COLOR, TRANSFORMER, SINGLE SUPPLY FAUCET.</v>
          </cell>
          <cell r="F321" t="str">
            <v>EA</v>
          </cell>
          <cell r="G321" t="str">
            <v>-</v>
          </cell>
          <cell r="H321">
            <v>10</v>
          </cell>
          <cell r="I321">
            <v>10</v>
          </cell>
          <cell r="J321">
            <v>10</v>
          </cell>
          <cell r="K321">
            <v>10</v>
          </cell>
          <cell r="L321">
            <v>10</v>
          </cell>
        </row>
        <row r="322">
          <cell r="A322" t="str">
            <v>3.02b.09</v>
          </cell>
          <cell r="E322" t="str">
            <v>LAVATORY  FOR HANDICOPPED USERS</v>
          </cell>
          <cell r="F322" t="str">
            <v>EA</v>
          </cell>
          <cell r="G322" t="str">
            <v>-</v>
          </cell>
          <cell r="H322">
            <v>1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</row>
        <row r="323">
          <cell r="A323" t="str">
            <v>3.02b.10</v>
          </cell>
          <cell r="E323" t="str">
            <v>SERVICE  SINK</v>
          </cell>
          <cell r="F323" t="str">
            <v>EA</v>
          </cell>
          <cell r="G323" t="str">
            <v>-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</row>
        <row r="324">
          <cell r="A324" t="str">
            <v>3.02b</v>
          </cell>
          <cell r="B324" t="str">
            <v>PP</v>
          </cell>
          <cell r="C324" t="str">
            <v>C22-C23/3P-5P</v>
          </cell>
          <cell r="D324">
            <v>2</v>
          </cell>
          <cell r="E324" t="str">
            <v>PERU PLAZA  FIXTURES SUPPLY AND INSTALLATION</v>
          </cell>
          <cell r="G324" t="str">
            <v>-</v>
          </cell>
          <cell r="H324">
            <v>1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</row>
        <row r="325">
          <cell r="A325" t="str">
            <v>3.02b.01</v>
          </cell>
          <cell r="E325" t="str">
            <v>WATER CLOSET FOR PUBLIC AREAS, WHITE COLOR, WITH WATER CLOSET FLUSH VALVE AND TRANSFORMER.</v>
          </cell>
          <cell r="F325" t="str">
            <v>EA</v>
          </cell>
          <cell r="G325" t="str">
            <v>-</v>
          </cell>
          <cell r="H325">
            <v>2</v>
          </cell>
          <cell r="I325">
            <v>2</v>
          </cell>
          <cell r="J325">
            <v>2</v>
          </cell>
          <cell r="K325">
            <v>2</v>
          </cell>
          <cell r="L325">
            <v>2</v>
          </cell>
        </row>
        <row r="326">
          <cell r="A326" t="str">
            <v>3.02b.08</v>
          </cell>
          <cell r="E326" t="str">
            <v>LAVARATORY HANDBASIN FOR SERVICE  AREAS WHITE COLOR</v>
          </cell>
          <cell r="F326" t="str">
            <v>EA</v>
          </cell>
          <cell r="G326" t="str">
            <v>-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2</v>
          </cell>
        </row>
        <row r="327">
          <cell r="A327" t="str">
            <v>3.02b</v>
          </cell>
          <cell r="B327" t="str">
            <v>PP</v>
          </cell>
          <cell r="C327" t="str">
            <v>C22-C23/6P</v>
          </cell>
          <cell r="D327">
            <v>2</v>
          </cell>
          <cell r="E327" t="str">
            <v>PERU PLAZA  FIXTURES SUPPLY AND INSTALLATION</v>
          </cell>
          <cell r="G327" t="str">
            <v>-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</row>
        <row r="328">
          <cell r="A328" t="str">
            <v>3.02b.04</v>
          </cell>
          <cell r="E328" t="str">
            <v>SHOWER FAUCET TWO HANDLE SHOWER FAUCET. FLOOR DRAIN  2"Ø.</v>
          </cell>
          <cell r="F328" t="str">
            <v>EA</v>
          </cell>
          <cell r="G328" t="str">
            <v>-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</row>
        <row r="329">
          <cell r="A329" t="str">
            <v>3.02b.05</v>
          </cell>
          <cell r="E329" t="str">
            <v>ELECTRIC INSTANTANEOS HEATERS FOR HOT WATER FOR SHOWERS</v>
          </cell>
          <cell r="F329" t="str">
            <v>EA</v>
          </cell>
          <cell r="G329" t="str">
            <v>-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</row>
        <row r="330">
          <cell r="A330" t="str">
            <v>3.02b.06</v>
          </cell>
          <cell r="E330" t="str">
            <v>WATER CLOSET FOR SERVICE AREAS, WHITE COLOR, FLUSH VALVE VAINSA</v>
          </cell>
          <cell r="F330" t="str">
            <v>EA</v>
          </cell>
          <cell r="G330" t="str">
            <v>-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</row>
        <row r="331">
          <cell r="A331" t="str">
            <v>3.02b.07</v>
          </cell>
          <cell r="E331" t="str">
            <v>URINAL FOR SERVICE AREAS WHITE COLOR FLUSH VALVE VAINSA</v>
          </cell>
          <cell r="F331" t="str">
            <v>EA</v>
          </cell>
          <cell r="G331" t="str">
            <v>-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</row>
        <row r="332">
          <cell r="A332" t="str">
            <v>3.02b.08</v>
          </cell>
          <cell r="E332" t="str">
            <v>LAVARATORY HANDBASIN FOR SERVICE  AREAS WHITE COLOR</v>
          </cell>
          <cell r="F332" t="str">
            <v>EA</v>
          </cell>
          <cell r="G332" t="str">
            <v>-</v>
          </cell>
          <cell r="H332">
            <v>4</v>
          </cell>
          <cell r="I332">
            <v>4</v>
          </cell>
          <cell r="J332">
            <v>4</v>
          </cell>
          <cell r="K332">
            <v>4</v>
          </cell>
          <cell r="L332">
            <v>4</v>
          </cell>
        </row>
        <row r="333">
          <cell r="A333" t="str">
            <v>3.02b.10</v>
          </cell>
          <cell r="E333" t="str">
            <v>SERVICE  SINK</v>
          </cell>
          <cell r="F333" t="str">
            <v>EA</v>
          </cell>
          <cell r="G333" t="str">
            <v>-</v>
          </cell>
          <cell r="H333">
            <v>1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</row>
        <row r="334">
          <cell r="A334" t="str">
            <v>3.02b</v>
          </cell>
          <cell r="B334" t="str">
            <v>PP</v>
          </cell>
          <cell r="C334" t="str">
            <v>C14-C15/8P</v>
          </cell>
          <cell r="D334">
            <v>2</v>
          </cell>
          <cell r="E334" t="str">
            <v>PERU PLAZA  FIXTURES SUPPLY AND INSTALLATION</v>
          </cell>
          <cell r="G334" t="str">
            <v>-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</row>
        <row r="335">
          <cell r="A335" t="str">
            <v>3.03a.01</v>
          </cell>
          <cell r="B335" t="str">
            <v>3.03a.01.N</v>
          </cell>
          <cell r="E335" t="str">
            <v>WATER CLOSET FOR PUBLIC AREAS, WHITE COLOR, WITH WATER CLOSET FLUSH VALVE AND TRANSFORMER.</v>
          </cell>
          <cell r="F335" t="str">
            <v>EA</v>
          </cell>
          <cell r="G335" t="str">
            <v>-</v>
          </cell>
          <cell r="H335">
            <v>5</v>
          </cell>
          <cell r="I335">
            <v>5</v>
          </cell>
          <cell r="J335">
            <v>5</v>
          </cell>
          <cell r="K335">
            <v>5</v>
          </cell>
          <cell r="L335">
            <v>5</v>
          </cell>
        </row>
        <row r="336">
          <cell r="A336" t="str">
            <v>3.03a.02</v>
          </cell>
          <cell r="B336" t="str">
            <v>3.03a.02.N</v>
          </cell>
          <cell r="E336" t="str">
            <v>URINAL FOR PUBLIC AREAS, WHITE COLOR, WITH WATER CLOSET FLUSH VALVE AND TRANSFORMER</v>
          </cell>
          <cell r="F336" t="str">
            <v>EA</v>
          </cell>
          <cell r="G336" t="str">
            <v>-</v>
          </cell>
          <cell r="H336">
            <v>2</v>
          </cell>
          <cell r="I336">
            <v>2</v>
          </cell>
          <cell r="J336">
            <v>2</v>
          </cell>
          <cell r="K336">
            <v>2</v>
          </cell>
          <cell r="L336">
            <v>2</v>
          </cell>
        </row>
        <row r="337">
          <cell r="A337" t="str">
            <v>3.03a.03</v>
          </cell>
          <cell r="B337" t="str">
            <v>3.03a.03.N</v>
          </cell>
          <cell r="E337" t="str">
            <v>LAVATORY HANDBASIN FOR PUBLIC AREAS, WHITE COLOR, TRANSFORMER, SINGLE SUPPLY FAUCET.</v>
          </cell>
          <cell r="F337" t="str">
            <v>EA</v>
          </cell>
          <cell r="G337" t="str">
            <v>-</v>
          </cell>
          <cell r="H337">
            <v>4</v>
          </cell>
          <cell r="I337">
            <v>4</v>
          </cell>
          <cell r="J337">
            <v>4</v>
          </cell>
          <cell r="K337">
            <v>4</v>
          </cell>
          <cell r="L337">
            <v>4</v>
          </cell>
        </row>
        <row r="338">
          <cell r="A338" t="str">
            <v>3.03a.06</v>
          </cell>
          <cell r="B338" t="str">
            <v>3.03a.06.N</v>
          </cell>
          <cell r="E338" t="str">
            <v>LAVATORY  FOR HANDICOPPED USERS</v>
          </cell>
          <cell r="F338" t="str">
            <v>EA</v>
          </cell>
          <cell r="G338" t="str">
            <v>-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</row>
        <row r="339">
          <cell r="A339" t="str">
            <v>3.03a.07</v>
          </cell>
          <cell r="B339" t="str">
            <v>3.03a.07.N</v>
          </cell>
          <cell r="E339" t="str">
            <v>SERVICE  SINK</v>
          </cell>
          <cell r="F339" t="str">
            <v>EA</v>
          </cell>
          <cell r="G339" t="str">
            <v>-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</row>
        <row r="340">
          <cell r="A340" t="str">
            <v>3.03a</v>
          </cell>
          <cell r="B340" t="str">
            <v>CON</v>
          </cell>
          <cell r="C340" t="str">
            <v>C11-C12/1C-2C</v>
          </cell>
          <cell r="D340">
            <v>1</v>
          </cell>
          <cell r="E340" t="str">
            <v>CONCOURSE NORTE. FIXTURES SUPPLY AND INSTALLATION</v>
          </cell>
          <cell r="G340" t="str">
            <v>-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</row>
        <row r="341">
          <cell r="A341" t="str">
            <v>3.03a.04</v>
          </cell>
          <cell r="B341" t="str">
            <v>3.03a.04.N</v>
          </cell>
          <cell r="E341" t="str">
            <v>WATER CLOSET FOR SERVICE AREAS, WHITE COLOR, FLUSH VALVE VAINSA</v>
          </cell>
          <cell r="F341" t="str">
            <v>EA</v>
          </cell>
          <cell r="G341" t="str">
            <v>-</v>
          </cell>
          <cell r="H341">
            <v>4</v>
          </cell>
          <cell r="I341">
            <v>4</v>
          </cell>
          <cell r="J341">
            <v>4</v>
          </cell>
          <cell r="K341">
            <v>4</v>
          </cell>
          <cell r="L341">
            <v>4</v>
          </cell>
        </row>
        <row r="342">
          <cell r="A342" t="str">
            <v>3.03a.05</v>
          </cell>
          <cell r="B342" t="str">
            <v>3.03a.05.N</v>
          </cell>
          <cell r="E342" t="str">
            <v>LAVARATORY HANDBASIN FOR SERVICE  AREAS WHITE COLOR</v>
          </cell>
          <cell r="F342" t="str">
            <v>EA</v>
          </cell>
          <cell r="G342" t="str">
            <v>-</v>
          </cell>
          <cell r="H342">
            <v>4</v>
          </cell>
          <cell r="I342">
            <v>4</v>
          </cell>
          <cell r="J342">
            <v>4</v>
          </cell>
          <cell r="K342">
            <v>4</v>
          </cell>
          <cell r="L342">
            <v>4</v>
          </cell>
        </row>
        <row r="343">
          <cell r="A343" t="str">
            <v>3.03a</v>
          </cell>
          <cell r="B343" t="str">
            <v>CON</v>
          </cell>
          <cell r="C343" t="str">
            <v>C29-C32/4C-3C</v>
          </cell>
          <cell r="D343">
            <v>1</v>
          </cell>
          <cell r="E343" t="str">
            <v>CONCOURSE NORTE. FIXTURES SUPPLY AND INSTALLATION</v>
          </cell>
          <cell r="G343" t="str">
            <v>-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</row>
        <row r="344">
          <cell r="A344" t="str">
            <v>3.03a.01</v>
          </cell>
          <cell r="B344" t="str">
            <v>3.03a.01.S</v>
          </cell>
          <cell r="E344" t="str">
            <v>WATER CLOSET FOR PUBLIC AREAS, WHITE COLOR, WITH WATER CLOSET FLUSH VALVE AND TRANSFORMER.</v>
          </cell>
          <cell r="F344" t="str">
            <v>EA</v>
          </cell>
          <cell r="G344" t="str">
            <v>-</v>
          </cell>
          <cell r="H344">
            <v>9</v>
          </cell>
          <cell r="I344">
            <v>9</v>
          </cell>
          <cell r="J344">
            <v>9</v>
          </cell>
          <cell r="K344">
            <v>9</v>
          </cell>
          <cell r="L344">
            <v>9</v>
          </cell>
        </row>
        <row r="345">
          <cell r="A345" t="str">
            <v>3.03a.02</v>
          </cell>
          <cell r="B345" t="str">
            <v>3.03a.02.S</v>
          </cell>
          <cell r="E345" t="str">
            <v>URINAL FOR PUBLIC AREAS, WHITE COLOR, WITH WATER CLOSET FLUSH VALVE AND TRANSFORMER</v>
          </cell>
          <cell r="F345" t="str">
            <v>EA</v>
          </cell>
          <cell r="G345" t="str">
            <v>-</v>
          </cell>
          <cell r="H345">
            <v>2</v>
          </cell>
          <cell r="I345">
            <v>2</v>
          </cell>
          <cell r="J345">
            <v>2</v>
          </cell>
          <cell r="K345">
            <v>2</v>
          </cell>
          <cell r="L345">
            <v>2</v>
          </cell>
        </row>
        <row r="346">
          <cell r="A346" t="str">
            <v>3.03a.03</v>
          </cell>
          <cell r="B346" t="str">
            <v>3.03a.03.S</v>
          </cell>
          <cell r="E346" t="str">
            <v>LAVATORY HANDBASIN FOR PUBLIC AREAS, WHITE COLOR, TRANSFORMER, SINGLE SUPPLY FAUCET.</v>
          </cell>
          <cell r="F346" t="str">
            <v>EA</v>
          </cell>
          <cell r="G346" t="str">
            <v>-</v>
          </cell>
          <cell r="H346">
            <v>8</v>
          </cell>
          <cell r="I346">
            <v>8</v>
          </cell>
          <cell r="J346">
            <v>8</v>
          </cell>
          <cell r="K346">
            <v>8</v>
          </cell>
          <cell r="L346">
            <v>8</v>
          </cell>
        </row>
        <row r="347">
          <cell r="A347" t="str">
            <v>3.03a.06</v>
          </cell>
          <cell r="B347" t="str">
            <v>3.03a.06.S</v>
          </cell>
          <cell r="E347" t="str">
            <v>LAVATORY  FOR HANDICOPPED USERS</v>
          </cell>
          <cell r="F347" t="str">
            <v>EA</v>
          </cell>
          <cell r="G347" t="str">
            <v>-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</row>
        <row r="348">
          <cell r="A348" t="str">
            <v>3.03a.07</v>
          </cell>
          <cell r="B348" t="str">
            <v>3.03a.07.S</v>
          </cell>
          <cell r="E348" t="str">
            <v>SERVICE  SINK</v>
          </cell>
          <cell r="F348" t="str">
            <v>EA</v>
          </cell>
          <cell r="G348" t="str">
            <v>-</v>
          </cell>
          <cell r="H348">
            <v>1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</row>
        <row r="349">
          <cell r="A349" t="str">
            <v>3.03a</v>
          </cell>
          <cell r="B349" t="str">
            <v>COS</v>
          </cell>
          <cell r="C349" t="str">
            <v>C36-C37/F-G</v>
          </cell>
          <cell r="D349">
            <v>1</v>
          </cell>
          <cell r="E349" t="str">
            <v>CONCOURSE SUR. FIXTURES SUPPLY AND INSTALLATION</v>
          </cell>
          <cell r="G349" t="str">
            <v>-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</row>
        <row r="350">
          <cell r="A350" t="str">
            <v>3.03a.01</v>
          </cell>
          <cell r="B350" t="str">
            <v>3.03a.01.S</v>
          </cell>
          <cell r="E350" t="str">
            <v>WATER CLOSET FOR PUBLIC AREAS, WHITE COLOR, WITH WATER CLOSET FLUSH VALVE AND TRANSFORMER.</v>
          </cell>
          <cell r="F350" t="str">
            <v>EA</v>
          </cell>
          <cell r="G350" t="str">
            <v>-</v>
          </cell>
          <cell r="H350">
            <v>4</v>
          </cell>
          <cell r="I350">
            <v>4</v>
          </cell>
          <cell r="J350">
            <v>4</v>
          </cell>
          <cell r="K350">
            <v>4</v>
          </cell>
          <cell r="L350">
            <v>4</v>
          </cell>
        </row>
        <row r="351">
          <cell r="A351" t="str">
            <v>3.03a.02</v>
          </cell>
          <cell r="B351" t="str">
            <v>3.03a.02.S</v>
          </cell>
          <cell r="E351" t="str">
            <v>URINAL FOR PUBLIC AREAS, WHITE COLOR, WITH WATER CLOSET FLUSH VALVE AND TRANSFORMER</v>
          </cell>
          <cell r="F351" t="str">
            <v>EA</v>
          </cell>
          <cell r="G351" t="str">
            <v>-</v>
          </cell>
          <cell r="H351">
            <v>4</v>
          </cell>
          <cell r="I351">
            <v>4</v>
          </cell>
          <cell r="J351">
            <v>4</v>
          </cell>
          <cell r="K351">
            <v>4</v>
          </cell>
          <cell r="L351">
            <v>4</v>
          </cell>
        </row>
        <row r="352">
          <cell r="A352" t="str">
            <v>3.03a.03</v>
          </cell>
          <cell r="B352" t="str">
            <v>3.03a.03.S</v>
          </cell>
          <cell r="E352" t="str">
            <v>LAVATORY HANDBASIN FOR PUBLIC AREAS, WHITE COLOR, TRANSFORMER, SINGLE SUPPLY FAUCET.</v>
          </cell>
          <cell r="F352" t="str">
            <v>EA</v>
          </cell>
          <cell r="G352" t="str">
            <v>-</v>
          </cell>
          <cell r="H352">
            <v>4</v>
          </cell>
          <cell r="I352">
            <v>4</v>
          </cell>
          <cell r="J352">
            <v>4</v>
          </cell>
          <cell r="K352">
            <v>4</v>
          </cell>
          <cell r="L352">
            <v>4</v>
          </cell>
        </row>
        <row r="353">
          <cell r="A353" t="str">
            <v>3.03a.07</v>
          </cell>
          <cell r="B353" t="str">
            <v>3.03a.07.S</v>
          </cell>
          <cell r="E353" t="str">
            <v>SERVICE  SINK</v>
          </cell>
          <cell r="F353" t="str">
            <v>EA</v>
          </cell>
          <cell r="G353" t="str">
            <v>-</v>
          </cell>
          <cell r="H353">
            <v>2</v>
          </cell>
          <cell r="I353">
            <v>2</v>
          </cell>
          <cell r="J353">
            <v>2</v>
          </cell>
          <cell r="K353">
            <v>2</v>
          </cell>
          <cell r="L353">
            <v>2</v>
          </cell>
        </row>
        <row r="354">
          <cell r="A354" t="str">
            <v>3.03a</v>
          </cell>
          <cell r="B354" t="str">
            <v>COS</v>
          </cell>
          <cell r="C354" t="str">
            <v>C37-C38/3C-4C</v>
          </cell>
          <cell r="D354">
            <v>1</v>
          </cell>
          <cell r="E354" t="str">
            <v>CONCOURSE SUR. FIXTURES SUPPLY AND INSTALLATION</v>
          </cell>
          <cell r="G354" t="str">
            <v>-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</row>
        <row r="355">
          <cell r="A355" t="str">
            <v>3.03a.01</v>
          </cell>
          <cell r="B355" t="str">
            <v>3.03a.01.S</v>
          </cell>
          <cell r="E355" t="str">
            <v>WATER CLOSET FOR PUBLIC AREAS, WHITE COLOR, WITH WATER CLOSET FLUSH VALVE AND TRANSFORMER.</v>
          </cell>
          <cell r="F355" t="str">
            <v>EA</v>
          </cell>
          <cell r="G355" t="str">
            <v>-</v>
          </cell>
          <cell r="H355">
            <v>4</v>
          </cell>
          <cell r="I355">
            <v>4</v>
          </cell>
          <cell r="J355">
            <v>4</v>
          </cell>
          <cell r="K355">
            <v>4</v>
          </cell>
          <cell r="L355">
            <v>4</v>
          </cell>
        </row>
        <row r="356">
          <cell r="A356" t="str">
            <v>3.03a.03</v>
          </cell>
          <cell r="B356" t="str">
            <v>3.03a.03.S</v>
          </cell>
          <cell r="E356" t="str">
            <v>LAVATORY HANDBASIN FOR PUBLIC AREAS, WHITE COLOR, TRANSFORMER, SINGLE SUPPLY FAUCET.</v>
          </cell>
          <cell r="F356" t="str">
            <v>EA</v>
          </cell>
          <cell r="G356" t="str">
            <v>-</v>
          </cell>
          <cell r="H356">
            <v>4</v>
          </cell>
          <cell r="I356">
            <v>4</v>
          </cell>
          <cell r="J356">
            <v>4</v>
          </cell>
          <cell r="K356">
            <v>4</v>
          </cell>
          <cell r="L356">
            <v>4</v>
          </cell>
        </row>
        <row r="357">
          <cell r="A357" t="str">
            <v>3.03a</v>
          </cell>
          <cell r="B357" t="str">
            <v>COS</v>
          </cell>
          <cell r="C357" t="str">
            <v>C37-C38/4C-5C</v>
          </cell>
          <cell r="D357">
            <v>1</v>
          </cell>
          <cell r="E357" t="str">
            <v>CONCOURSE SUR. FIXTURES SUPPLY AND INSTALLATION</v>
          </cell>
          <cell r="G357" t="str">
            <v>-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</row>
        <row r="358">
          <cell r="A358" t="str">
            <v>3.03a.01</v>
          </cell>
          <cell r="B358" t="str">
            <v>3.03a.01.S</v>
          </cell>
          <cell r="E358" t="str">
            <v>WATER CLOSET FOR PUBLIC AREAS, WHITE COLOR, WITH WATER CLOSET FLUSH VALVE AND TRANSFORMER.</v>
          </cell>
          <cell r="F358" t="str">
            <v>EA</v>
          </cell>
          <cell r="G358" t="str">
            <v>-</v>
          </cell>
          <cell r="H358">
            <v>5</v>
          </cell>
          <cell r="I358">
            <v>5</v>
          </cell>
          <cell r="J358">
            <v>5</v>
          </cell>
          <cell r="K358">
            <v>5</v>
          </cell>
          <cell r="L358">
            <v>5</v>
          </cell>
        </row>
        <row r="359">
          <cell r="A359" t="str">
            <v>3.03a.02</v>
          </cell>
          <cell r="B359" t="str">
            <v>3.03a.02.S</v>
          </cell>
          <cell r="E359" t="str">
            <v>URINAL FOR PUBLIC AREAS, WHITE COLOR, WITH WATER CLOSET FLUSH VALVE AND TRANSFORMER</v>
          </cell>
          <cell r="F359" t="str">
            <v>EA</v>
          </cell>
          <cell r="G359" t="str">
            <v>-</v>
          </cell>
          <cell r="H359">
            <v>3</v>
          </cell>
          <cell r="I359">
            <v>3</v>
          </cell>
          <cell r="J359">
            <v>3</v>
          </cell>
          <cell r="K359">
            <v>3</v>
          </cell>
          <cell r="L359">
            <v>3</v>
          </cell>
        </row>
        <row r="360">
          <cell r="A360" t="str">
            <v>3.03a.03</v>
          </cell>
          <cell r="B360" t="str">
            <v>3.03a.03.S</v>
          </cell>
          <cell r="E360" t="str">
            <v>LAVATORY HANDBASIN FOR PUBLIC AREAS, WHITE COLOR, TRANSFORMER, SINGLE SUPPLY FAUCET.</v>
          </cell>
          <cell r="F360" t="str">
            <v>EA</v>
          </cell>
          <cell r="G360" t="str">
            <v>-</v>
          </cell>
          <cell r="H360">
            <v>5</v>
          </cell>
          <cell r="I360">
            <v>5</v>
          </cell>
          <cell r="J360">
            <v>5</v>
          </cell>
          <cell r="K360">
            <v>5</v>
          </cell>
          <cell r="L360">
            <v>5</v>
          </cell>
        </row>
        <row r="361">
          <cell r="A361" t="str">
            <v>3.03a.06</v>
          </cell>
          <cell r="B361" t="str">
            <v>3.03a.06.S</v>
          </cell>
          <cell r="E361" t="str">
            <v>LAVATORY  FOR HANDICOPPED USERS</v>
          </cell>
          <cell r="F361" t="str">
            <v>EA</v>
          </cell>
          <cell r="G361" t="str">
            <v>-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</row>
        <row r="362">
          <cell r="A362" t="str">
            <v>3.03a.07</v>
          </cell>
          <cell r="B362" t="str">
            <v>3.03a.07.S</v>
          </cell>
          <cell r="E362" t="str">
            <v>SERVICE  SINK</v>
          </cell>
          <cell r="F362" t="str">
            <v>EA</v>
          </cell>
          <cell r="G362" t="str">
            <v>-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</row>
        <row r="363">
          <cell r="A363" t="str">
            <v>3.03a</v>
          </cell>
          <cell r="B363" t="str">
            <v>COS</v>
          </cell>
          <cell r="C363" t="str">
            <v>C51-C52/2C-3C</v>
          </cell>
          <cell r="D363">
            <v>1</v>
          </cell>
          <cell r="E363" t="str">
            <v>CONCOURSE SUR. FIXTURES SUPPLY AND INSTALLATION</v>
          </cell>
          <cell r="G363" t="str">
            <v>-</v>
          </cell>
          <cell r="H363">
            <v>1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</row>
        <row r="364">
          <cell r="A364" t="str">
            <v>3.03b.01</v>
          </cell>
          <cell r="B364" t="str">
            <v>3.03b.01.N</v>
          </cell>
          <cell r="E364" t="str">
            <v>WATER CLOSET FOR PUBLIC AREAS, WHITE COLOR, WITH WATER CLOSET FLUSH VALVE AND TRANSFORMER.</v>
          </cell>
          <cell r="F364" t="str">
            <v>EA</v>
          </cell>
          <cell r="G364" t="str">
            <v>-</v>
          </cell>
          <cell r="H364">
            <v>9</v>
          </cell>
          <cell r="I364">
            <v>9</v>
          </cell>
          <cell r="J364">
            <v>9</v>
          </cell>
          <cell r="K364">
            <v>9</v>
          </cell>
          <cell r="L364">
            <v>9</v>
          </cell>
        </row>
        <row r="365">
          <cell r="A365" t="str">
            <v>3.03b.02</v>
          </cell>
          <cell r="B365" t="str">
            <v>3.03b.02.N</v>
          </cell>
          <cell r="E365" t="str">
            <v>URINAL FOR PUBLIC AREAS, WHITE COLOR, WITH WATER CLOSET FLUSH VALVE AND TRANSFORMER</v>
          </cell>
          <cell r="F365" t="str">
            <v>EA</v>
          </cell>
          <cell r="G365" t="str">
            <v>-</v>
          </cell>
          <cell r="H365">
            <v>3</v>
          </cell>
          <cell r="I365">
            <v>3</v>
          </cell>
          <cell r="J365">
            <v>3</v>
          </cell>
          <cell r="K365">
            <v>3</v>
          </cell>
          <cell r="L365">
            <v>3</v>
          </cell>
        </row>
        <row r="366">
          <cell r="A366" t="str">
            <v>3.03b.03</v>
          </cell>
          <cell r="B366" t="str">
            <v>3.03b.03.N</v>
          </cell>
          <cell r="E366" t="str">
            <v>LAVATORY HANDBASIN FOR PUBLIC AREAS, WHITE COLOR, TRANSFORMER, SINGLE SUPPLY FAUCET.</v>
          </cell>
          <cell r="F366" t="str">
            <v>EA</v>
          </cell>
          <cell r="G366" t="str">
            <v>-</v>
          </cell>
          <cell r="H366">
            <v>8</v>
          </cell>
          <cell r="I366">
            <v>8</v>
          </cell>
          <cell r="J366">
            <v>8</v>
          </cell>
          <cell r="K366">
            <v>8</v>
          </cell>
          <cell r="L366">
            <v>8</v>
          </cell>
        </row>
        <row r="367">
          <cell r="A367" t="str">
            <v>3.03b.06</v>
          </cell>
          <cell r="B367" t="str">
            <v>3.03b.06.N</v>
          </cell>
          <cell r="E367" t="str">
            <v>LAVATORY  FOR HANDICOPPED USERS</v>
          </cell>
          <cell r="F367" t="str">
            <v>EA</v>
          </cell>
          <cell r="G367" t="str">
            <v>-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</row>
        <row r="368">
          <cell r="A368" t="str">
            <v>3.03b.07</v>
          </cell>
          <cell r="B368" t="str">
            <v>3.03b.07.N</v>
          </cell>
          <cell r="E368" t="str">
            <v>SERVICE  SINK</v>
          </cell>
          <cell r="F368" t="str">
            <v>EA</v>
          </cell>
          <cell r="G368" t="str">
            <v>-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</row>
        <row r="369">
          <cell r="A369" t="str">
            <v>3.03b</v>
          </cell>
          <cell r="B369" t="str">
            <v>CON</v>
          </cell>
          <cell r="C369" t="str">
            <v>C11-C12/1C-2C</v>
          </cell>
          <cell r="D369">
            <v>2</v>
          </cell>
          <cell r="E369" t="str">
            <v>CONCOURSE NORTE. FIXTURES SUPPLY AND INSTALLATION</v>
          </cell>
          <cell r="G369" t="str">
            <v>-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</row>
        <row r="370">
          <cell r="A370" t="str">
            <v>3.03b.01</v>
          </cell>
          <cell r="B370" t="str">
            <v>3.03b.01.N</v>
          </cell>
          <cell r="E370" t="str">
            <v>WATER CLOSET FOR PUBLIC AREAS, WHITE COLOR, WITH WATER CLOSET FLUSH VALVE AND TRANSFORMER.</v>
          </cell>
          <cell r="F370" t="str">
            <v>EA</v>
          </cell>
          <cell r="G370" t="str">
            <v>-</v>
          </cell>
          <cell r="H370">
            <v>7</v>
          </cell>
          <cell r="I370">
            <v>7</v>
          </cell>
          <cell r="J370">
            <v>7</v>
          </cell>
          <cell r="K370">
            <v>7</v>
          </cell>
          <cell r="L370">
            <v>7</v>
          </cell>
        </row>
        <row r="371">
          <cell r="A371" t="str">
            <v>3.03b.02</v>
          </cell>
          <cell r="B371" t="str">
            <v>3.03b.02.N</v>
          </cell>
          <cell r="E371" t="str">
            <v>URINAL FOR PUBLIC AREAS, WHITE COLOR, WITH WATER CLOSET FLUSH VALVE AND TRANSFORMER</v>
          </cell>
          <cell r="F371" t="str">
            <v>EA</v>
          </cell>
          <cell r="G371" t="str">
            <v>-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</row>
        <row r="372">
          <cell r="A372" t="str">
            <v>3.03b.03</v>
          </cell>
          <cell r="B372" t="str">
            <v>3.03b.03.N</v>
          </cell>
          <cell r="E372" t="str">
            <v>LAVATORY HANDBASIN FOR PUBLIC AREAS, WHITE COLOR, TRANSFORMER, SINGLE SUPPLY FAUCET.</v>
          </cell>
          <cell r="F372" t="str">
            <v>EA</v>
          </cell>
          <cell r="G372" t="str">
            <v>-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</row>
        <row r="373">
          <cell r="A373" t="str">
            <v>3.03b.06</v>
          </cell>
          <cell r="B373" t="str">
            <v>3.03b.06.N</v>
          </cell>
          <cell r="E373" t="str">
            <v>LAVATORY  FOR HANDICOPPED USERS</v>
          </cell>
          <cell r="F373" t="str">
            <v>EA</v>
          </cell>
          <cell r="G373" t="str">
            <v>-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</row>
        <row r="374">
          <cell r="A374" t="str">
            <v>3.03b.07</v>
          </cell>
          <cell r="B374" t="str">
            <v>3.03b.07.N</v>
          </cell>
          <cell r="E374" t="str">
            <v>SERVICE  SINK</v>
          </cell>
          <cell r="F374" t="str">
            <v>EA</v>
          </cell>
          <cell r="G374" t="str">
            <v>-</v>
          </cell>
          <cell r="H374">
            <v>1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</row>
        <row r="375">
          <cell r="A375" t="str">
            <v>3.03b</v>
          </cell>
          <cell r="B375" t="str">
            <v>CON</v>
          </cell>
          <cell r="C375" t="str">
            <v>C25-C26/1C-2C</v>
          </cell>
          <cell r="D375">
            <v>2</v>
          </cell>
          <cell r="E375" t="str">
            <v>CONCOURSE NORTE. FIXTURES SUPPLY AND INSTALLATION</v>
          </cell>
          <cell r="G375" t="str">
            <v>-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</row>
        <row r="376">
          <cell r="A376" t="str">
            <v>3.03b.01</v>
          </cell>
          <cell r="B376" t="str">
            <v>3.03b.01.S</v>
          </cell>
          <cell r="E376" t="str">
            <v>WATER CLOSET FOR PUBLIC AREAS, WHITE COLOR, WITH WATER CLOSET FLUSH VALVE AND TRANSFORMER.</v>
          </cell>
          <cell r="F376" t="str">
            <v>EA</v>
          </cell>
          <cell r="G376" t="str">
            <v>-</v>
          </cell>
          <cell r="H376">
            <v>2</v>
          </cell>
          <cell r="I376">
            <v>2</v>
          </cell>
          <cell r="J376">
            <v>2</v>
          </cell>
          <cell r="K376">
            <v>2</v>
          </cell>
          <cell r="L376">
            <v>2</v>
          </cell>
        </row>
        <row r="377">
          <cell r="A377" t="str">
            <v>3.03b.02</v>
          </cell>
          <cell r="B377" t="str">
            <v>3.03b.02.S</v>
          </cell>
          <cell r="E377" t="str">
            <v>URINAL FOR PUBLIC AREAS, WHITE COLOR, WITH WATER CLOSET FLUSH VALVE AND TRANSFORMER</v>
          </cell>
          <cell r="F377" t="str">
            <v>EA</v>
          </cell>
          <cell r="G377" t="str">
            <v>-</v>
          </cell>
          <cell r="H377">
            <v>1</v>
          </cell>
          <cell r="I377">
            <v>1</v>
          </cell>
          <cell r="J377">
            <v>1</v>
          </cell>
          <cell r="K377">
            <v>1</v>
          </cell>
          <cell r="L377">
            <v>1</v>
          </cell>
        </row>
        <row r="378">
          <cell r="A378" t="str">
            <v>3.03b.03</v>
          </cell>
          <cell r="B378" t="str">
            <v>3.03b.03.S</v>
          </cell>
          <cell r="E378" t="str">
            <v>LAVATORY HANDBASIN FOR PUBLIC AREAS, WHITE COLOR, TRANSFORMER, SINGLE SUPPLY FAUCET.</v>
          </cell>
          <cell r="F378" t="str">
            <v>EA</v>
          </cell>
          <cell r="G378" t="str">
            <v>-</v>
          </cell>
          <cell r="H378">
            <v>3</v>
          </cell>
          <cell r="I378">
            <v>3</v>
          </cell>
          <cell r="J378">
            <v>3</v>
          </cell>
          <cell r="K378">
            <v>3</v>
          </cell>
          <cell r="L378">
            <v>3</v>
          </cell>
        </row>
        <row r="379">
          <cell r="A379" t="str">
            <v>3.03b.04</v>
          </cell>
          <cell r="B379" t="str">
            <v>3.03b.04.S</v>
          </cell>
          <cell r="E379" t="str">
            <v>SHOWER FAUCET TWO HANDLE SHOWER FAUCET. FLOOR DRAIN  2"Ø.</v>
          </cell>
          <cell r="F379" t="str">
            <v>EA</v>
          </cell>
          <cell r="G379" t="str">
            <v>-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2</v>
          </cell>
        </row>
        <row r="380">
          <cell r="A380" t="str">
            <v>3.03b.05</v>
          </cell>
          <cell r="B380" t="str">
            <v>3.03b.05.S</v>
          </cell>
          <cell r="E380" t="str">
            <v>ELECTRIC INSTANTANEOS HEATERS FOR HOT WATER FOR SHOWERS</v>
          </cell>
          <cell r="F380" t="str">
            <v>EA</v>
          </cell>
          <cell r="G380" t="str">
            <v>-</v>
          </cell>
          <cell r="H380">
            <v>2</v>
          </cell>
          <cell r="I380">
            <v>2</v>
          </cell>
          <cell r="J380">
            <v>2</v>
          </cell>
          <cell r="K380">
            <v>2</v>
          </cell>
          <cell r="L380">
            <v>2</v>
          </cell>
        </row>
        <row r="381">
          <cell r="A381" t="str">
            <v>3.03b</v>
          </cell>
          <cell r="B381" t="str">
            <v>COS</v>
          </cell>
          <cell r="C381" t="str">
            <v>C38-C39/K-L</v>
          </cell>
          <cell r="D381">
            <v>2</v>
          </cell>
          <cell r="E381" t="str">
            <v>CONCOURSE SUR. FIXTURES SUPPLY AND INSTALLATION</v>
          </cell>
          <cell r="G381" t="str">
            <v>-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3.03b.01</v>
          </cell>
          <cell r="B382" t="str">
            <v>3.03b.01.S</v>
          </cell>
          <cell r="E382" t="str">
            <v>WATER CLOSET FOR PUBLIC AREAS, WHITE COLOR, WITH WATER CLOSET FLUSH VALVE AND TRANSFORMER.</v>
          </cell>
          <cell r="F382" t="str">
            <v>EA</v>
          </cell>
          <cell r="G382" t="str">
            <v>-</v>
          </cell>
          <cell r="H382">
            <v>9</v>
          </cell>
          <cell r="I382">
            <v>9</v>
          </cell>
          <cell r="J382">
            <v>9</v>
          </cell>
          <cell r="K382">
            <v>9</v>
          </cell>
          <cell r="L382">
            <v>9</v>
          </cell>
        </row>
        <row r="383">
          <cell r="A383" t="str">
            <v>3.03b.02</v>
          </cell>
          <cell r="B383" t="str">
            <v>3.03b.02.S</v>
          </cell>
          <cell r="E383" t="str">
            <v>URINAL FOR PUBLIC AREAS, WHITE COLOR, WITH WATER CLOSET FLUSH VALVE AND TRANSFORMER</v>
          </cell>
          <cell r="F383" t="str">
            <v>EA</v>
          </cell>
          <cell r="G383" t="str">
            <v>-</v>
          </cell>
          <cell r="H383">
            <v>3</v>
          </cell>
          <cell r="I383">
            <v>3</v>
          </cell>
          <cell r="J383">
            <v>3</v>
          </cell>
          <cell r="K383">
            <v>3</v>
          </cell>
          <cell r="L383">
            <v>3</v>
          </cell>
        </row>
        <row r="384">
          <cell r="A384" t="str">
            <v>3.03b.03</v>
          </cell>
          <cell r="B384" t="str">
            <v>3.03b.03.S</v>
          </cell>
          <cell r="E384" t="str">
            <v>LAVATORY HANDBASIN FOR PUBLIC AREAS, WHITE COLOR, TRANSFORMER, SINGLE SUPPLY FAUCET.</v>
          </cell>
          <cell r="F384" t="str">
            <v>EA</v>
          </cell>
          <cell r="G384" t="str">
            <v>-</v>
          </cell>
          <cell r="H384">
            <v>7</v>
          </cell>
          <cell r="I384">
            <v>7</v>
          </cell>
          <cell r="J384">
            <v>7</v>
          </cell>
          <cell r="K384">
            <v>7</v>
          </cell>
          <cell r="L384">
            <v>7</v>
          </cell>
        </row>
        <row r="385">
          <cell r="A385" t="str">
            <v>3.03b.06</v>
          </cell>
          <cell r="B385" t="str">
            <v>3.03b.06.S</v>
          </cell>
          <cell r="E385" t="str">
            <v>LAVATORY  FOR HANDICOPPED USERS</v>
          </cell>
          <cell r="F385" t="str">
            <v>EA</v>
          </cell>
          <cell r="G385" t="str">
            <v>-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</row>
        <row r="386">
          <cell r="A386" t="str">
            <v>3.03b.07</v>
          </cell>
          <cell r="B386" t="str">
            <v>3.03b.07.S</v>
          </cell>
          <cell r="E386" t="str">
            <v>SERVICE  SINK</v>
          </cell>
          <cell r="F386" t="str">
            <v>EA</v>
          </cell>
          <cell r="G386" t="str">
            <v>-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>
            <v>1</v>
          </cell>
        </row>
        <row r="387">
          <cell r="A387" t="str">
            <v>3.03b</v>
          </cell>
          <cell r="B387" t="str">
            <v>COS</v>
          </cell>
          <cell r="C387" t="str">
            <v>C44-C45/3C-4C</v>
          </cell>
          <cell r="D387">
            <v>2</v>
          </cell>
          <cell r="E387" t="str">
            <v>CONCOURSE SUR. FIXTURES SUPPLY AND INSTALLATION</v>
          </cell>
          <cell r="G387" t="str">
            <v>-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</row>
      </sheetData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19Jul"/>
      <sheetName val="20Jul"/>
      <sheetName val="21Jul"/>
      <sheetName val="22Jul"/>
      <sheetName val="23Jul"/>
      <sheetName val="24Jul"/>
      <sheetName val="25Jul"/>
      <sheetName val="Total"/>
    </sheetNames>
    <sheetDataSet>
      <sheetData sheetId="0" refreshError="1">
        <row r="7">
          <cell r="C7" t="str">
            <v>M01</v>
          </cell>
          <cell r="D7">
            <v>1</v>
          </cell>
          <cell r="H7">
            <v>10</v>
          </cell>
          <cell r="I7">
            <v>1</v>
          </cell>
          <cell r="M7">
            <v>10</v>
          </cell>
          <cell r="N7">
            <v>1</v>
          </cell>
          <cell r="R7">
            <v>10</v>
          </cell>
        </row>
        <row r="8">
          <cell r="C8" t="str">
            <v>M02</v>
          </cell>
          <cell r="D8">
            <v>10</v>
          </cell>
          <cell r="H8">
            <v>100</v>
          </cell>
          <cell r="I8">
            <v>10</v>
          </cell>
          <cell r="M8">
            <v>93</v>
          </cell>
          <cell r="N8">
            <v>9</v>
          </cell>
          <cell r="O8">
            <v>1</v>
          </cell>
          <cell r="R8">
            <v>91</v>
          </cell>
        </row>
        <row r="9">
          <cell r="C9" t="str">
            <v>M05</v>
          </cell>
          <cell r="D9">
            <v>107</v>
          </cell>
          <cell r="H9">
            <v>1087</v>
          </cell>
          <cell r="I9">
            <v>117</v>
          </cell>
          <cell r="M9">
            <v>1135.5</v>
          </cell>
          <cell r="N9">
            <v>115</v>
          </cell>
          <cell r="O9">
            <v>2</v>
          </cell>
          <cell r="R9">
            <v>1140</v>
          </cell>
        </row>
        <row r="10">
          <cell r="C10" t="str">
            <v>M07</v>
          </cell>
          <cell r="D10">
            <v>3</v>
          </cell>
          <cell r="H10">
            <v>31</v>
          </cell>
          <cell r="I10">
            <v>4</v>
          </cell>
          <cell r="M10">
            <v>42</v>
          </cell>
          <cell r="N10">
            <v>3</v>
          </cell>
          <cell r="O10">
            <v>1</v>
          </cell>
          <cell r="R10">
            <v>30</v>
          </cell>
        </row>
        <row r="11">
          <cell r="C11" t="str">
            <v>M08</v>
          </cell>
          <cell r="D11">
            <v>4</v>
          </cell>
          <cell r="H11">
            <v>40</v>
          </cell>
          <cell r="I11">
            <v>4</v>
          </cell>
          <cell r="M11">
            <v>40</v>
          </cell>
          <cell r="N11">
            <v>4</v>
          </cell>
          <cell r="R11">
            <v>43</v>
          </cell>
        </row>
        <row r="12">
          <cell r="C12" t="str">
            <v>M11</v>
          </cell>
          <cell r="I12">
            <v>1</v>
          </cell>
          <cell r="M12">
            <v>10.5</v>
          </cell>
          <cell r="N12">
            <v>1</v>
          </cell>
          <cell r="R12">
            <v>10</v>
          </cell>
        </row>
        <row r="13">
          <cell r="C13" t="str">
            <v>M12</v>
          </cell>
          <cell r="I13">
            <v>1</v>
          </cell>
          <cell r="M13">
            <v>10.5</v>
          </cell>
          <cell r="N13">
            <v>1</v>
          </cell>
          <cell r="R13">
            <v>11</v>
          </cell>
        </row>
        <row r="14">
          <cell r="C14" t="str">
            <v>M14</v>
          </cell>
          <cell r="D14">
            <v>3</v>
          </cell>
          <cell r="H14">
            <v>38</v>
          </cell>
          <cell r="I14">
            <v>4</v>
          </cell>
          <cell r="M14">
            <v>50.5</v>
          </cell>
          <cell r="N14">
            <v>6</v>
          </cell>
          <cell r="R14">
            <v>71.5</v>
          </cell>
        </row>
        <row r="15">
          <cell r="C15" t="str">
            <v>M15</v>
          </cell>
          <cell r="I15">
            <v>3</v>
          </cell>
          <cell r="M15">
            <v>30</v>
          </cell>
          <cell r="N15">
            <v>2</v>
          </cell>
          <cell r="O15">
            <v>1</v>
          </cell>
          <cell r="R15">
            <v>20.5</v>
          </cell>
        </row>
        <row r="16">
          <cell r="C16" t="str">
            <v>M17</v>
          </cell>
          <cell r="D16">
            <v>3</v>
          </cell>
          <cell r="H16">
            <v>30.5</v>
          </cell>
          <cell r="I16">
            <v>3</v>
          </cell>
          <cell r="M16">
            <v>34.5</v>
          </cell>
          <cell r="N16">
            <v>2</v>
          </cell>
          <cell r="O16">
            <v>1</v>
          </cell>
          <cell r="R16">
            <v>21</v>
          </cell>
        </row>
        <row r="17">
          <cell r="C17" t="str">
            <v>M18</v>
          </cell>
          <cell r="I17">
            <v>10</v>
          </cell>
          <cell r="J17">
            <v>3</v>
          </cell>
          <cell r="L17">
            <v>2</v>
          </cell>
          <cell r="M17">
            <v>90.5</v>
          </cell>
          <cell r="N17">
            <v>10</v>
          </cell>
          <cell r="Q17">
            <v>2</v>
          </cell>
          <cell r="R17">
            <v>90.5</v>
          </cell>
        </row>
        <row r="18">
          <cell r="C18" t="str">
            <v>M20</v>
          </cell>
          <cell r="D18">
            <v>15</v>
          </cell>
          <cell r="H18">
            <v>158</v>
          </cell>
          <cell r="I18">
            <v>3</v>
          </cell>
          <cell r="J18">
            <v>17</v>
          </cell>
          <cell r="L18">
            <v>7</v>
          </cell>
          <cell r="M18">
            <v>32.5</v>
          </cell>
        </row>
        <row r="19">
          <cell r="C19" t="str">
            <v>M40</v>
          </cell>
          <cell r="D19">
            <v>1</v>
          </cell>
          <cell r="H19">
            <v>11.5</v>
          </cell>
          <cell r="I19">
            <v>1</v>
          </cell>
          <cell r="M19">
            <v>10</v>
          </cell>
          <cell r="N19">
            <v>1</v>
          </cell>
          <cell r="R19">
            <v>10</v>
          </cell>
        </row>
        <row r="20">
          <cell r="C20" t="str">
            <v>M41</v>
          </cell>
          <cell r="I20">
            <v>3</v>
          </cell>
          <cell r="M20">
            <v>10</v>
          </cell>
          <cell r="N20">
            <v>3</v>
          </cell>
          <cell r="R20">
            <v>10</v>
          </cell>
        </row>
        <row r="21">
          <cell r="C21" t="str">
            <v>M42</v>
          </cell>
          <cell r="I21">
            <v>3</v>
          </cell>
          <cell r="M21">
            <v>10</v>
          </cell>
          <cell r="N21">
            <v>3</v>
          </cell>
          <cell r="R21">
            <v>10</v>
          </cell>
        </row>
        <row r="22">
          <cell r="C22" t="str">
            <v>M43</v>
          </cell>
        </row>
        <row r="23">
          <cell r="C23" t="str">
            <v>M44</v>
          </cell>
          <cell r="D23">
            <v>8</v>
          </cell>
          <cell r="H23">
            <v>90</v>
          </cell>
          <cell r="I23">
            <v>9</v>
          </cell>
          <cell r="M23">
            <v>99.5</v>
          </cell>
          <cell r="N23">
            <v>2</v>
          </cell>
          <cell r="O23">
            <v>7</v>
          </cell>
          <cell r="R23">
            <v>20</v>
          </cell>
        </row>
        <row r="24">
          <cell r="C24" t="str">
            <v>M45</v>
          </cell>
          <cell r="I24">
            <v>3</v>
          </cell>
          <cell r="M24">
            <v>30</v>
          </cell>
          <cell r="N24">
            <v>1</v>
          </cell>
          <cell r="O24">
            <v>2</v>
          </cell>
          <cell r="R24">
            <v>10.5</v>
          </cell>
        </row>
        <row r="25">
          <cell r="C25" t="str">
            <v>M46</v>
          </cell>
          <cell r="I25">
            <v>1</v>
          </cell>
          <cell r="J25">
            <v>3</v>
          </cell>
          <cell r="M25">
            <v>8.5</v>
          </cell>
          <cell r="N25">
            <v>1</v>
          </cell>
          <cell r="R25">
            <v>11</v>
          </cell>
        </row>
        <row r="26">
          <cell r="C26" t="str">
            <v>M47</v>
          </cell>
          <cell r="I26">
            <v>1</v>
          </cell>
          <cell r="J26">
            <v>6</v>
          </cell>
          <cell r="M26">
            <v>11.5</v>
          </cell>
          <cell r="N26">
            <v>9</v>
          </cell>
          <cell r="R26">
            <v>100.5</v>
          </cell>
        </row>
        <row r="27">
          <cell r="C27" t="str">
            <v>M48</v>
          </cell>
          <cell r="N27">
            <v>1</v>
          </cell>
          <cell r="R27">
            <v>10.5</v>
          </cell>
        </row>
        <row r="28">
          <cell r="C28" t="str">
            <v>M49</v>
          </cell>
          <cell r="I28">
            <v>4</v>
          </cell>
          <cell r="M28">
            <v>40</v>
          </cell>
        </row>
        <row r="29">
          <cell r="C29" t="str">
            <v>M50</v>
          </cell>
          <cell r="N29">
            <v>1</v>
          </cell>
          <cell r="R29">
            <v>10.5</v>
          </cell>
        </row>
        <row r="30">
          <cell r="C30" t="str">
            <v>M51</v>
          </cell>
          <cell r="I30">
            <v>2</v>
          </cell>
          <cell r="M30">
            <v>20</v>
          </cell>
          <cell r="N30">
            <v>2</v>
          </cell>
          <cell r="R30">
            <v>21</v>
          </cell>
        </row>
        <row r="31">
          <cell r="C31" t="str">
            <v>M53</v>
          </cell>
          <cell r="I31">
            <v>2</v>
          </cell>
          <cell r="J31">
            <v>3</v>
          </cell>
          <cell r="M31">
            <v>20</v>
          </cell>
          <cell r="N31">
            <v>5</v>
          </cell>
          <cell r="R31">
            <v>42.5</v>
          </cell>
        </row>
        <row r="34">
          <cell r="C34" t="str">
            <v>M60</v>
          </cell>
        </row>
        <row r="35">
          <cell r="C35" t="str">
            <v>M61</v>
          </cell>
          <cell r="I35">
            <v>1</v>
          </cell>
          <cell r="L35">
            <v>1</v>
          </cell>
          <cell r="M35">
            <v>10</v>
          </cell>
          <cell r="N35">
            <v>2</v>
          </cell>
          <cell r="R35">
            <v>20</v>
          </cell>
        </row>
        <row r="36">
          <cell r="C36" t="str">
            <v>M62</v>
          </cell>
          <cell r="I36">
            <v>2</v>
          </cell>
          <cell r="M36">
            <v>20</v>
          </cell>
          <cell r="N36">
            <v>2</v>
          </cell>
          <cell r="R36">
            <v>20</v>
          </cell>
        </row>
        <row r="37">
          <cell r="C37" t="str">
            <v>M63</v>
          </cell>
          <cell r="I37">
            <v>1</v>
          </cell>
          <cell r="M37">
            <v>10</v>
          </cell>
          <cell r="N37">
            <v>1</v>
          </cell>
          <cell r="R37">
            <v>10</v>
          </cell>
        </row>
        <row r="38">
          <cell r="C38" t="str">
            <v>M64</v>
          </cell>
          <cell r="I38">
            <v>1</v>
          </cell>
          <cell r="M38">
            <v>10</v>
          </cell>
          <cell r="N38">
            <v>1</v>
          </cell>
          <cell r="R38">
            <v>10</v>
          </cell>
        </row>
        <row r="39">
          <cell r="C39" t="str">
            <v>M65</v>
          </cell>
        </row>
        <row r="40">
          <cell r="C40" t="str">
            <v>M66</v>
          </cell>
          <cell r="I40">
            <v>1</v>
          </cell>
          <cell r="M40">
            <v>10</v>
          </cell>
          <cell r="N40">
            <v>1</v>
          </cell>
          <cell r="R40">
            <v>10</v>
          </cell>
        </row>
        <row r="41">
          <cell r="C41" t="str">
            <v>M67</v>
          </cell>
          <cell r="I41">
            <v>1</v>
          </cell>
          <cell r="M41">
            <v>10</v>
          </cell>
          <cell r="N41">
            <v>1</v>
          </cell>
          <cell r="R41">
            <v>10</v>
          </cell>
        </row>
        <row r="42">
          <cell r="C42" t="str">
            <v>M68</v>
          </cell>
          <cell r="L42">
            <v>1</v>
          </cell>
          <cell r="Q42">
            <v>1</v>
          </cell>
        </row>
        <row r="43">
          <cell r="C43" t="str">
            <v>M69</v>
          </cell>
        </row>
        <row r="44">
          <cell r="C44" t="str">
            <v>M70</v>
          </cell>
        </row>
        <row r="45">
          <cell r="C45" t="str">
            <v>M71</v>
          </cell>
        </row>
        <row r="46">
          <cell r="C46" t="str">
            <v>M72</v>
          </cell>
        </row>
        <row r="47">
          <cell r="C47" t="str">
            <v>M73</v>
          </cell>
        </row>
        <row r="48">
          <cell r="C48" t="str">
            <v>M74</v>
          </cell>
        </row>
        <row r="49">
          <cell r="C49" t="str">
            <v>M75</v>
          </cell>
        </row>
        <row r="50">
          <cell r="C50" t="str">
            <v>M76</v>
          </cell>
        </row>
        <row r="51">
          <cell r="C51" t="str">
            <v>M77</v>
          </cell>
          <cell r="L51">
            <v>1</v>
          </cell>
          <cell r="N51">
            <v>1</v>
          </cell>
          <cell r="R51">
            <v>10</v>
          </cell>
        </row>
        <row r="52">
          <cell r="C52" t="str">
            <v>M78</v>
          </cell>
          <cell r="I52">
            <v>1</v>
          </cell>
          <cell r="M52">
            <v>10</v>
          </cell>
          <cell r="N52">
            <v>1</v>
          </cell>
          <cell r="R52">
            <v>10</v>
          </cell>
        </row>
        <row r="53">
          <cell r="C53" t="str">
            <v>M79</v>
          </cell>
          <cell r="D53">
            <v>1</v>
          </cell>
          <cell r="H53">
            <v>11.5</v>
          </cell>
          <cell r="I53">
            <v>1</v>
          </cell>
          <cell r="M53">
            <v>11.5</v>
          </cell>
          <cell r="N53">
            <v>1</v>
          </cell>
          <cell r="R53">
            <v>11.5</v>
          </cell>
        </row>
        <row r="54">
          <cell r="C54" t="str">
            <v>M80</v>
          </cell>
        </row>
        <row r="55">
          <cell r="C55" t="str">
            <v>M81</v>
          </cell>
          <cell r="D55">
            <v>2</v>
          </cell>
          <cell r="H55">
            <v>20</v>
          </cell>
          <cell r="I55">
            <v>2</v>
          </cell>
          <cell r="M55">
            <v>20</v>
          </cell>
          <cell r="N55">
            <v>2</v>
          </cell>
          <cell r="R55">
            <v>20</v>
          </cell>
        </row>
        <row r="56">
          <cell r="C56" t="str">
            <v>M82</v>
          </cell>
        </row>
        <row r="57">
          <cell r="C57" t="str">
            <v>M83</v>
          </cell>
        </row>
        <row r="58">
          <cell r="C58" t="str">
            <v>M84</v>
          </cell>
          <cell r="I58">
            <v>1</v>
          </cell>
          <cell r="M58">
            <v>10</v>
          </cell>
          <cell r="N58">
            <v>1</v>
          </cell>
          <cell r="R58">
            <v>10</v>
          </cell>
        </row>
        <row r="59">
          <cell r="C59" t="str">
            <v>M85</v>
          </cell>
          <cell r="I59">
            <v>1</v>
          </cell>
          <cell r="M59">
            <v>10</v>
          </cell>
          <cell r="N59">
            <v>1</v>
          </cell>
          <cell r="R59">
            <v>10</v>
          </cell>
        </row>
        <row r="60">
          <cell r="C60" t="str">
            <v>M86</v>
          </cell>
          <cell r="I60">
            <v>5</v>
          </cell>
          <cell r="M60">
            <v>50</v>
          </cell>
          <cell r="N60">
            <v>1</v>
          </cell>
          <cell r="O60">
            <v>4</v>
          </cell>
          <cell r="R60">
            <v>11.5</v>
          </cell>
        </row>
        <row r="61">
          <cell r="C61" t="str">
            <v>M87</v>
          </cell>
          <cell r="D61">
            <v>1</v>
          </cell>
          <cell r="H61">
            <v>10</v>
          </cell>
          <cell r="I61">
            <v>1</v>
          </cell>
          <cell r="M61">
            <v>10</v>
          </cell>
          <cell r="N61">
            <v>1</v>
          </cell>
          <cell r="R61">
            <v>10</v>
          </cell>
        </row>
        <row r="62">
          <cell r="C62" t="str">
            <v>M88</v>
          </cell>
        </row>
        <row r="63">
          <cell r="C63" t="str">
            <v>M89</v>
          </cell>
        </row>
        <row r="64">
          <cell r="C64" t="str">
            <v>M90</v>
          </cell>
          <cell r="I64">
            <v>1</v>
          </cell>
          <cell r="M64">
            <v>10</v>
          </cell>
          <cell r="N64">
            <v>1</v>
          </cell>
          <cell r="R64">
            <v>10</v>
          </cell>
        </row>
        <row r="65">
          <cell r="C65" t="str">
            <v>M91</v>
          </cell>
          <cell r="I65">
            <v>1</v>
          </cell>
          <cell r="M65">
            <v>10</v>
          </cell>
          <cell r="N65">
            <v>1</v>
          </cell>
          <cell r="R65">
            <v>10</v>
          </cell>
        </row>
        <row r="66">
          <cell r="C66" t="str">
            <v>M92</v>
          </cell>
          <cell r="I66">
            <v>1</v>
          </cell>
          <cell r="M66">
            <v>10</v>
          </cell>
          <cell r="N66">
            <v>1</v>
          </cell>
          <cell r="R66">
            <v>11.5</v>
          </cell>
        </row>
        <row r="67">
          <cell r="C67" t="str">
            <v>M93</v>
          </cell>
          <cell r="I67">
            <v>1</v>
          </cell>
          <cell r="M67">
            <v>10</v>
          </cell>
          <cell r="N67">
            <v>1</v>
          </cell>
          <cell r="R67">
            <v>10</v>
          </cell>
        </row>
        <row r="68">
          <cell r="C68" t="str">
            <v>M94</v>
          </cell>
        </row>
        <row r="69">
          <cell r="C69" t="str">
            <v>M95</v>
          </cell>
          <cell r="I69">
            <v>1</v>
          </cell>
          <cell r="M69">
            <v>10</v>
          </cell>
          <cell r="N69">
            <v>1</v>
          </cell>
          <cell r="R69">
            <v>11.5</v>
          </cell>
        </row>
        <row r="70">
          <cell r="C70" t="str">
            <v>M96</v>
          </cell>
          <cell r="I70">
            <v>1</v>
          </cell>
          <cell r="J70">
            <v>1</v>
          </cell>
          <cell r="M70">
            <v>10</v>
          </cell>
          <cell r="N70">
            <v>1</v>
          </cell>
          <cell r="R70">
            <v>12.5</v>
          </cell>
        </row>
        <row r="71">
          <cell r="C71" t="str">
            <v>M97</v>
          </cell>
          <cell r="I71">
            <v>1</v>
          </cell>
          <cell r="M71">
            <v>10</v>
          </cell>
          <cell r="N71">
            <v>1</v>
          </cell>
          <cell r="R71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4 Week Sched"/>
      <sheetName val="Ponderados"/>
      <sheetName val="S (2)"/>
      <sheetName val="QURR"/>
      <sheetName val="WEEKBASE"/>
      <sheetName val="RESUMEN"/>
      <sheetName val="SAP"/>
      <sheetName val="VARIAC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J2">
            <v>37948</v>
          </cell>
          <cell r="K2" t="str">
            <v>SU</v>
          </cell>
        </row>
        <row r="3">
          <cell r="J3">
            <v>37955</v>
          </cell>
          <cell r="K3" t="str">
            <v>SU</v>
          </cell>
        </row>
        <row r="4">
          <cell r="J4">
            <v>37962</v>
          </cell>
          <cell r="K4" t="str">
            <v>SU</v>
          </cell>
        </row>
        <row r="5">
          <cell r="A5">
            <v>2</v>
          </cell>
          <cell r="B5" t="str">
            <v>MO</v>
          </cell>
          <cell r="C5" t="str">
            <v>MON</v>
          </cell>
          <cell r="J5">
            <v>37963</v>
          </cell>
          <cell r="K5" t="str">
            <v>MO</v>
          </cell>
        </row>
        <row r="6">
          <cell r="A6">
            <v>3</v>
          </cell>
          <cell r="B6" t="str">
            <v>TU</v>
          </cell>
          <cell r="C6" t="str">
            <v>TUE</v>
          </cell>
          <cell r="J6">
            <v>37969</v>
          </cell>
          <cell r="K6" t="str">
            <v>SU</v>
          </cell>
        </row>
        <row r="7">
          <cell r="A7">
            <v>4</v>
          </cell>
          <cell r="B7" t="str">
            <v>WE</v>
          </cell>
          <cell r="C7" t="str">
            <v>WED</v>
          </cell>
          <cell r="J7">
            <v>37976</v>
          </cell>
          <cell r="K7" t="str">
            <v>SU</v>
          </cell>
        </row>
        <row r="8">
          <cell r="A8">
            <v>5</v>
          </cell>
          <cell r="B8" t="str">
            <v>TH</v>
          </cell>
          <cell r="C8" t="str">
            <v>THU</v>
          </cell>
          <cell r="J8">
            <v>37979</v>
          </cell>
          <cell r="K8" t="str">
            <v>WE</v>
          </cell>
        </row>
        <row r="9">
          <cell r="A9">
            <v>6</v>
          </cell>
          <cell r="B9" t="str">
            <v>FR</v>
          </cell>
          <cell r="C9" t="str">
            <v>FRI</v>
          </cell>
          <cell r="J9">
            <v>37980</v>
          </cell>
          <cell r="K9" t="str">
            <v>TH</v>
          </cell>
        </row>
        <row r="10">
          <cell r="A10">
            <v>7</v>
          </cell>
          <cell r="B10" t="str">
            <v>SA</v>
          </cell>
          <cell r="C10" t="str">
            <v>SAT</v>
          </cell>
          <cell r="J10">
            <v>37983</v>
          </cell>
          <cell r="K10" t="str">
            <v>SU</v>
          </cell>
        </row>
        <row r="11">
          <cell r="A11">
            <v>1</v>
          </cell>
          <cell r="B11" t="str">
            <v>SU</v>
          </cell>
          <cell r="C11" t="str">
            <v>SUN</v>
          </cell>
          <cell r="J11">
            <v>37987</v>
          </cell>
          <cell r="K11" t="str">
            <v>TH</v>
          </cell>
        </row>
        <row r="12">
          <cell r="J12">
            <v>37988</v>
          </cell>
          <cell r="K12" t="str">
            <v>FR</v>
          </cell>
        </row>
        <row r="13">
          <cell r="J13">
            <v>37990</v>
          </cell>
          <cell r="K13" t="str">
            <v>SU</v>
          </cell>
        </row>
        <row r="14">
          <cell r="J14">
            <v>37997</v>
          </cell>
          <cell r="K14" t="str">
            <v>SU</v>
          </cell>
        </row>
        <row r="15">
          <cell r="J15">
            <v>38004</v>
          </cell>
          <cell r="K15" t="str">
            <v>SU</v>
          </cell>
        </row>
        <row r="16">
          <cell r="J16">
            <v>38011</v>
          </cell>
          <cell r="K16" t="str">
            <v>SU</v>
          </cell>
        </row>
        <row r="17">
          <cell r="J17">
            <v>38018</v>
          </cell>
          <cell r="K17" t="str">
            <v>SU</v>
          </cell>
        </row>
        <row r="18">
          <cell r="J18">
            <v>38025</v>
          </cell>
          <cell r="K18" t="str">
            <v>SU</v>
          </cell>
        </row>
        <row r="19">
          <cell r="J19">
            <v>38032</v>
          </cell>
          <cell r="K19" t="str">
            <v>SU</v>
          </cell>
        </row>
        <row r="20">
          <cell r="J20">
            <v>38039</v>
          </cell>
          <cell r="K20" t="str">
            <v>SU</v>
          </cell>
        </row>
        <row r="21">
          <cell r="J21">
            <v>38046</v>
          </cell>
          <cell r="K21" t="str">
            <v>SU</v>
          </cell>
        </row>
        <row r="22">
          <cell r="J22">
            <v>38053</v>
          </cell>
          <cell r="K22" t="str">
            <v>SU</v>
          </cell>
        </row>
        <row r="23">
          <cell r="J23">
            <v>38060</v>
          </cell>
          <cell r="K23" t="str">
            <v>SU</v>
          </cell>
        </row>
        <row r="24">
          <cell r="J24">
            <v>38067</v>
          </cell>
          <cell r="K24" t="str">
            <v>SU</v>
          </cell>
        </row>
        <row r="25">
          <cell r="J25">
            <v>38074</v>
          </cell>
          <cell r="K25" t="str">
            <v>SU</v>
          </cell>
        </row>
        <row r="26">
          <cell r="J26">
            <v>38081</v>
          </cell>
          <cell r="K26" t="str">
            <v>SU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RETEQ"/>
      <sheetName val="CONCRETEPF"/>
      <sheetName val="REBARQ"/>
      <sheetName val="REBARPF"/>
      <sheetName val="FORMQ"/>
      <sheetName val="FORMPF"/>
      <sheetName val="LEANQ"/>
      <sheetName val="LEANPF"/>
      <sheetName val="BLOCKWQ"/>
      <sheetName val="BLOCKWPF"/>
      <sheetName val="Sheet1"/>
      <sheetName val="WEEKBASE"/>
      <sheetName val="Datos"/>
      <sheetName val="2005"/>
      <sheetName val="ECON. FACTORS"/>
    </sheetNames>
    <sheetDataSet>
      <sheetData sheetId="0"/>
      <sheetData sheetId="1" refreshError="1"/>
      <sheetData sheetId="2" refreshError="1">
        <row r="65">
          <cell r="C65" t="str">
            <v>Bs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ash Flow"/>
      <sheetName val="Inputs"/>
      <sheetName val="PR-7 ACTUAL"/>
      <sheetName val="TM1.Settings"/>
      <sheetName val="Sys.Cap"/>
    </sheetNames>
    <sheetDataSet>
      <sheetData sheetId="0" refreshError="1"/>
      <sheetData sheetId="1" refreshError="1"/>
      <sheetData sheetId="2" refreshError="1">
        <row r="11">
          <cell r="A11" t="str">
            <v>Plus: Senior Debt Draw Down During Construction</v>
          </cell>
          <cell r="B11">
            <v>0</v>
          </cell>
          <cell r="C11">
            <v>0</v>
          </cell>
          <cell r="D11">
            <v>94.507000000000005</v>
          </cell>
          <cell r="E11">
            <v>34247.17060049768</v>
          </cell>
          <cell r="F11">
            <v>0</v>
          </cell>
          <cell r="G11">
            <v>6838.0630933250141</v>
          </cell>
          <cell r="H11">
            <v>0</v>
          </cell>
          <cell r="I11">
            <v>11305.229900044493</v>
          </cell>
          <cell r="J11">
            <v>0</v>
          </cell>
        </row>
        <row r="13">
          <cell r="A13" t="str">
            <v>Plus: Equity Draw Down During Construction</v>
          </cell>
          <cell r="B13">
            <v>0</v>
          </cell>
          <cell r="D13">
            <v>0</v>
          </cell>
          <cell r="E13">
            <v>9915.7235334992274</v>
          </cell>
          <cell r="F13">
            <v>0</v>
          </cell>
          <cell r="G13">
            <v>469.83244400700141</v>
          </cell>
          <cell r="H13">
            <v>0</v>
          </cell>
          <cell r="I13">
            <v>1451.6388373468462</v>
          </cell>
          <cell r="J13">
            <v>0</v>
          </cell>
        </row>
        <row r="14">
          <cell r="A14" t="str">
            <v>Plus: Equity Bridge Loan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  <sheetName val="metrados"/>
      <sheetName val="QURR"/>
      <sheetName val="Contract Progress Chart"/>
      <sheetName val="CONTRO DE PERSONAL"/>
      <sheetName val="sraff chart"/>
    </sheetNames>
    <sheetDataSet>
      <sheetData sheetId="0" refreshError="1"/>
      <sheetData sheetId="1" refreshError="1">
        <row r="9">
          <cell r="B9" t="str">
            <v>CURTAIN WALL</v>
          </cell>
        </row>
        <row r="10">
          <cell r="A10" t="str">
            <v>1.1.2.b</v>
          </cell>
          <cell r="B10" t="str">
            <v xml:space="preserve">Green Light Reflective Insulated Glass           </v>
          </cell>
          <cell r="C10" t="str">
            <v>C10-C23/1P-8P</v>
          </cell>
          <cell r="D10">
            <v>1</v>
          </cell>
          <cell r="E10" t="str">
            <v>M2</v>
          </cell>
          <cell r="F10">
            <v>169.5</v>
          </cell>
          <cell r="H10">
            <v>0.5</v>
          </cell>
          <cell r="J10">
            <v>0</v>
          </cell>
          <cell r="K10">
            <v>0</v>
          </cell>
        </row>
        <row r="11">
          <cell r="A11" t="str">
            <v>1.1.2.b</v>
          </cell>
          <cell r="B11" t="str">
            <v xml:space="preserve">Green Light Reflective Insulated Glass           </v>
          </cell>
          <cell r="C11" t="str">
            <v>C10-C23/1P-8P</v>
          </cell>
          <cell r="D11">
            <v>2</v>
          </cell>
          <cell r="E11" t="str">
            <v>M2</v>
          </cell>
          <cell r="F11">
            <v>169.5</v>
          </cell>
          <cell r="H11">
            <v>0.5</v>
          </cell>
          <cell r="J11">
            <v>0</v>
          </cell>
          <cell r="K11">
            <v>0</v>
          </cell>
        </row>
        <row r="12">
          <cell r="G12">
            <v>339</v>
          </cell>
          <cell r="J12">
            <v>0</v>
          </cell>
          <cell r="K12">
            <v>0</v>
          </cell>
        </row>
        <row r="13">
          <cell r="J13">
            <v>0</v>
          </cell>
        </row>
        <row r="14">
          <cell r="A14" t="str">
            <v>1.2</v>
          </cell>
          <cell r="B14" t="str">
            <v xml:space="preserve">Aluminum Framing and Fittings                    </v>
          </cell>
          <cell r="C14" t="str">
            <v>C10-C23/1P-8P</v>
          </cell>
          <cell r="D14">
            <v>1</v>
          </cell>
          <cell r="E14" t="str">
            <v>M2</v>
          </cell>
          <cell r="F14">
            <v>169.5</v>
          </cell>
          <cell r="H14">
            <v>0.5</v>
          </cell>
          <cell r="I14">
            <v>152.55000000000001</v>
          </cell>
          <cell r="J14">
            <v>0.9</v>
          </cell>
          <cell r="K14">
            <v>0.45</v>
          </cell>
          <cell r="L14">
            <v>0.53129793510324486</v>
          </cell>
        </row>
        <row r="15">
          <cell r="A15">
            <v>1.2</v>
          </cell>
          <cell r="B15" t="str">
            <v xml:space="preserve">Aluminum Framing and Fitting                     </v>
          </cell>
          <cell r="C15" t="str">
            <v>C10-C23/1P-8P</v>
          </cell>
          <cell r="D15">
            <v>2</v>
          </cell>
          <cell r="E15" t="str">
            <v>M2</v>
          </cell>
          <cell r="F15">
            <v>169.5</v>
          </cell>
          <cell r="H15">
            <v>0.5</v>
          </cell>
          <cell r="I15">
            <v>27.56</v>
          </cell>
          <cell r="J15">
            <v>0.16259587020648966</v>
          </cell>
          <cell r="K15">
            <v>8.1297935103244831E-2</v>
          </cell>
        </row>
        <row r="16">
          <cell r="G16">
            <v>339</v>
          </cell>
          <cell r="J16">
            <v>0</v>
          </cell>
        </row>
        <row r="17">
          <cell r="A17">
            <v>1.4</v>
          </cell>
          <cell r="B17" t="str">
            <v xml:space="preserve">Fire Stopping                                    </v>
          </cell>
          <cell r="C17" t="str">
            <v>C10-C23/1P-8P</v>
          </cell>
          <cell r="D17">
            <v>1</v>
          </cell>
          <cell r="E17" t="str">
            <v>LOT</v>
          </cell>
          <cell r="F17">
            <v>16.3</v>
          </cell>
          <cell r="H17">
            <v>0.3853427895981088</v>
          </cell>
          <cell r="J17">
            <v>0</v>
          </cell>
          <cell r="K17">
            <v>0</v>
          </cell>
        </row>
        <row r="18">
          <cell r="A18">
            <v>1.4</v>
          </cell>
          <cell r="B18" t="str">
            <v xml:space="preserve">Fire Stopping                                    </v>
          </cell>
          <cell r="C18" t="str">
            <v>C10-C23/1P-8P</v>
          </cell>
          <cell r="D18">
            <v>2</v>
          </cell>
          <cell r="E18" t="str">
            <v>LOT</v>
          </cell>
          <cell r="F18">
            <v>26</v>
          </cell>
          <cell r="H18">
            <v>0.61465721040189125</v>
          </cell>
          <cell r="J18">
            <v>0</v>
          </cell>
          <cell r="K18">
            <v>0</v>
          </cell>
        </row>
        <row r="19">
          <cell r="G19">
            <v>42.3</v>
          </cell>
          <cell r="J19">
            <v>0</v>
          </cell>
          <cell r="K19">
            <v>0</v>
          </cell>
        </row>
        <row r="20">
          <cell r="J20">
            <v>0</v>
          </cell>
        </row>
        <row r="21">
          <cell r="B21" t="str">
            <v>ALUMINUM WINDOWS</v>
          </cell>
          <cell r="J21">
            <v>0</v>
          </cell>
        </row>
        <row r="22">
          <cell r="B22" t="str">
            <v>EXTERIOR WINDOWS</v>
          </cell>
          <cell r="J22">
            <v>0</v>
          </cell>
        </row>
        <row r="23">
          <cell r="A23" t="str">
            <v>2.1.1.2b</v>
          </cell>
          <cell r="B23" t="str">
            <v xml:space="preserve">Clear Tempered Glass                             </v>
          </cell>
          <cell r="C23" t="str">
            <v>C10-C23/1P-8P</v>
          </cell>
          <cell r="D23">
            <v>1</v>
          </cell>
          <cell r="E23" t="str">
            <v>M2</v>
          </cell>
          <cell r="F23">
            <v>5.18</v>
          </cell>
          <cell r="G23">
            <v>5.18</v>
          </cell>
          <cell r="H23">
            <v>1</v>
          </cell>
          <cell r="J23">
            <v>0</v>
          </cell>
          <cell r="K23">
            <v>0</v>
          </cell>
        </row>
        <row r="24">
          <cell r="A24" t="str">
            <v>2.1.2</v>
          </cell>
          <cell r="B24" t="str">
            <v xml:space="preserve">Aluminum Framing and Fittings                    </v>
          </cell>
          <cell r="C24" t="str">
            <v>C10-C23/1P-8P</v>
          </cell>
          <cell r="D24">
            <v>1</v>
          </cell>
          <cell r="E24" t="str">
            <v>M2</v>
          </cell>
          <cell r="F24">
            <v>5.18</v>
          </cell>
          <cell r="G24">
            <v>5.18</v>
          </cell>
          <cell r="H24">
            <v>1</v>
          </cell>
          <cell r="J24">
            <v>0</v>
          </cell>
          <cell r="K24">
            <v>0</v>
          </cell>
        </row>
        <row r="25">
          <cell r="B25" t="str">
            <v>INTERIOR WINDOWS</v>
          </cell>
          <cell r="J25">
            <v>0</v>
          </cell>
        </row>
        <row r="26">
          <cell r="A26" t="str">
            <v>2.2.1a</v>
          </cell>
          <cell r="B26" t="str">
            <v xml:space="preserve">Clear Tempered                                   </v>
          </cell>
          <cell r="C26" t="str">
            <v>C10-C23/1P-8P</v>
          </cell>
          <cell r="D26">
            <v>2</v>
          </cell>
          <cell r="E26" t="str">
            <v>M2</v>
          </cell>
          <cell r="F26">
            <v>70.239999999999995</v>
          </cell>
          <cell r="G26">
            <v>70.239999999999995</v>
          </cell>
          <cell r="H26">
            <v>1</v>
          </cell>
          <cell r="J26">
            <v>0</v>
          </cell>
          <cell r="K26">
            <v>0</v>
          </cell>
        </row>
        <row r="27">
          <cell r="A27" t="str">
            <v>2.2.1b</v>
          </cell>
          <cell r="B27" t="str">
            <v>Grey reflective tempered glass</v>
          </cell>
          <cell r="C27" t="str">
            <v>C10-C23/1P-8P</v>
          </cell>
          <cell r="D27">
            <v>2</v>
          </cell>
          <cell r="E27" t="str">
            <v>M2</v>
          </cell>
          <cell r="F27">
            <v>70.239999999999995</v>
          </cell>
          <cell r="G27">
            <v>70.239999999999995</v>
          </cell>
          <cell r="H27">
            <v>1</v>
          </cell>
          <cell r="J27">
            <v>0</v>
          </cell>
          <cell r="K27">
            <v>0</v>
          </cell>
        </row>
        <row r="28">
          <cell r="A28" t="str">
            <v>2.2.2</v>
          </cell>
          <cell r="B28" t="str">
            <v xml:space="preserve">Aluminum Framing and Fittings                    </v>
          </cell>
          <cell r="C28" t="str">
            <v>C10-C23/1P-8P</v>
          </cell>
          <cell r="D28">
            <v>2</v>
          </cell>
          <cell r="E28" t="str">
            <v>M2</v>
          </cell>
          <cell r="F28">
            <v>140.47999999999999</v>
          </cell>
          <cell r="G28">
            <v>140.47999999999999</v>
          </cell>
          <cell r="H28">
            <v>1</v>
          </cell>
          <cell r="J28">
            <v>0</v>
          </cell>
          <cell r="K28">
            <v>0</v>
          </cell>
        </row>
        <row r="29">
          <cell r="J29">
            <v>0</v>
          </cell>
        </row>
        <row r="30">
          <cell r="B30" t="str">
            <v>ALUMINIUN ENTRANCE &amp; STOREFRONTS</v>
          </cell>
          <cell r="J30">
            <v>0</v>
          </cell>
        </row>
        <row r="31">
          <cell r="A31">
            <v>3.2</v>
          </cell>
          <cell r="B31" t="str">
            <v>Stainless Steel fittings tempered systems</v>
          </cell>
          <cell r="C31" t="str">
            <v>C10-C23/1P-8P</v>
          </cell>
          <cell r="D31">
            <v>2</v>
          </cell>
          <cell r="E31" t="str">
            <v>M2</v>
          </cell>
          <cell r="F31">
            <v>18.649999999999999</v>
          </cell>
          <cell r="G31">
            <v>18.649999999999999</v>
          </cell>
          <cell r="H31">
            <v>1</v>
          </cell>
          <cell r="J31">
            <v>0</v>
          </cell>
        </row>
        <row r="32">
          <cell r="A32" t="str">
            <v>3.1.2</v>
          </cell>
          <cell r="B32" t="str">
            <v>Tempered translucent glass</v>
          </cell>
          <cell r="C32" t="str">
            <v>C10-C23/1P-8P</v>
          </cell>
          <cell r="D32">
            <v>2</v>
          </cell>
          <cell r="E32" t="str">
            <v>M2</v>
          </cell>
          <cell r="F32">
            <v>18.649999999999999</v>
          </cell>
          <cell r="G32">
            <v>18.649999999999999</v>
          </cell>
          <cell r="H32">
            <v>1</v>
          </cell>
          <cell r="J32">
            <v>0</v>
          </cell>
        </row>
        <row r="33">
          <cell r="J33">
            <v>0</v>
          </cell>
        </row>
        <row r="34">
          <cell r="B34" t="str">
            <v>AUTOMATIC ENTRANCE DOOR</v>
          </cell>
          <cell r="J34">
            <v>0</v>
          </cell>
        </row>
        <row r="35">
          <cell r="A35">
            <v>5</v>
          </cell>
          <cell r="B35" t="str">
            <v xml:space="preserve">Instalation Automatic Entrance Door              </v>
          </cell>
          <cell r="C35" t="str">
            <v>C10-C23/1P-8P</v>
          </cell>
          <cell r="D35">
            <v>1</v>
          </cell>
          <cell r="E35" t="str">
            <v>Pza</v>
          </cell>
          <cell r="F35">
            <v>1</v>
          </cell>
          <cell r="G35">
            <v>1</v>
          </cell>
          <cell r="H35">
            <v>1</v>
          </cell>
          <cell r="J35">
            <v>0</v>
          </cell>
        </row>
        <row r="36">
          <cell r="J36">
            <v>0</v>
          </cell>
        </row>
        <row r="37">
          <cell r="B37" t="str">
            <v>COMPLEMENTARY ACCESSORIES</v>
          </cell>
          <cell r="C37" t="str">
            <v>C10-C23/1P-8P</v>
          </cell>
          <cell r="J37">
            <v>0</v>
          </cell>
        </row>
        <row r="38">
          <cell r="A38">
            <v>6.2</v>
          </cell>
          <cell r="B38" t="str">
            <v xml:space="preserve">Mirrors                                          </v>
          </cell>
          <cell r="C38" t="str">
            <v>C10-C23/1P-8P</v>
          </cell>
          <cell r="D38">
            <v>1</v>
          </cell>
          <cell r="E38" t="str">
            <v>M2</v>
          </cell>
          <cell r="F38">
            <v>38.83</v>
          </cell>
          <cell r="H38">
            <v>0.5</v>
          </cell>
          <cell r="J38">
            <v>0</v>
          </cell>
        </row>
        <row r="39">
          <cell r="A39">
            <v>6.2</v>
          </cell>
          <cell r="B39" t="str">
            <v xml:space="preserve">Mirrors                                          </v>
          </cell>
          <cell r="C39" t="str">
            <v>C10-C23/1P-8P</v>
          </cell>
          <cell r="D39">
            <v>2</v>
          </cell>
          <cell r="E39" t="str">
            <v>M2</v>
          </cell>
          <cell r="F39">
            <v>38.83</v>
          </cell>
          <cell r="G39">
            <v>77.66</v>
          </cell>
          <cell r="H39">
            <v>0.5</v>
          </cell>
          <cell r="J39">
            <v>0</v>
          </cell>
        </row>
        <row r="40">
          <cell r="A40">
            <v>6.3</v>
          </cell>
          <cell r="B40" t="str">
            <v xml:space="preserve">Clear wire glass                                 </v>
          </cell>
          <cell r="C40" t="str">
            <v>C10-C23/1P-8P</v>
          </cell>
          <cell r="D40">
            <v>2</v>
          </cell>
          <cell r="E40" t="str">
            <v>EA</v>
          </cell>
          <cell r="F40">
            <v>13</v>
          </cell>
          <cell r="G40">
            <v>13</v>
          </cell>
          <cell r="H40">
            <v>1</v>
          </cell>
          <cell r="J40">
            <v>0</v>
          </cell>
        </row>
        <row r="41">
          <cell r="A41">
            <v>6.4</v>
          </cell>
          <cell r="B41" t="str">
            <v xml:space="preserve">Aluminum Top Flashing in other walls             </v>
          </cell>
          <cell r="C41" t="str">
            <v>C10-C23/1P-8P</v>
          </cell>
          <cell r="D41">
            <v>2</v>
          </cell>
          <cell r="E41" t="str">
            <v>ML</v>
          </cell>
          <cell r="F41">
            <v>238</v>
          </cell>
          <cell r="G41">
            <v>238</v>
          </cell>
          <cell r="H41">
            <v>1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Graphs"/>
      <sheetName val="Summary"/>
      <sheetName val="Summary Calcs"/>
      <sheetName val="Input"/>
      <sheetName val="Inputs-NonAeroRevs"/>
      <sheetName val="1. Time &amp; Esc"/>
      <sheetName val="Fcst"/>
      <sheetName val="2&amp;3 AeroRevs"/>
      <sheetName val="4. Non-AeroRevs"/>
      <sheetName val="5. Govt Revs"/>
      <sheetName val="6. OpEx"/>
      <sheetName val="7 &amp; 8A. SandU"/>
      <sheetName val="8b-8e. Debt"/>
      <sheetName val="9&amp;11. WC&amp;Tax"/>
      <sheetName val="10. Assets"/>
      <sheetName val="CashF"/>
      <sheetName val="P&amp;L"/>
      <sheetName val="Bal"/>
      <sheetName val="$Fin's"/>
      <sheetName val="Module2"/>
      <sheetName val="Introductio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6">
          <cell r="C96">
            <v>0.01</v>
          </cell>
          <cell r="D96">
            <v>0.01</v>
          </cell>
          <cell r="E96">
            <v>0.02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Graphs"/>
      <sheetName val="Sensitivity Summary Page"/>
      <sheetName val="Summary"/>
      <sheetName val="Summary Calcs"/>
      <sheetName val="Input"/>
      <sheetName val="Inputs-NonAeroRevs"/>
      <sheetName val="1. Time &amp; Esc"/>
      <sheetName val="Fcst"/>
      <sheetName val="2&amp;3 AeroRevs"/>
      <sheetName val="4. Non-AeroRevs"/>
      <sheetName val="5. Govt Revs"/>
      <sheetName val="6. OpEx"/>
      <sheetName val="7 &amp; 8A. SandU"/>
      <sheetName val="8b-8e. Debt"/>
      <sheetName val="9&amp;11. WC&amp;Tax"/>
      <sheetName val="10. Assets"/>
      <sheetName val="CashF"/>
      <sheetName val="P&amp;L"/>
      <sheetName val="Bal"/>
      <sheetName val="$Fin's"/>
      <sheetName val="Module2"/>
      <sheetName val="Introduction"/>
      <sheetName val="Module1"/>
      <sheetName val="Module3"/>
      <sheetName val="REBARQ"/>
      <sheetName val="sales proj-hirs"/>
      <sheetName val="Valorización"/>
      <sheetName val="DIF FAT FEV 01"/>
      <sheetName val="Sheet1"/>
      <sheetName val="T|C"/>
    </sheetNames>
    <sheetDataSet>
      <sheetData sheetId="0"/>
      <sheetData sheetId="1"/>
      <sheetData sheetId="2" refreshError="1">
        <row r="10">
          <cell r="B10">
            <v>0</v>
          </cell>
        </row>
      </sheetData>
      <sheetData sheetId="3"/>
      <sheetData sheetId="4"/>
      <sheetData sheetId="5">
        <row r="107">
          <cell r="C107">
            <v>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able of Contents"/>
      <sheetName val="Key D&amp;R"/>
      <sheetName val="Sensitivity"/>
      <sheetName val="Checks"/>
      <sheetName val="Inp"/>
      <sheetName val="Time Inp"/>
      <sheetName val="T&amp;Esc"/>
      <sheetName val="Traf &amp; Op"/>
      <sheetName val="Area"/>
      <sheetName val="Schedule of Pmts"/>
      <sheetName val="CapEx"/>
      <sheetName val="Virtual Debt"/>
      <sheetName val="Airside Fees m"/>
      <sheetName val="Airside Fees"/>
      <sheetName val="Rev m"/>
      <sheetName val="Rev"/>
      <sheetName val="OpEx m"/>
      <sheetName val="OpEx"/>
      <sheetName val="WC"/>
      <sheetName val="LCs"/>
      <sheetName val="SandU"/>
      <sheetName val="Loans AB"/>
      <sheetName val="Annual SandU"/>
      <sheetName val="Dep"/>
      <sheetName val="Taxes"/>
      <sheetName val="IS m"/>
      <sheetName val="IS"/>
      <sheetName val="Div"/>
      <sheetName val="Cash Flow"/>
      <sheetName val="BS"/>
      <sheetName val="Return"/>
      <sheetName val="Alterra Model Input"/>
      <sheetName val="Additional Financing"/>
      <sheetName val="EBL"/>
      <sheetName val="Fin IRR"/>
      <sheetName val="XIRR"/>
      <sheetName val="Govmt"/>
      <sheetName val="F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13">
            <v>1014365</v>
          </cell>
          <cell r="C13">
            <v>975000</v>
          </cell>
          <cell r="D13">
            <v>1025000</v>
          </cell>
          <cell r="E13">
            <v>1150000</v>
          </cell>
          <cell r="F13">
            <v>1250000</v>
          </cell>
          <cell r="G13">
            <v>1325000</v>
          </cell>
          <cell r="H13">
            <v>1400000</v>
          </cell>
          <cell r="I13">
            <v>1450000</v>
          </cell>
          <cell r="J13">
            <v>1525000</v>
          </cell>
          <cell r="K13">
            <v>1625000</v>
          </cell>
          <cell r="L13">
            <v>1704192</v>
          </cell>
          <cell r="M13">
            <v>1789402</v>
          </cell>
          <cell r="N13">
            <v>1860978</v>
          </cell>
          <cell r="O13">
            <v>1935417</v>
          </cell>
          <cell r="P13">
            <v>2003157</v>
          </cell>
          <cell r="Q13">
            <v>2073267</v>
          </cell>
          <cell r="R13">
            <v>2145831</v>
          </cell>
          <cell r="S13">
            <v>2220935</v>
          </cell>
          <cell r="T13">
            <v>2298668</v>
          </cell>
          <cell r="U13">
            <v>2379121</v>
          </cell>
          <cell r="V13">
            <v>2462389.8417000626</v>
          </cell>
          <cell r="W13">
            <v>2462389.8417000626</v>
          </cell>
          <cell r="X13">
            <v>2462389.8417000626</v>
          </cell>
          <cell r="Y13">
            <v>2462389.8417000626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trol"/>
      <sheetName val="graphs"/>
      <sheetName val="cf"/>
      <sheetName val="financial"/>
      <sheetName val="FCFF"/>
      <sheetName val="BK"/>
      <sheetName val="WACC"/>
      <sheetName val="cuadros"/>
      <sheetName val="historical data"/>
      <sheetName val="summary"/>
      <sheetName val="summary (previous)"/>
      <sheetName val="Quarterly DSCR"/>
      <sheetName val="bs"/>
      <sheetName val="genassump"/>
      <sheetName val="macros"/>
      <sheetName val="aeronautical"/>
      <sheetName val="commercial"/>
      <sheetName val="opex"/>
      <sheetName val="calcs"/>
      <sheetName val="CAPEX scenarios (PREVIO)"/>
      <sheetName val="CAPEX scenarios"/>
      <sheetName val="capex LT"/>
      <sheetName val="financial dep&amp;amort"/>
      <sheetName val="financial dep&amp;amort (REG)"/>
      <sheetName val="tax dep&amp;amort"/>
      <sheetName val="taxes"/>
      <sheetName val="p&amp;l"/>
      <sheetName val="p&amp;l (FRA)"/>
      <sheetName val="bs (FRA)"/>
      <sheetName val="OPEX in detail"/>
      <sheetName val="DATA output"/>
      <sheetName val="DATA indice output"/>
      <sheetName val="DATA input mo"/>
      <sheetName val="DATA input k"/>
      <sheetName val="DATA indice K"/>
      <sheetName val="DATA input mat"/>
      <sheetName val="DATA wacc"/>
      <sheetName val="DATA eco"/>
      <sheetName val="X RESULTADO"/>
      <sheetName val="FACTOR X"/>
      <sheetName val="OUTPUT"/>
      <sheetName val="INDICE OUTPUT"/>
      <sheetName val="INPUT MO"/>
      <sheetName val="INDICE MO"/>
      <sheetName val="INPUT K"/>
      <sheetName val="Depreciaciones"/>
      <sheetName val="INDICE K"/>
      <sheetName val="INPUT MAT"/>
      <sheetName val="INDICE MAT"/>
      <sheetName val="WACC (2)"/>
      <sheetName val="ECO"/>
      <sheetName val="BK (2)"/>
    </sheetNames>
    <sheetDataSet>
      <sheetData sheetId="0"/>
      <sheetData sheetId="1">
        <row r="38">
          <cell r="C38">
            <v>-241.66626273777297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2"/>
  <sheetViews>
    <sheetView showGridLines="0" tabSelected="1" zoomScale="85" zoomScaleNormal="85" workbookViewId="0">
      <selection activeCell="C4" sqref="C4"/>
    </sheetView>
  </sheetViews>
  <sheetFormatPr baseColWidth="10" defaultColWidth="11.42578125" defaultRowHeight="16.5"/>
  <cols>
    <col min="1" max="1" width="1.85546875" style="700" customWidth="1"/>
    <col min="2" max="2" width="3.28515625" style="748" customWidth="1"/>
    <col min="3" max="3" width="21" style="700" customWidth="1"/>
    <col min="4" max="4" width="18.140625" style="749" customWidth="1"/>
    <col min="5" max="5" width="18.140625" style="700" customWidth="1"/>
    <col min="6" max="6" width="16.7109375" style="700" customWidth="1"/>
    <col min="7" max="7" width="2.5703125" style="700" customWidth="1"/>
    <col min="8" max="8" width="7.42578125" style="700" customWidth="1"/>
    <col min="9" max="9" width="11.85546875" style="700" customWidth="1"/>
    <col min="10" max="11" width="8.28515625" style="700" customWidth="1"/>
    <col min="12" max="12" width="4.140625" style="700" customWidth="1"/>
    <col min="13" max="13" width="19.7109375" style="700" bestFit="1" customWidth="1"/>
    <col min="14" max="14" width="8.28515625" style="700" customWidth="1"/>
    <col min="15" max="31" width="9.42578125" style="700" customWidth="1"/>
    <col min="32" max="32" width="7.42578125" style="700" customWidth="1"/>
    <col min="33" max="33" width="21.5703125" style="700" customWidth="1"/>
    <col min="34" max="16384" width="11.42578125" style="700"/>
  </cols>
  <sheetData>
    <row r="1" spans="1:31" ht="17.25" thickBot="1">
      <c r="B1" s="700"/>
      <c r="D1" s="700"/>
      <c r="H1" s="699"/>
    </row>
    <row r="2" spans="1:31" ht="18" customHeight="1">
      <c r="B2" s="701"/>
      <c r="C2" s="702"/>
      <c r="D2" s="702"/>
      <c r="E2" s="702"/>
      <c r="F2" s="702"/>
      <c r="G2" s="703"/>
      <c r="H2" s="699"/>
      <c r="L2" s="726"/>
      <c r="AA2" s="727"/>
      <c r="AB2" s="727"/>
    </row>
    <row r="3" spans="1:31" ht="17.25" thickBot="1">
      <c r="B3" s="704"/>
      <c r="C3" s="705"/>
      <c r="D3" s="705"/>
      <c r="E3" s="705"/>
      <c r="F3" s="705"/>
      <c r="G3" s="706"/>
      <c r="H3" s="699"/>
      <c r="L3" s="728"/>
      <c r="M3" s="729" t="s">
        <v>531</v>
      </c>
      <c r="N3" s="730"/>
      <c r="O3" s="730" t="s">
        <v>528</v>
      </c>
      <c r="P3" s="730">
        <v>2002</v>
      </c>
      <c r="Q3" s="730">
        <v>2003</v>
      </c>
      <c r="R3" s="730">
        <v>2004</v>
      </c>
      <c r="S3" s="730">
        <v>2005</v>
      </c>
      <c r="T3" s="730">
        <v>2006</v>
      </c>
      <c r="U3" s="730">
        <v>2007</v>
      </c>
      <c r="V3" s="730">
        <v>2008</v>
      </c>
      <c r="W3" s="730">
        <v>2009</v>
      </c>
      <c r="X3" s="730">
        <v>2010</v>
      </c>
      <c r="Y3" s="730">
        <v>2011</v>
      </c>
      <c r="Z3" s="730">
        <v>2012</v>
      </c>
      <c r="AA3" s="730">
        <v>2013</v>
      </c>
      <c r="AB3" s="730">
        <v>2014</v>
      </c>
      <c r="AC3" s="730">
        <v>2015</v>
      </c>
      <c r="AD3" s="730">
        <v>2016</v>
      </c>
      <c r="AE3" s="730">
        <v>2017</v>
      </c>
    </row>
    <row r="4" spans="1:31" ht="17.25" thickBot="1">
      <c r="B4" s="704"/>
      <c r="C4" s="707" t="s">
        <v>233</v>
      </c>
      <c r="D4" s="708" t="s">
        <v>230</v>
      </c>
      <c r="E4" s="708" t="s">
        <v>231</v>
      </c>
      <c r="F4" s="709" t="s">
        <v>232</v>
      </c>
      <c r="G4" s="710"/>
      <c r="H4" s="699"/>
      <c r="L4" s="731"/>
      <c r="M4" s="732" t="s">
        <v>400</v>
      </c>
      <c r="N4" s="733"/>
      <c r="O4" s="734">
        <f t="shared" ref="O4:O9" si="0">+AVERAGE(P4:AE4)</f>
        <v>3.2408703715154995E-2</v>
      </c>
      <c r="P4" s="731">
        <f>+P5-P6</f>
        <v>-0.10842928538096668</v>
      </c>
      <c r="Q4" s="731">
        <f t="shared" ref="Q4:AE4" si="1">+Q5-Q6</f>
        <v>-1.6267240498264994E-2</v>
      </c>
      <c r="R4" s="731">
        <f t="shared" si="1"/>
        <v>0.12123941103005351</v>
      </c>
      <c r="S4" s="731">
        <f t="shared" si="1"/>
        <v>-0.17932504169349833</v>
      </c>
      <c r="T4" s="731">
        <f t="shared" si="1"/>
        <v>-0.17135180891464147</v>
      </c>
      <c r="U4" s="731">
        <f t="shared" si="1"/>
        <v>0.16684650484491995</v>
      </c>
      <c r="V4" s="731">
        <f t="shared" si="1"/>
        <v>0.10688821771003987</v>
      </c>
      <c r="W4" s="731">
        <f t="shared" si="1"/>
        <v>9.4433682770616104E-3</v>
      </c>
      <c r="X4" s="731">
        <f t="shared" si="1"/>
        <v>5.718506639100833E-2</v>
      </c>
      <c r="Y4" s="731">
        <f t="shared" si="1"/>
        <v>0.11050698469856889</v>
      </c>
      <c r="Z4" s="731">
        <f t="shared" si="1"/>
        <v>6.0317889389588215E-2</v>
      </c>
      <c r="AA4" s="792">
        <f t="shared" si="1"/>
        <v>0.13332770071440742</v>
      </c>
      <c r="AB4" s="792">
        <f t="shared" si="1"/>
        <v>2.6168831736903091E-2</v>
      </c>
      <c r="AC4" s="731">
        <f t="shared" si="1"/>
        <v>5.1539217396957077E-2</v>
      </c>
      <c r="AD4" s="731">
        <f t="shared" si="1"/>
        <v>7.5996667683606314E-2</v>
      </c>
      <c r="AE4" s="731">
        <f t="shared" si="1"/>
        <v>7.4452776056737127E-2</v>
      </c>
    </row>
    <row r="5" spans="1:31">
      <c r="B5" s="704"/>
      <c r="C5" s="711" t="s">
        <v>400</v>
      </c>
      <c r="D5" s="712">
        <f>+'FACTOR X'!S37</f>
        <v>3.2408703715155002E-2</v>
      </c>
      <c r="E5" s="713">
        <f>+ECO!B31</f>
        <v>1.7600000000000001E-2</v>
      </c>
      <c r="F5" s="714">
        <f>D5-E5</f>
        <v>1.4808703715155001E-2</v>
      </c>
      <c r="G5" s="710"/>
      <c r="H5" s="699"/>
      <c r="L5" s="731"/>
      <c r="M5" s="735" t="s">
        <v>578</v>
      </c>
      <c r="N5" s="728"/>
      <c r="O5" s="736">
        <f t="shared" si="0"/>
        <v>8.1424630979715085E-2</v>
      </c>
      <c r="P5" s="731">
        <f>+LN('FACTOR X'!C33)</f>
        <v>3.0918804308591775E-2</v>
      </c>
      <c r="Q5" s="731">
        <f>+LN('FACTOR X'!D33)</f>
        <v>2.983558747856821E-2</v>
      </c>
      <c r="R5" s="731">
        <f>+LN('FACTOR X'!E33)</f>
        <v>8.8326925984682989E-2</v>
      </c>
      <c r="S5" s="731">
        <f>+LN('FACTOR X'!F33)</f>
        <v>9.2415303868538759E-2</v>
      </c>
      <c r="T5" s="731">
        <f>+LN('FACTOR X'!H33)</f>
        <v>5.7545565341327445E-2</v>
      </c>
      <c r="U5" s="731">
        <f>+LN('FACTOR X'!I33)</f>
        <v>0.18320193934536874</v>
      </c>
      <c r="V5" s="731">
        <f>+LN('FACTOR X'!J33)</f>
        <v>8.7687450779560194E-2</v>
      </c>
      <c r="W5" s="731">
        <f>+LN('FACTOR X'!K33)</f>
        <v>6.9989509259284197E-2</v>
      </c>
      <c r="X5" s="731">
        <f>+LN('FACTOR X'!L33)</f>
        <v>0.10760887933437879</v>
      </c>
      <c r="Y5" s="731">
        <f>+LN('FACTOR X'!M33)</f>
        <v>0.11045469068978282</v>
      </c>
      <c r="Z5" s="731">
        <f>+LN('FACTOR X'!N33)</f>
        <v>9.9939758297550807E-2</v>
      </c>
      <c r="AA5" s="792">
        <f>+LN('FACTOR X'!O33)</f>
        <v>9.5468842719946712E-2</v>
      </c>
      <c r="AB5" s="792">
        <f>+LN('FACTOR X'!P33)</f>
        <v>3.5482398631309628E-2</v>
      </c>
      <c r="AC5" s="731">
        <f>+LN('FACTOR X'!Q33)</f>
        <v>7.2329954513215722E-2</v>
      </c>
      <c r="AD5" s="731">
        <f>+LN('FACTOR X'!R33)</f>
        <v>7.5915391013219716E-2</v>
      </c>
      <c r="AE5" s="731">
        <f>+LN('FACTOR X'!S33)</f>
        <v>6.5673094110115224E-2</v>
      </c>
    </row>
    <row r="6" spans="1:31">
      <c r="B6" s="704"/>
      <c r="C6" s="715" t="s">
        <v>237</v>
      </c>
      <c r="D6" s="712">
        <f>+'FACTOR X'!S67</f>
        <v>4.2335458847669941E-2</v>
      </c>
      <c r="E6" s="713">
        <f>+AVERAGE(ECO!B44:R44)</f>
        <v>2.2033280212630544E-2</v>
      </c>
      <c r="F6" s="714">
        <f>+E6-D6</f>
        <v>-2.0302178635039397E-2</v>
      </c>
      <c r="G6" s="716"/>
      <c r="H6" s="699"/>
      <c r="L6" s="728"/>
      <c r="M6" s="735" t="s">
        <v>579</v>
      </c>
      <c r="N6" s="728"/>
      <c r="O6" s="737">
        <f t="shared" si="0"/>
        <v>4.9015927264560125E-2</v>
      </c>
      <c r="P6" s="731">
        <f>+'FACTOR X'!C29</f>
        <v>0.13934808968955845</v>
      </c>
      <c r="Q6" s="731">
        <f>+'FACTOR X'!D29</f>
        <v>4.6102827976833204E-2</v>
      </c>
      <c r="R6" s="731">
        <f>+'FACTOR X'!E29</f>
        <v>-3.2912485045370511E-2</v>
      </c>
      <c r="S6" s="731">
        <f>+'FACTOR X'!F29</f>
        <v>0.27174034556203708</v>
      </c>
      <c r="T6" s="731">
        <f>+'FACTOR X'!H29</f>
        <v>0.22889737425596893</v>
      </c>
      <c r="U6" s="731">
        <f>+'FACTOR X'!I29</f>
        <v>1.6355434500448806E-2</v>
      </c>
      <c r="V6" s="731">
        <f>+'FACTOR X'!J29</f>
        <v>-1.920076693047967E-2</v>
      </c>
      <c r="W6" s="731">
        <f>+'FACTOR X'!K29</f>
        <v>6.0546140982222586E-2</v>
      </c>
      <c r="X6" s="731">
        <f>+'FACTOR X'!L29</f>
        <v>5.0423812943370463E-2</v>
      </c>
      <c r="Y6" s="731">
        <f>+'FACTOR X'!M29</f>
        <v>-5.229400878605657E-5</v>
      </c>
      <c r="Z6" s="731">
        <f>+'FACTOR X'!N29</f>
        <v>3.9621868907962592E-2</v>
      </c>
      <c r="AA6" s="792">
        <f>+'FACTOR X'!O29</f>
        <v>-3.7858857994460704E-2</v>
      </c>
      <c r="AB6" s="792">
        <f>+'FACTOR X'!P29</f>
        <v>9.313566894406539E-3</v>
      </c>
      <c r="AC6" s="731">
        <f>+'FACTOR X'!Q29</f>
        <v>2.0790737116258645E-2</v>
      </c>
      <c r="AD6" s="731">
        <f>+'FACTOR X'!R29</f>
        <v>-8.1276670386593418E-5</v>
      </c>
      <c r="AE6" s="731">
        <f>+'FACTOR X'!S29</f>
        <v>-8.7796819466219068E-3</v>
      </c>
    </row>
    <row r="7" spans="1:31" ht="17.25" thickBot="1">
      <c r="B7" s="717"/>
      <c r="C7" s="718" t="s">
        <v>64</v>
      </c>
      <c r="D7" s="719"/>
      <c r="E7" s="719"/>
      <c r="F7" s="720">
        <f>SUM(F5:F6)</f>
        <v>-5.493474919884396E-3</v>
      </c>
      <c r="G7" s="721"/>
      <c r="H7" s="699"/>
      <c r="L7" s="731"/>
      <c r="M7" s="735" t="s">
        <v>18</v>
      </c>
      <c r="N7" s="735"/>
      <c r="O7" s="737">
        <f t="shared" si="0"/>
        <v>8.4042563084375729E-2</v>
      </c>
      <c r="P7" s="731">
        <f>+'INDICE K'!F103</f>
        <v>0.10916428408790348</v>
      </c>
      <c r="Q7" s="731">
        <f>+'INDICE K'!G103</f>
        <v>1.492109972740488E-2</v>
      </c>
      <c r="R7" s="731">
        <f>+'INDICE K'!H103</f>
        <v>-6.8477024442315279E-2</v>
      </c>
      <c r="S7" s="731">
        <f>+'INDICE K'!I103</f>
        <v>0.79017907054260228</v>
      </c>
      <c r="T7" s="731">
        <f>+'INDICE K'!K103</f>
        <v>0.44305419442409738</v>
      </c>
      <c r="U7" s="731">
        <f>+'INDICE K'!L103</f>
        <v>3.880282786127719E-3</v>
      </c>
      <c r="V7" s="731">
        <f>+'INDICE K'!M103</f>
        <v>-6.2267346219577774E-2</v>
      </c>
      <c r="W7" s="731">
        <f>+'INDICE K'!N103</f>
        <v>7.5770197815540827E-2</v>
      </c>
      <c r="X7" s="731">
        <f>+'INDICE K'!O103</f>
        <v>9.3502696504980248E-2</v>
      </c>
      <c r="Y7" s="731">
        <f>+'INDICE K'!P103</f>
        <v>-6.2542574985474109E-2</v>
      </c>
      <c r="Z7" s="731">
        <f>+'INDICE K'!Q103</f>
        <v>-6.6126008328775635E-3</v>
      </c>
      <c r="AA7" s="792">
        <f>+'INDICE K'!R103</f>
        <v>3.3254273770966271E-2</v>
      </c>
      <c r="AB7" s="792">
        <f>+'INDICE K'!S103</f>
        <v>3.377209407267991E-3</v>
      </c>
      <c r="AC7" s="731">
        <f>+'INDICE K'!T103</f>
        <v>4.3583441107073583E-3</v>
      </c>
      <c r="AD7" s="731">
        <f>+'INDICE K'!U103</f>
        <v>7.973487479021776E-4</v>
      </c>
      <c r="AE7" s="731">
        <f>+'INDICE K'!V103</f>
        <v>-2.7678446095244412E-2</v>
      </c>
    </row>
    <row r="8" spans="1:31" ht="17.25" thickBot="1">
      <c r="B8" s="722"/>
      <c r="C8" s="723"/>
      <c r="D8" s="724"/>
      <c r="E8" s="723"/>
      <c r="F8" s="723"/>
      <c r="G8" s="725"/>
      <c r="H8" s="699"/>
      <c r="L8" s="731"/>
      <c r="M8" s="735" t="s">
        <v>529</v>
      </c>
      <c r="N8" s="735"/>
      <c r="O8" s="737">
        <f t="shared" si="0"/>
        <v>2.7812495625674481E-2</v>
      </c>
      <c r="P8" s="731">
        <f>+'INDICE MO'!D47</f>
        <v>0.23937398046059127</v>
      </c>
      <c r="Q8" s="731">
        <f>+'INDICE MO'!E47</f>
        <v>7.0542380716549571E-2</v>
      </c>
      <c r="R8" s="731">
        <f>+'INDICE MO'!F47</f>
        <v>-3.8286097002700344E-3</v>
      </c>
      <c r="S8" s="731">
        <f>+'INDICE MO'!G47</f>
        <v>6.0104300734313415E-2</v>
      </c>
      <c r="T8" s="731">
        <f>+'INDICE MO'!H47</f>
        <v>0</v>
      </c>
      <c r="U8" s="731">
        <f>+'INDICE MO'!J47</f>
        <v>0.2023350469614151</v>
      </c>
      <c r="V8" s="731">
        <f>+'INDICE MO'!K47</f>
        <v>9.3663261294004624E-2</v>
      </c>
      <c r="W8" s="731">
        <f>+'INDICE MO'!L47</f>
        <v>1.3098672828102354E-2</v>
      </c>
      <c r="X8" s="731">
        <f>+'INDICE MO'!M47</f>
        <v>4.1456466257932714E-2</v>
      </c>
      <c r="Y8" s="731">
        <f>+'INDICE MO'!N47</f>
        <v>2.5530353392784085E-2</v>
      </c>
      <c r="Z8" s="731">
        <f>+'INDICE MO'!O47</f>
        <v>0.12706513700426597</v>
      </c>
      <c r="AA8" s="792">
        <f>+'INDICE MO'!P47</f>
        <v>-0.3455674802296671</v>
      </c>
      <c r="AB8" s="792">
        <f>+'INDICE MO'!Q47</f>
        <v>-7.2377380127670352E-2</v>
      </c>
      <c r="AC8" s="731">
        <f>+'INDICE MO'!R47</f>
        <v>-2.683709298367017E-2</v>
      </c>
      <c r="AD8" s="731">
        <f>+'INDICE MO'!S47</f>
        <v>1.2658067413467472E-2</v>
      </c>
      <c r="AE8" s="731">
        <f>+'INDICE MO'!T47</f>
        <v>7.7828259886427165E-3</v>
      </c>
    </row>
    <row r="9" spans="1:31" ht="19.5" customHeight="1">
      <c r="B9" s="700"/>
      <c r="D9" s="700"/>
      <c r="H9" s="699"/>
      <c r="L9" s="731"/>
      <c r="M9" s="735" t="s">
        <v>580</v>
      </c>
      <c r="N9" s="735"/>
      <c r="O9" s="737">
        <f t="shared" si="0"/>
        <v>3.335445169133934E-2</v>
      </c>
      <c r="P9" s="731">
        <f>+'INDICE MAT'!E88</f>
        <v>0.11850496750399925</v>
      </c>
      <c r="Q9" s="731">
        <f>+'INDICE MAT'!F88</f>
        <v>6.0954357599285733E-2</v>
      </c>
      <c r="R9" s="731">
        <f>+'INDICE MAT'!G88</f>
        <v>-2.4661380097836538E-2</v>
      </c>
      <c r="S9" s="731">
        <f>+'INDICE MAT'!H88</f>
        <v>-2.1907270469396192E-3</v>
      </c>
      <c r="T9" s="731">
        <f>+'INDICE MAT'!J88</f>
        <v>8.2379118877384902E-2</v>
      </c>
      <c r="U9" s="731">
        <f>+'INDICE MAT'!K88</f>
        <v>-5.1624852116021629E-2</v>
      </c>
      <c r="V9" s="731">
        <f>+'INDICE MAT'!L88</f>
        <v>-2.2210224530428133E-2</v>
      </c>
      <c r="W9" s="731">
        <f>+'INDICE MAT'!M88</f>
        <v>6.3177704328316764E-2</v>
      </c>
      <c r="X9" s="731">
        <f>+'INDICE MAT'!N88</f>
        <v>-4.3749818553904543E-2</v>
      </c>
      <c r="Y9" s="731">
        <f>+'INDICE MAT'!O88</f>
        <v>9.2027642573595456E-2</v>
      </c>
      <c r="Z9" s="731">
        <f>+'INDICE MAT'!P88</f>
        <v>4.9041528126546427E-2</v>
      </c>
      <c r="AA9" s="792">
        <f>+'INDICE MAT'!Q88</f>
        <v>5.198210984905384E-2</v>
      </c>
      <c r="AB9" s="792">
        <f>+'INDICE MAT'!R88</f>
        <v>7.1708365173180119E-2</v>
      </c>
      <c r="AC9" s="731">
        <f>+'INDICE MAT'!S88</f>
        <v>8.0244067281759812E-2</v>
      </c>
      <c r="AD9" s="731">
        <f>+'INDICE MAT'!T88</f>
        <v>-9.7715162462280979E-3</v>
      </c>
      <c r="AE9" s="731">
        <f>+'INDICE MAT'!U88</f>
        <v>1.7859884339665708E-2</v>
      </c>
    </row>
    <row r="10" spans="1:31" s="738" customFormat="1" ht="15" customHeight="1">
      <c r="A10"/>
      <c r="B10"/>
      <c r="C10"/>
      <c r="D10"/>
      <c r="E10"/>
      <c r="F10"/>
      <c r="G10"/>
      <c r="H10"/>
      <c r="L10" s="739"/>
    </row>
    <row r="11" spans="1:31" s="738" customFormat="1" ht="18.75" customHeight="1" thickBot="1">
      <c r="A11"/>
      <c r="B11"/>
      <c r="C11"/>
      <c r="D11"/>
      <c r="E11"/>
      <c r="F11"/>
      <c r="G11"/>
      <c r="H11"/>
      <c r="L11" s="728"/>
      <c r="M11" s="729" t="s">
        <v>531</v>
      </c>
      <c r="N11" s="730"/>
      <c r="O11" s="730" t="s">
        <v>528</v>
      </c>
      <c r="P11" s="730">
        <v>2002</v>
      </c>
      <c r="Q11" s="730">
        <v>2003</v>
      </c>
      <c r="R11" s="730">
        <v>2004</v>
      </c>
      <c r="S11" s="730">
        <v>2005</v>
      </c>
      <c r="T11" s="730">
        <v>2006</v>
      </c>
      <c r="U11" s="730">
        <v>2007</v>
      </c>
      <c r="V11" s="730">
        <v>2008</v>
      </c>
      <c r="W11" s="730">
        <v>2009</v>
      </c>
      <c r="X11" s="730">
        <v>2010</v>
      </c>
      <c r="Y11" s="730">
        <v>2011</v>
      </c>
      <c r="Z11" s="730">
        <v>2012</v>
      </c>
      <c r="AA11" s="730">
        <v>2013</v>
      </c>
      <c r="AB11" s="730">
        <v>2014</v>
      </c>
      <c r="AC11" s="730">
        <v>2015</v>
      </c>
      <c r="AD11" s="730">
        <v>2016</v>
      </c>
      <c r="AE11" s="730">
        <v>2017</v>
      </c>
    </row>
    <row r="12" spans="1:31" ht="17.25" customHeight="1" thickBot="1">
      <c r="A12"/>
      <c r="B12"/>
      <c r="C12"/>
      <c r="D12"/>
      <c r="E12"/>
      <c r="F12"/>
      <c r="G12"/>
      <c r="H12"/>
      <c r="L12" s="740"/>
      <c r="M12" s="741" t="s">
        <v>581</v>
      </c>
      <c r="N12" s="742"/>
      <c r="O12" s="743">
        <f>+AVERAGE(P12:AE12)</f>
        <v>4.2335458847669941E-2</v>
      </c>
      <c r="P12" s="731">
        <f>+'FACTOR X'!C66</f>
        <v>0.11035005731939646</v>
      </c>
      <c r="Q12" s="731">
        <f>+'FACTOR X'!D66</f>
        <v>-0.147951296378277</v>
      </c>
      <c r="R12" s="731">
        <f>+'FACTOR X'!E66</f>
        <v>3.4094087547146913E-2</v>
      </c>
      <c r="S12" s="731">
        <f>+'FACTOR X'!F66</f>
        <v>-8.6431340604775891E-2</v>
      </c>
      <c r="T12" s="731">
        <f>+'FACTOR X'!H66</f>
        <v>0.11325226100588254</v>
      </c>
      <c r="U12" s="731">
        <f>+'FACTOR X'!I66</f>
        <v>0.16366061136458487</v>
      </c>
      <c r="V12" s="731">
        <f>+'FACTOR X'!J66</f>
        <v>-0.231960442185352</v>
      </c>
      <c r="W12" s="731">
        <f>+'FACTOR X'!K66</f>
        <v>0.52642361700735596</v>
      </c>
      <c r="X12" s="731">
        <f>+'FACTOR X'!L66</f>
        <v>-0.18810428428201362</v>
      </c>
      <c r="Y12" s="731">
        <f>+'FACTOR X'!M66</f>
        <v>6.8688096299596504E-2</v>
      </c>
      <c r="Z12" s="731">
        <f>+'FACTOR X'!N66</f>
        <v>8.6270925175995397E-2</v>
      </c>
      <c r="AA12" s="792">
        <f>+'FACTOR X'!O66</f>
        <v>0.16841273764793799</v>
      </c>
      <c r="AB12" s="792">
        <f>+'FACTOR X'!P66</f>
        <v>1.3624222712513293E-2</v>
      </c>
      <c r="AC12" s="731">
        <f>+'FACTOR X'!Q66</f>
        <v>4.9769001044919527E-2</v>
      </c>
      <c r="AD12" s="731">
        <f>+'FACTOR X'!R66</f>
        <v>1.4009871039235474E-2</v>
      </c>
      <c r="AE12" s="731">
        <f>+'FACTOR X'!S66</f>
        <v>-1.6740783151427324E-2</v>
      </c>
    </row>
    <row r="13" spans="1:31" ht="17.25" customHeight="1">
      <c r="A13"/>
      <c r="B13"/>
      <c r="C13"/>
      <c r="D13"/>
      <c r="E13"/>
      <c r="F13"/>
      <c r="G13"/>
      <c r="H13"/>
      <c r="L13" s="740"/>
      <c r="M13" s="735" t="s">
        <v>18</v>
      </c>
      <c r="N13" s="728"/>
      <c r="O13" s="736">
        <f>+AVERAGE(P13:AE13)</f>
        <v>2.9658454558269334E-2</v>
      </c>
      <c r="P13" s="731">
        <f>+'INDICE K'!F120</f>
        <v>0.31311726380946925</v>
      </c>
      <c r="Q13" s="731">
        <f>+'INDICE K'!G120</f>
        <v>-0.47607922679376447</v>
      </c>
      <c r="R13" s="731">
        <f>+'INDICE K'!H120</f>
        <v>3.7405798439889212E-2</v>
      </c>
      <c r="S13" s="731">
        <f>+'INDICE K'!I120</f>
        <v>-0.37771494751133122</v>
      </c>
      <c r="T13" s="731">
        <f>+'INDICE K'!K120</f>
        <v>0.23708653358870541</v>
      </c>
      <c r="U13" s="731">
        <f>+'INDICE K'!L120</f>
        <v>0.25316577323944489</v>
      </c>
      <c r="V13" s="731">
        <f>+'INDICE K'!M120</f>
        <v>-0.58381146655214922</v>
      </c>
      <c r="W13" s="731">
        <f>+'INDICE K'!N120</f>
        <v>1.0296430317714738</v>
      </c>
      <c r="X13" s="731">
        <f>+'INDICE K'!O120</f>
        <v>-0.37167948480409529</v>
      </c>
      <c r="Y13" s="731">
        <f>+'INDICE K'!P120</f>
        <v>-3.1903009305429587E-2</v>
      </c>
      <c r="Z13" s="731">
        <f>+'INDICE K'!Q120</f>
        <v>0.16112360926103028</v>
      </c>
      <c r="AA13" s="792">
        <f>+'INDICE K'!R120</f>
        <v>0.17762049128484322</v>
      </c>
      <c r="AB13" s="792">
        <f>+'INDICE K'!S120</f>
        <v>2.5159089212033425E-2</v>
      </c>
      <c r="AC13" s="731">
        <f>+'INDICE K'!T120</f>
        <v>0.12934166608798106</v>
      </c>
      <c r="AD13" s="731">
        <f>+'INDICE K'!U120</f>
        <v>2.1987673383467597E-2</v>
      </c>
      <c r="AE13" s="731">
        <f>+'INDICE K'!V120</f>
        <v>-6.9927522179259113E-2</v>
      </c>
    </row>
    <row r="14" spans="1:31">
      <c r="A14"/>
      <c r="B14"/>
      <c r="C14"/>
      <c r="D14"/>
      <c r="E14"/>
      <c r="F14"/>
      <c r="G14"/>
      <c r="H14"/>
      <c r="L14" s="740"/>
      <c r="M14" s="735" t="s">
        <v>529</v>
      </c>
      <c r="N14" s="728"/>
      <c r="O14" s="736">
        <f>+AVERAGE(P14:AE14)</f>
        <v>5.7339739581029746E-2</v>
      </c>
      <c r="P14" s="731">
        <f>+'INDICE MO'!D72</f>
        <v>-6.7595335027280531E-2</v>
      </c>
      <c r="Q14" s="731">
        <f>+'INDICE MO'!E72</f>
        <v>1.2861831868569177E-2</v>
      </c>
      <c r="R14" s="731">
        <f>+'INDICE MO'!F72</f>
        <v>4.0165764912772186E-3</v>
      </c>
      <c r="S14" s="731">
        <f>+'INDICE MO'!G72</f>
        <v>4.8255914459864102E-2</v>
      </c>
      <c r="T14" s="731">
        <f>+'INDICE MO'!I72</f>
        <v>-1.1958892003289732E-2</v>
      </c>
      <c r="U14" s="731">
        <f>+'INDICE MO'!J72</f>
        <v>5.6081486580850798E-2</v>
      </c>
      <c r="V14" s="731">
        <f>+'INDICE MO'!K72</f>
        <v>3.346755692215958E-2</v>
      </c>
      <c r="W14" s="731">
        <f>+'INDICE MO'!L72</f>
        <v>2.7461436092777885E-2</v>
      </c>
      <c r="X14" s="731">
        <f>+'INDICE MO'!M72</f>
        <v>7.1901186757985611E-2</v>
      </c>
      <c r="Y14" s="731">
        <f>+'INDICE MO'!N72</f>
        <v>0.34241842864484745</v>
      </c>
      <c r="Z14" s="731">
        <f>+'INDICE MO'!O72</f>
        <v>-6.849924858651292E-2</v>
      </c>
      <c r="AA14" s="792">
        <f>+'INDICE MO'!P72</f>
        <v>0.37153337549084586</v>
      </c>
      <c r="AB14" s="792">
        <f>+'INDICE MO'!Q72</f>
        <v>1.9745876701735852E-2</v>
      </c>
      <c r="AC14" s="731">
        <f>+'INDICE MO'!R72</f>
        <v>1.7310926255824834E-2</v>
      </c>
      <c r="AD14" s="731">
        <f>+'INDICE MO'!S72</f>
        <v>4.2952151044222904E-2</v>
      </c>
      <c r="AE14" s="731">
        <f>+'INDICE MO'!T72</f>
        <v>1.7482561602597715E-2</v>
      </c>
    </row>
    <row r="15" spans="1:31" ht="21.75" customHeight="1">
      <c r="A15"/>
      <c r="B15"/>
      <c r="C15"/>
      <c r="D15"/>
      <c r="E15"/>
      <c r="F15"/>
      <c r="G15"/>
      <c r="H15"/>
      <c r="L15" s="728"/>
      <c r="M15" s="735" t="s">
        <v>580</v>
      </c>
      <c r="N15" s="728"/>
      <c r="O15" s="736">
        <f>+AVERAGE(P15:AE15)</f>
        <v>3.3680251564579558E-2</v>
      </c>
      <c r="P15" s="731">
        <f>+'INDICE MAT'!E104</f>
        <v>1.842070883538213E-3</v>
      </c>
      <c r="Q15" s="731">
        <f>+'INDICE MAT'!F104</f>
        <v>5.1492363811064326E-2</v>
      </c>
      <c r="R15" s="731">
        <f>+'INDICE MAT'!G104</f>
        <v>4.6137785721092638E-2</v>
      </c>
      <c r="S15" s="731">
        <f>+'INDICE MAT'!H104</f>
        <v>6.1450030211903373E-2</v>
      </c>
      <c r="T15" s="731">
        <f>+'INDICE MAT'!J104</f>
        <v>2.5366588879132661E-2</v>
      </c>
      <c r="U15" s="731">
        <f>+'INDICE MAT'!K104</f>
        <v>5.8735040423212544E-2</v>
      </c>
      <c r="V15" s="731">
        <f>+'INDICE MAT'!L104</f>
        <v>0.10632322981947649</v>
      </c>
      <c r="W15" s="731">
        <f>+'INDICE MAT'!M104</f>
        <v>-6.522020684311975E-3</v>
      </c>
      <c r="X15" s="731">
        <f>+'INDICE MAT'!N104</f>
        <v>8.729241267379774E-2</v>
      </c>
      <c r="Y15" s="731">
        <f>+'INDICE MAT'!O104</f>
        <v>6.1559229968860762E-2</v>
      </c>
      <c r="Z15" s="731">
        <f>+'INDICE MAT'!P104</f>
        <v>8.0428825192176992E-2</v>
      </c>
      <c r="AA15" s="792">
        <f>+'INDICE MAT'!Q104</f>
        <v>1.262099983292724E-2</v>
      </c>
      <c r="AB15" s="792">
        <f>+'INDICE MAT'!R104</f>
        <v>-1.1176517127558301E-2</v>
      </c>
      <c r="AC15" s="731">
        <f>+'INDICE MAT'!S104</f>
        <v>-8.2347495846186822E-2</v>
      </c>
      <c r="AD15" s="731">
        <f>+'INDICE MAT'!T104</f>
        <v>-2.0608656208767281E-2</v>
      </c>
      <c r="AE15" s="731">
        <f>+'INDICE MAT'!U104</f>
        <v>6.6290137482914305E-2</v>
      </c>
    </row>
    <row r="16" spans="1:31" ht="18.75" customHeight="1" thickBot="1">
      <c r="A16"/>
      <c r="B16"/>
      <c r="D16" s="700"/>
      <c r="G16"/>
      <c r="H16"/>
      <c r="L16" s="744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</row>
    <row r="17" spans="1:31" ht="19.5" customHeight="1" thickBot="1">
      <c r="A17"/>
      <c r="B17"/>
      <c r="C17" s="782" t="s">
        <v>6</v>
      </c>
      <c r="D17" s="783"/>
      <c r="E17" s="783"/>
      <c r="G17"/>
      <c r="H17"/>
      <c r="L17" s="728"/>
      <c r="M17" s="745" t="s">
        <v>531</v>
      </c>
      <c r="N17" s="746"/>
      <c r="O17" s="747" t="s">
        <v>528</v>
      </c>
      <c r="P17"/>
      <c r="Q17"/>
      <c r="R17"/>
      <c r="S17"/>
      <c r="T17"/>
      <c r="U17"/>
    </row>
    <row r="18" spans="1:31" ht="19.5" customHeight="1">
      <c r="A18"/>
      <c r="B18"/>
      <c r="C18" s="784" t="s">
        <v>400</v>
      </c>
      <c r="D18" s="785"/>
      <c r="E18" s="785">
        <f>+O18</f>
        <v>3.2408703715154995E-2</v>
      </c>
      <c r="G18"/>
      <c r="H18"/>
      <c r="L18" s="728"/>
      <c r="M18" s="773" t="s">
        <v>400</v>
      </c>
      <c r="N18" s="774"/>
      <c r="O18" s="775">
        <f t="shared" ref="O18:O23" si="2">+O4</f>
        <v>3.2408703715154995E-2</v>
      </c>
      <c r="P18"/>
      <c r="Q18"/>
      <c r="R18"/>
      <c r="S18"/>
      <c r="T18"/>
      <c r="U18"/>
    </row>
    <row r="19" spans="1:31" ht="19.5" customHeight="1">
      <c r="A19"/>
      <c r="B19"/>
      <c r="C19" s="786" t="s">
        <v>582</v>
      </c>
      <c r="D19" s="787"/>
      <c r="E19" s="787">
        <f>+E5</f>
        <v>1.7600000000000001E-2</v>
      </c>
      <c r="G19"/>
      <c r="H19"/>
      <c r="L19" s="728"/>
      <c r="M19" s="750" t="s">
        <v>532</v>
      </c>
      <c r="N19" s="751"/>
      <c r="O19" s="752">
        <f t="shared" si="2"/>
        <v>8.1424630979715085E-2</v>
      </c>
      <c r="P19"/>
      <c r="Q19"/>
      <c r="R19"/>
      <c r="S19"/>
      <c r="T19"/>
      <c r="U19"/>
    </row>
    <row r="20" spans="1:31" s="753" customFormat="1" ht="19.5" customHeight="1">
      <c r="A20"/>
      <c r="B20"/>
      <c r="C20" s="788" t="s">
        <v>583</v>
      </c>
      <c r="D20" s="789"/>
      <c r="E20" s="789">
        <f>+E18-E19</f>
        <v>1.4808703715154994E-2</v>
      </c>
      <c r="G20"/>
      <c r="H20"/>
      <c r="L20" s="728"/>
      <c r="M20" s="750" t="s">
        <v>533</v>
      </c>
      <c r="N20" s="751"/>
      <c r="O20" s="752">
        <f t="shared" si="2"/>
        <v>4.9015927264560125E-2</v>
      </c>
      <c r="P20"/>
      <c r="Q20"/>
      <c r="R20"/>
      <c r="S20"/>
      <c r="T20"/>
      <c r="U20"/>
    </row>
    <row r="21" spans="1:31" s="727" customFormat="1" ht="19.5" customHeight="1">
      <c r="A21"/>
      <c r="B21"/>
      <c r="C21" s="784" t="s">
        <v>584</v>
      </c>
      <c r="D21" s="785"/>
      <c r="E21" s="785">
        <f>+E6</f>
        <v>2.2033280212630544E-2</v>
      </c>
      <c r="G21"/>
      <c r="H21"/>
      <c r="L21" s="728"/>
      <c r="M21" s="754" t="s">
        <v>18</v>
      </c>
      <c r="N21" s="755"/>
      <c r="O21" s="756">
        <f t="shared" si="2"/>
        <v>8.4042563084375729E-2</v>
      </c>
      <c r="P21"/>
      <c r="Q21"/>
      <c r="R21"/>
      <c r="S21"/>
      <c r="T21"/>
      <c r="U21"/>
    </row>
    <row r="22" spans="1:31" ht="19.5" customHeight="1">
      <c r="A22"/>
      <c r="B22"/>
      <c r="C22" s="784" t="s">
        <v>585</v>
      </c>
      <c r="D22" s="785"/>
      <c r="E22" s="785">
        <f>+O26</f>
        <v>4.2335458847669941E-2</v>
      </c>
      <c r="G22"/>
      <c r="H22"/>
      <c r="L22" s="736"/>
      <c r="M22" s="757" t="s">
        <v>529</v>
      </c>
      <c r="N22" s="758"/>
      <c r="O22" s="759">
        <f t="shared" si="2"/>
        <v>2.7812495625674481E-2</v>
      </c>
      <c r="P22"/>
      <c r="Q22"/>
      <c r="R22"/>
      <c r="S22"/>
      <c r="T22"/>
      <c r="U22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</row>
    <row r="23" spans="1:31" ht="19.5" customHeight="1" thickBot="1">
      <c r="A23"/>
      <c r="B23"/>
      <c r="C23" s="788" t="s">
        <v>586</v>
      </c>
      <c r="D23" s="789"/>
      <c r="E23" s="789">
        <f>+E21-E22</f>
        <v>-2.0302178635039397E-2</v>
      </c>
      <c r="G23"/>
      <c r="H23"/>
      <c r="L23" s="728"/>
      <c r="M23" s="760" t="s">
        <v>580</v>
      </c>
      <c r="N23" s="761"/>
      <c r="O23" s="762">
        <f t="shared" si="2"/>
        <v>3.335445169133934E-2</v>
      </c>
      <c r="P23"/>
      <c r="Q23"/>
      <c r="R23"/>
      <c r="S23"/>
      <c r="T23"/>
      <c r="U23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</row>
    <row r="24" spans="1:31" ht="19.5" customHeight="1" thickBot="1">
      <c r="A24"/>
      <c r="B24"/>
      <c r="C24" s="790" t="s">
        <v>530</v>
      </c>
      <c r="D24" s="791"/>
      <c r="E24" s="791">
        <f>+E20+E23</f>
        <v>-5.493474919884403E-3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</row>
    <row r="25" spans="1:31" ht="19.5" customHeight="1" thickBot="1">
      <c r="A25"/>
      <c r="B25"/>
      <c r="C25"/>
      <c r="D25"/>
      <c r="E25"/>
      <c r="F25"/>
      <c r="G25"/>
      <c r="H25"/>
      <c r="L25" s="731"/>
      <c r="M25" s="745" t="s">
        <v>531</v>
      </c>
      <c r="N25" s="746"/>
      <c r="O25" s="747" t="s">
        <v>528</v>
      </c>
      <c r="P25"/>
      <c r="Q25"/>
      <c r="R25"/>
      <c r="S25"/>
      <c r="T25"/>
      <c r="U25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</row>
    <row r="26" spans="1:31" ht="19.5" customHeight="1">
      <c r="A26"/>
      <c r="B26"/>
      <c r="C26"/>
      <c r="D26"/>
      <c r="E26"/>
      <c r="F26"/>
      <c r="G26"/>
      <c r="H26"/>
      <c r="L26" s="728"/>
      <c r="M26" s="776" t="s">
        <v>581</v>
      </c>
      <c r="N26" s="777"/>
      <c r="O26" s="778">
        <f>+O12</f>
        <v>4.2335458847669941E-2</v>
      </c>
      <c r="P26"/>
      <c r="Q26"/>
      <c r="R26"/>
      <c r="S26"/>
      <c r="T26"/>
      <c r="U26"/>
      <c r="V26" s="763"/>
      <c r="W26" s="763"/>
      <c r="X26" s="763"/>
      <c r="Y26" s="763"/>
      <c r="Z26" s="763"/>
      <c r="AA26" s="763"/>
      <c r="AB26" s="763"/>
      <c r="AC26" s="763"/>
      <c r="AD26" s="763"/>
      <c r="AE26" s="763"/>
    </row>
    <row r="27" spans="1:31" ht="19.5" customHeight="1">
      <c r="A27"/>
      <c r="B27"/>
      <c r="C27"/>
      <c r="D27"/>
      <c r="E27"/>
      <c r="F27"/>
      <c r="G27"/>
      <c r="H27"/>
      <c r="L27" s="731"/>
      <c r="M27" s="764" t="s">
        <v>18</v>
      </c>
      <c r="N27" s="765"/>
      <c r="O27" s="766">
        <f>+O13</f>
        <v>2.9658454558269334E-2</v>
      </c>
      <c r="P27"/>
      <c r="Q27"/>
      <c r="R27"/>
      <c r="S27"/>
      <c r="T27"/>
      <c r="U27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</row>
    <row r="28" spans="1:31" ht="19.5" customHeight="1">
      <c r="A28"/>
      <c r="B28"/>
      <c r="C28"/>
      <c r="D28"/>
      <c r="E28"/>
      <c r="F28"/>
      <c r="G28"/>
      <c r="H28"/>
      <c r="L28" s="731"/>
      <c r="M28" s="757" t="s">
        <v>529</v>
      </c>
      <c r="N28" s="767"/>
      <c r="O28" s="759">
        <f>+O14</f>
        <v>5.7339739581029746E-2</v>
      </c>
      <c r="P28"/>
      <c r="Q28"/>
      <c r="R28"/>
      <c r="S28"/>
      <c r="T28"/>
      <c r="U28"/>
      <c r="V28" s="728"/>
      <c r="W28" s="728"/>
      <c r="X28" s="728"/>
      <c r="Y28" s="728"/>
      <c r="Z28" s="728"/>
      <c r="AA28" s="728"/>
      <c r="AB28" s="728"/>
      <c r="AC28" s="728"/>
      <c r="AD28" s="728"/>
      <c r="AE28" s="728"/>
    </row>
    <row r="29" spans="1:31" ht="19.5" customHeight="1" thickBot="1">
      <c r="A29"/>
      <c r="B29"/>
      <c r="C29"/>
      <c r="D29"/>
      <c r="E29"/>
      <c r="F29"/>
      <c r="G29"/>
      <c r="H29"/>
      <c r="L29" s="731"/>
      <c r="M29" s="768" t="s">
        <v>580</v>
      </c>
      <c r="N29" s="769"/>
      <c r="O29" s="770">
        <f>+O15</f>
        <v>3.3680251564579558E-2</v>
      </c>
      <c r="P29"/>
      <c r="Q29"/>
      <c r="R29"/>
      <c r="S29"/>
      <c r="T29"/>
      <c r="U29"/>
      <c r="V29" s="728"/>
      <c r="W29" s="728"/>
      <c r="X29" s="728"/>
      <c r="Y29" s="728"/>
      <c r="Z29" s="728"/>
      <c r="AA29" s="728"/>
      <c r="AB29" s="728"/>
      <c r="AC29" s="728"/>
      <c r="AD29" s="728"/>
      <c r="AE29" s="728"/>
    </row>
    <row r="30" spans="1:31">
      <c r="A30"/>
      <c r="B30"/>
      <c r="C30"/>
      <c r="D30"/>
      <c r="E30"/>
      <c r="F30"/>
      <c r="G30"/>
      <c r="H30"/>
      <c r="L30" s="728"/>
      <c r="S30" s="763"/>
      <c r="T30" s="763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8"/>
    </row>
    <row r="31" spans="1:31">
      <c r="A31"/>
      <c r="B31"/>
      <c r="C31"/>
      <c r="D31"/>
      <c r="E31"/>
      <c r="F31"/>
      <c r="G31"/>
      <c r="H31"/>
      <c r="L31" s="728"/>
      <c r="S31" s="763"/>
      <c r="T31" s="763"/>
      <c r="U31" s="728"/>
      <c r="V31" s="728"/>
      <c r="W31" s="728"/>
      <c r="X31" s="728"/>
      <c r="Y31" s="728"/>
      <c r="Z31" s="728"/>
      <c r="AA31" s="728"/>
      <c r="AB31" s="728"/>
      <c r="AC31" s="728"/>
      <c r="AD31" s="728"/>
      <c r="AE31" s="728"/>
    </row>
    <row r="32" spans="1:31">
      <c r="A32"/>
      <c r="B32"/>
      <c r="C32"/>
      <c r="D32"/>
      <c r="E32"/>
      <c r="F32"/>
      <c r="G32"/>
      <c r="H32"/>
      <c r="I32" s="771"/>
      <c r="J32" s="771"/>
      <c r="K32" s="771"/>
      <c r="L32" s="728"/>
      <c r="S32" s="763"/>
      <c r="T32" s="763"/>
      <c r="U32" s="728"/>
      <c r="V32" s="728"/>
      <c r="W32" s="728"/>
      <c r="X32" s="728"/>
      <c r="Y32" s="728"/>
      <c r="Z32" s="728"/>
      <c r="AA32" s="728"/>
      <c r="AB32" s="728"/>
      <c r="AC32" s="728"/>
      <c r="AD32" s="728"/>
      <c r="AE32" s="728"/>
    </row>
    <row r="33" spans="1:31" ht="16.5" customHeight="1">
      <c r="A33"/>
      <c r="B33"/>
      <c r="C33"/>
      <c r="D33"/>
      <c r="E33"/>
      <c r="F33"/>
      <c r="G33"/>
      <c r="H33"/>
      <c r="I33" s="771"/>
      <c r="J33" s="771"/>
      <c r="K33" s="771"/>
      <c r="L33" s="728"/>
      <c r="S33" s="763"/>
      <c r="T33" s="763"/>
      <c r="U33" s="728"/>
      <c r="V33" s="728"/>
      <c r="W33" s="728"/>
      <c r="X33" s="728"/>
      <c r="Y33" s="728"/>
      <c r="Z33" s="728"/>
      <c r="AA33" s="728"/>
      <c r="AB33" s="728"/>
      <c r="AC33" s="728"/>
      <c r="AD33" s="728"/>
      <c r="AE33" s="728"/>
    </row>
    <row r="34" spans="1:31" ht="16.5" customHeight="1">
      <c r="A34"/>
      <c r="B34"/>
      <c r="C34"/>
      <c r="D34"/>
      <c r="E34"/>
      <c r="F34"/>
      <c r="G34"/>
      <c r="H34"/>
      <c r="I34" s="771"/>
      <c r="J34" s="771"/>
      <c r="K34" s="771"/>
      <c r="L34" s="728"/>
      <c r="S34" s="763"/>
      <c r="T34" s="763"/>
      <c r="U34" s="728"/>
      <c r="V34" s="728"/>
      <c r="W34" s="728"/>
      <c r="X34" s="728"/>
      <c r="Y34" s="728"/>
      <c r="Z34" s="728"/>
      <c r="AA34" s="728"/>
      <c r="AB34" s="728"/>
      <c r="AC34" s="728"/>
      <c r="AD34" s="728"/>
      <c r="AE34" s="728"/>
    </row>
    <row r="35" spans="1:31">
      <c r="A35"/>
      <c r="B35"/>
      <c r="C35"/>
      <c r="D35"/>
      <c r="E35"/>
      <c r="F35"/>
      <c r="G35"/>
      <c r="H35"/>
      <c r="L35" s="728"/>
      <c r="S35" s="763"/>
      <c r="T35" s="763"/>
      <c r="U35" s="728"/>
      <c r="V35" s="728"/>
      <c r="W35" s="728"/>
      <c r="X35" s="728"/>
      <c r="Y35" s="728"/>
      <c r="Z35" s="728"/>
      <c r="AA35" s="728"/>
      <c r="AB35" s="728"/>
      <c r="AC35" s="728"/>
      <c r="AD35" s="728"/>
      <c r="AE35" s="728"/>
    </row>
    <row r="36" spans="1:31">
      <c r="A36"/>
      <c r="B36"/>
      <c r="C36"/>
      <c r="D36"/>
      <c r="E36"/>
      <c r="F36"/>
      <c r="G36"/>
      <c r="H36"/>
      <c r="L36" s="728"/>
      <c r="S36" s="763"/>
      <c r="T36" s="763"/>
      <c r="U36" s="728"/>
      <c r="V36" s="728"/>
      <c r="W36" s="728"/>
      <c r="X36" s="728"/>
      <c r="Y36" s="728"/>
      <c r="Z36" s="728"/>
      <c r="AA36" s="728"/>
      <c r="AB36" s="728"/>
      <c r="AC36" s="728"/>
      <c r="AD36" s="728"/>
      <c r="AE36" s="728"/>
    </row>
    <row r="37" spans="1:31">
      <c r="A37"/>
      <c r="B37"/>
      <c r="C37"/>
      <c r="D37"/>
      <c r="E37"/>
      <c r="F37"/>
      <c r="G37"/>
      <c r="H37"/>
      <c r="L37" s="728"/>
      <c r="S37" s="728"/>
      <c r="T37" s="728"/>
      <c r="U37" s="728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</row>
    <row r="38" spans="1:31">
      <c r="A38"/>
      <c r="B38"/>
      <c r="C38"/>
      <c r="D38"/>
      <c r="E38"/>
      <c r="F38"/>
      <c r="G38"/>
      <c r="H38"/>
      <c r="I38" s="772"/>
      <c r="J38" s="772"/>
      <c r="K38" s="772"/>
      <c r="L38" s="728"/>
      <c r="S38" s="728"/>
      <c r="T38" s="728"/>
      <c r="U38" s="728"/>
      <c r="V38" s="728"/>
      <c r="W38" s="728"/>
      <c r="X38" s="728"/>
      <c r="Y38" s="728"/>
      <c r="Z38" s="728"/>
      <c r="AA38" s="728"/>
      <c r="AB38" s="728"/>
      <c r="AC38" s="728"/>
      <c r="AD38" s="728"/>
      <c r="AE38" s="728"/>
    </row>
    <row r="39" spans="1:31">
      <c r="A39"/>
      <c r="B39"/>
      <c r="C39"/>
      <c r="D39"/>
      <c r="E39"/>
      <c r="F39"/>
      <c r="G39"/>
      <c r="H39"/>
      <c r="L39" s="728"/>
      <c r="S39" s="728"/>
      <c r="T39" s="728"/>
      <c r="U39" s="728"/>
      <c r="V39" s="728"/>
      <c r="W39" s="728"/>
      <c r="X39" s="728"/>
      <c r="Y39" s="728"/>
      <c r="Z39" s="728"/>
      <c r="AA39" s="728"/>
      <c r="AB39" s="728"/>
      <c r="AC39" s="728"/>
      <c r="AD39" s="728"/>
      <c r="AE39" s="728"/>
    </row>
    <row r="40" spans="1:31">
      <c r="A40"/>
      <c r="B40"/>
      <c r="C40"/>
      <c r="D40"/>
      <c r="E40"/>
      <c r="F40"/>
      <c r="G40"/>
      <c r="H40"/>
      <c r="L40" s="728"/>
      <c r="S40" s="763"/>
      <c r="T40" s="763"/>
      <c r="U40" s="728"/>
      <c r="V40" s="728"/>
      <c r="W40" s="728"/>
      <c r="X40" s="728"/>
      <c r="Y40" s="728"/>
      <c r="Z40" s="728"/>
      <c r="AA40" s="728"/>
      <c r="AB40" s="728"/>
      <c r="AC40" s="728"/>
      <c r="AD40" s="728"/>
      <c r="AE40" s="728"/>
    </row>
    <row r="41" spans="1:31">
      <c r="A41"/>
      <c r="B41"/>
      <c r="C41"/>
      <c r="D41"/>
      <c r="E41"/>
      <c r="F41"/>
      <c r="G41"/>
      <c r="H41"/>
      <c r="L41" s="728"/>
      <c r="S41" s="763"/>
      <c r="T41" s="763"/>
      <c r="U41" s="728"/>
      <c r="V41" s="728"/>
      <c r="W41" s="728"/>
      <c r="X41" s="728"/>
      <c r="Y41" s="728"/>
      <c r="Z41" s="728"/>
      <c r="AA41" s="728"/>
      <c r="AB41" s="728"/>
      <c r="AC41" s="728"/>
      <c r="AD41" s="728"/>
      <c r="AE41" s="728"/>
    </row>
    <row r="42" spans="1:31" ht="16.5" customHeight="1">
      <c r="S42" s="763"/>
      <c r="T42" s="763"/>
    </row>
  </sheetData>
  <phoneticPr fontId="0" type="noConversion"/>
  <conditionalFormatting sqref="F6">
    <cfRule type="cellIs" dxfId="0" priority="5" stopIfTrue="1" operator="equal">
      <formula>0</formula>
    </cfRule>
  </conditionalFormatting>
  <pageMargins left="0.21" right="0.74803149606299213" top="0.3" bottom="0.45" header="0" footer="0"/>
  <pageSetup paperSize="9" scale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X70"/>
  <sheetViews>
    <sheetView showGridLines="0" zoomScale="85" zoomScaleNormal="85" workbookViewId="0">
      <selection activeCell="K26" sqref="K26"/>
    </sheetView>
  </sheetViews>
  <sheetFormatPr baseColWidth="10" defaultColWidth="11.42578125" defaultRowHeight="15" outlineLevelRow="1"/>
  <cols>
    <col min="1" max="1" width="4.7109375" style="2" customWidth="1"/>
    <col min="2" max="2" width="37.140625" style="2" customWidth="1"/>
    <col min="3" max="6" width="13.28515625" style="2" bestFit="1" customWidth="1"/>
    <col min="7" max="7" width="12.28515625" style="2" customWidth="1"/>
    <col min="8" max="11" width="13.28515625" style="2" bestFit="1" customWidth="1"/>
    <col min="12" max="14" width="13.28515625" style="1" bestFit="1" customWidth="1"/>
    <col min="15" max="19" width="13.28515625" style="1" customWidth="1"/>
    <col min="20" max="20" width="11.42578125" style="2" customWidth="1"/>
    <col min="21" max="21" width="4" style="2" customWidth="1"/>
    <col min="22" max="22" width="31.42578125" style="2" customWidth="1"/>
    <col min="23" max="33" width="12.7109375" style="2" customWidth="1"/>
    <col min="34" max="16384" width="11.42578125" style="2"/>
  </cols>
  <sheetData>
    <row r="1" spans="2:22" ht="15.75" thickBot="1"/>
    <row r="2" spans="2:22" outlineLevel="1">
      <c r="C2" s="6">
        <v>2002</v>
      </c>
      <c r="D2" s="6">
        <f>C2+1</f>
        <v>2003</v>
      </c>
      <c r="E2" s="6">
        <f>D2+1</f>
        <v>2004</v>
      </c>
      <c r="F2" s="7">
        <f>E2+1</f>
        <v>2005</v>
      </c>
      <c r="G2" s="6">
        <v>2005</v>
      </c>
      <c r="H2" s="6">
        <f t="shared" ref="H2:N2" si="0">G2+1</f>
        <v>2006</v>
      </c>
      <c r="I2" s="194">
        <f t="shared" si="0"/>
        <v>2007</v>
      </c>
      <c r="J2" s="6">
        <f t="shared" si="0"/>
        <v>2008</v>
      </c>
      <c r="K2" s="194">
        <f t="shared" si="0"/>
        <v>2009</v>
      </c>
      <c r="L2" s="6">
        <f t="shared" si="0"/>
        <v>2010</v>
      </c>
      <c r="M2" s="194">
        <f t="shared" si="0"/>
        <v>2011</v>
      </c>
      <c r="N2" s="6">
        <f t="shared" si="0"/>
        <v>2012</v>
      </c>
      <c r="O2" s="194">
        <f t="shared" ref="O2:S2" si="1">N2+1</f>
        <v>2013</v>
      </c>
      <c r="P2" s="6">
        <f t="shared" si="1"/>
        <v>2014</v>
      </c>
      <c r="Q2" s="194">
        <f t="shared" si="1"/>
        <v>2015</v>
      </c>
      <c r="R2" s="6">
        <f t="shared" si="1"/>
        <v>2016</v>
      </c>
      <c r="S2" s="194">
        <f t="shared" si="1"/>
        <v>2017</v>
      </c>
    </row>
    <row r="3" spans="2:22" outlineLevel="1">
      <c r="B3" s="381" t="s">
        <v>413</v>
      </c>
      <c r="C3" s="388">
        <f t="shared" ref="C3:S3" si="2">+SUM(C4:C6)</f>
        <v>23673729.760090552</v>
      </c>
      <c r="D3" s="388">
        <f t="shared" si="2"/>
        <v>27780108.821906283</v>
      </c>
      <c r="E3" s="388">
        <f t="shared" si="2"/>
        <v>23271947.19503244</v>
      </c>
      <c r="F3" s="388">
        <f t="shared" si="2"/>
        <v>32694105.505902506</v>
      </c>
      <c r="G3" s="388"/>
      <c r="H3" s="388">
        <f t="shared" si="2"/>
        <v>36837845.482901447</v>
      </c>
      <c r="I3" s="388">
        <f t="shared" si="2"/>
        <v>42436299.469558656</v>
      </c>
      <c r="J3" s="388">
        <f t="shared" si="2"/>
        <v>48661443.254214808</v>
      </c>
      <c r="K3" s="388">
        <f t="shared" si="2"/>
        <v>41119490.417113498</v>
      </c>
      <c r="L3" s="388">
        <f t="shared" si="2"/>
        <v>73860212.283347607</v>
      </c>
      <c r="M3" s="388">
        <f t="shared" si="2"/>
        <v>60691541.24306982</v>
      </c>
      <c r="N3" s="388">
        <f t="shared" si="2"/>
        <v>67953035.15548858</v>
      </c>
      <c r="O3" s="388">
        <f t="shared" si="2"/>
        <v>71735948.452628806</v>
      </c>
      <c r="P3" s="388">
        <f t="shared" si="2"/>
        <v>85066960.622846648</v>
      </c>
      <c r="Q3" s="388">
        <f t="shared" si="2"/>
        <v>88082354.485856265</v>
      </c>
      <c r="R3" s="388">
        <f t="shared" si="2"/>
        <v>92613887.5040088</v>
      </c>
      <c r="S3" s="388">
        <f t="shared" si="2"/>
        <v>93014373.812566668</v>
      </c>
    </row>
    <row r="4" spans="2:22" outlineLevel="1">
      <c r="B4" s="2" t="s">
        <v>410</v>
      </c>
      <c r="C4" s="119">
        <f>+'INDICE K'!F91</f>
        <v>8173222.3366906531</v>
      </c>
      <c r="D4" s="119">
        <f>+'INDICE K'!G91</f>
        <v>11595506.463205362</v>
      </c>
      <c r="E4" s="119">
        <f>+'INDICE K'!H91</f>
        <v>6738731.1580922762</v>
      </c>
      <c r="F4" s="119">
        <f>+'INDICE K'!I91</f>
        <v>15298035.625922967</v>
      </c>
      <c r="G4" s="119"/>
      <c r="H4" s="119">
        <f>+'INDICE K'!K91</f>
        <v>17160185.238730669</v>
      </c>
      <c r="I4" s="119">
        <f>+'INDICE K'!L91</f>
        <v>21818399.715870012</v>
      </c>
      <c r="J4" s="119">
        <f>+'INDICE K'!M91</f>
        <v>26388512.982386578</v>
      </c>
      <c r="K4" s="119">
        <f>+'INDICE K'!N91</f>
        <v>15900688.837814795</v>
      </c>
      <c r="L4" s="119">
        <f>+'INDICE K'!O91</f>
        <v>48782075.838545337</v>
      </c>
      <c r="M4" s="119">
        <f>+'INDICE K'!P91</f>
        <v>31648104.94461659</v>
      </c>
      <c r="N4" s="119">
        <f>+'INDICE K'!Q91</f>
        <v>30428054.89336437</v>
      </c>
      <c r="O4" s="119">
        <f>+'INDICE K'!R91</f>
        <v>36938641.677266859</v>
      </c>
      <c r="P4" s="119">
        <f>+'INDICE K'!S91</f>
        <v>44280607.044106834</v>
      </c>
      <c r="Q4" s="119">
        <f>+'INDICE K'!T91</f>
        <v>45596822.05980432</v>
      </c>
      <c r="R4" s="119">
        <f>+'INDICE K'!U91</f>
        <v>52105587.981379434</v>
      </c>
      <c r="S4" s="119">
        <f>+'INDICE K'!V91</f>
        <v>51785975.764356203</v>
      </c>
    </row>
    <row r="5" spans="2:22" outlineLevel="1">
      <c r="B5" s="2" t="s">
        <v>411</v>
      </c>
      <c r="C5" s="119">
        <f>'INDICE MO'!D30</f>
        <v>5310295.8149626488</v>
      </c>
      <c r="D5" s="119">
        <f>'INDICE MO'!E30</f>
        <v>5333962.604313869</v>
      </c>
      <c r="E5" s="119">
        <f>'INDICE MO'!F30</f>
        <v>5387502.0802897736</v>
      </c>
      <c r="F5" s="119">
        <f>'INDICE MO'!G30</f>
        <v>5749612.057886079</v>
      </c>
      <c r="G5" s="119"/>
      <c r="H5" s="119">
        <f>'INDICE MO'!I30</f>
        <v>6016362.445756413</v>
      </c>
      <c r="I5" s="119">
        <f>'INDICE MO'!J30</f>
        <v>7310655.1549970452</v>
      </c>
      <c r="J5" s="119">
        <f>'INDICE MO'!K30</f>
        <v>8470655.6052678898</v>
      </c>
      <c r="K5" s="119">
        <f>'INDICE MO'!L30</f>
        <v>8867061.0897470601</v>
      </c>
      <c r="L5" s="119">
        <f>'INDICE MO'!M30</f>
        <v>9528107.4319811016</v>
      </c>
      <c r="M5" s="119">
        <f>'INDICE MO'!N30</f>
        <v>10439325.636223901</v>
      </c>
      <c r="N5" s="119">
        <f>'INDICE MO'!O30</f>
        <v>16745139.601067482</v>
      </c>
      <c r="O5" s="119">
        <f>'INDICE MO'!P30</f>
        <v>11075511.609755198</v>
      </c>
      <c r="P5" s="119">
        <f>'INDICE MO'!Q30</f>
        <v>14977344.558941791</v>
      </c>
      <c r="Q5" s="119">
        <f>'INDICE MO'!R30</f>
        <v>14830957.632305207</v>
      </c>
      <c r="R5" s="119">
        <f>'INDICE MO'!S30</f>
        <v>15287421.212893093</v>
      </c>
      <c r="S5" s="119">
        <f>'INDICE MO'!T30</f>
        <v>16076750.985243106</v>
      </c>
      <c r="T5" s="119"/>
      <c r="V5" s="119"/>
    </row>
    <row r="6" spans="2:22" outlineLevel="1">
      <c r="B6" s="2" t="s">
        <v>412</v>
      </c>
      <c r="C6" s="119">
        <f>'INDICE MAT'!E76</f>
        <v>10190211.608437251</v>
      </c>
      <c r="D6" s="119">
        <f>'INDICE MAT'!F76</f>
        <v>10850639.754387049</v>
      </c>
      <c r="E6" s="119">
        <f>'INDICE MAT'!G76</f>
        <v>11145713.956650393</v>
      </c>
      <c r="F6" s="119">
        <f>'INDICE MAT'!H76</f>
        <v>11646457.822093459</v>
      </c>
      <c r="G6" s="119"/>
      <c r="H6" s="119">
        <f>'INDICE MAT'!J76</f>
        <v>13661297.798414366</v>
      </c>
      <c r="I6" s="119">
        <f>'INDICE MAT'!K76</f>
        <v>13307244.598691598</v>
      </c>
      <c r="J6" s="119">
        <f>'INDICE MAT'!L76</f>
        <v>13802274.666560339</v>
      </c>
      <c r="K6" s="119">
        <f>'INDICE MAT'!M76</f>
        <v>16351740.489551641</v>
      </c>
      <c r="L6" s="119">
        <f>'INDICE MAT'!N76</f>
        <v>15550029.012821166</v>
      </c>
      <c r="M6" s="119">
        <f>'INDICE MAT'!O76</f>
        <v>18604110.662229329</v>
      </c>
      <c r="N6" s="119">
        <f>'INDICE MAT'!P76</f>
        <v>20779840.66105672</v>
      </c>
      <c r="O6" s="119">
        <f>'INDICE MAT'!Q76</f>
        <v>23721795.165606752</v>
      </c>
      <c r="P6" s="119">
        <f>'INDICE MAT'!R76</f>
        <v>25809009.019798022</v>
      </c>
      <c r="Q6" s="119">
        <f>'INDICE MAT'!S76</f>
        <v>27654574.79374674</v>
      </c>
      <c r="R6" s="119">
        <f>'INDICE MAT'!T76</f>
        <v>25220878.309736267</v>
      </c>
      <c r="S6" s="119">
        <f>'INDICE MAT'!U76</f>
        <v>25151647.06296736</v>
      </c>
    </row>
    <row r="7" spans="2:22" outlineLevel="1">
      <c r="B7" s="381" t="s">
        <v>414</v>
      </c>
      <c r="C7" s="388">
        <f t="shared" ref="C7:S7" si="3">+SUM(C8:C10)</f>
        <v>20734598.661478251</v>
      </c>
      <c r="D7" s="388">
        <f t="shared" si="3"/>
        <v>26615716.439870957</v>
      </c>
      <c r="E7" s="388">
        <f t="shared" si="3"/>
        <v>24038420.788402386</v>
      </c>
      <c r="F7" s="388">
        <f t="shared" si="3"/>
        <v>24066841.434191097</v>
      </c>
      <c r="G7" s="388"/>
      <c r="H7" s="388">
        <f t="shared" si="3"/>
        <v>29608359.870758716</v>
      </c>
      <c r="I7" s="388">
        <f t="shared" si="3"/>
        <v>41687710.985427715</v>
      </c>
      <c r="J7" s="388">
        <f t="shared" si="3"/>
        <v>49910052.26409521</v>
      </c>
      <c r="K7" s="388">
        <f t="shared" si="3"/>
        <v>38824877.798395775</v>
      </c>
      <c r="L7" s="388">
        <f t="shared" si="3"/>
        <v>69827713.98921673</v>
      </c>
      <c r="M7" s="388">
        <f t="shared" si="3"/>
        <v>60846269.324764788</v>
      </c>
      <c r="N7" s="388">
        <f t="shared" si="3"/>
        <v>65169157.36578054</v>
      </c>
      <c r="O7" s="388">
        <f t="shared" si="3"/>
        <v>73912288.862644792</v>
      </c>
      <c r="P7" s="388">
        <f t="shared" si="3"/>
        <v>84220047.287635013</v>
      </c>
      <c r="Q7" s="388">
        <f t="shared" si="3"/>
        <v>86174195.251205117</v>
      </c>
      <c r="R7" s="388">
        <f t="shared" si="3"/>
        <v>92474276.317590296</v>
      </c>
      <c r="S7" s="388">
        <f t="shared" si="3"/>
        <v>93771325.065405846</v>
      </c>
    </row>
    <row r="8" spans="2:22" outlineLevel="1">
      <c r="B8" s="2" t="s">
        <v>410</v>
      </c>
      <c r="C8" s="119">
        <f>+'INDICE K'!F92</f>
        <v>7496371.7693639724</v>
      </c>
      <c r="D8" s="119">
        <f>+'INDICE K'!G92</f>
        <v>11435249.969870955</v>
      </c>
      <c r="E8" s="119">
        <f>+'INDICE K'!H92</f>
        <v>7210530.7399909068</v>
      </c>
      <c r="F8" s="119">
        <f>+'INDICE K'!I92</f>
        <v>6989935.5384384729</v>
      </c>
      <c r="G8" s="119"/>
      <c r="H8" s="119">
        <f>+'INDICE K'!K92</f>
        <v>11003867.298523949</v>
      </c>
      <c r="I8" s="119">
        <f>+'INDICE K'!L92</f>
        <v>21723345.497119941</v>
      </c>
      <c r="J8" s="119">
        <f>+'INDICE K'!M92</f>
        <v>28090559.741706707</v>
      </c>
      <c r="K8" s="119">
        <f>+'INDICE K'!N92</f>
        <v>14722173.44435495</v>
      </c>
      <c r="L8" s="119">
        <f>+'INDICE K'!O92</f>
        <v>44467917.960466109</v>
      </c>
      <c r="M8" s="119">
        <f>+'INDICE K'!P92</f>
        <v>33669460.038063578</v>
      </c>
      <c r="N8" s="119">
        <f>+'INDICE K'!Q92</f>
        <v>30635075.536516104</v>
      </c>
      <c r="O8" s="119">
        <f>+'INDICE K'!R92</f>
        <v>35753802.256013252</v>
      </c>
      <c r="P8" s="119">
        <f>+'INDICE K'!S92</f>
        <v>44147283.01763501</v>
      </c>
      <c r="Q8" s="119">
        <f>+'INDICE K'!T92</f>
        <v>45425230.291205108</v>
      </c>
      <c r="R8" s="119">
        <f>+'INDICE K'!U92</f>
        <v>51923303.347590305</v>
      </c>
      <c r="S8" s="119">
        <f>+'INDICE K'!V92</f>
        <v>53119958.095405854</v>
      </c>
    </row>
    <row r="9" spans="2:22" outlineLevel="1">
      <c r="B9" s="2" t="s">
        <v>411</v>
      </c>
      <c r="C9" s="119">
        <f>'INDICE MO'!D31</f>
        <v>4186797.8921142793</v>
      </c>
      <c r="D9" s="119">
        <f>'INDICE MO'!E31</f>
        <v>4971466.4700000016</v>
      </c>
      <c r="E9" s="119">
        <f>'INDICE MO'!F31</f>
        <v>5403890.0484114774</v>
      </c>
      <c r="F9" s="119">
        <f>'INDICE MO'!G31</f>
        <v>5404905.8957526246</v>
      </c>
      <c r="G9" s="119"/>
      <c r="H9" s="119">
        <f>'INDICE MO'!I31</f>
        <v>6023492.5899999915</v>
      </c>
      <c r="I9" s="119">
        <f>'INDICE MO'!J31</f>
        <v>5952094.4883077741</v>
      </c>
      <c r="J9" s="119">
        <f>'INDICE MO'!K31</f>
        <v>7707236.602388503</v>
      </c>
      <c r="K9" s="119">
        <f>'INDICE MO'!L31</f>
        <v>8752072.4540408291</v>
      </c>
      <c r="L9" s="119">
        <f>'INDICE MO'!M31</f>
        <v>9114354.9087506179</v>
      </c>
      <c r="M9" s="119">
        <f>'INDICE MO'!N31</f>
        <v>10208373.206701215</v>
      </c>
      <c r="N9" s="119">
        <f>'INDICE MO'!O31</f>
        <v>14748731.33926443</v>
      </c>
      <c r="O9" s="119">
        <f>'INDICE MO'!P31</f>
        <v>15638298.796631534</v>
      </c>
      <c r="P9" s="119">
        <f>'INDICE MO'!Q31</f>
        <v>16049679.040000008</v>
      </c>
      <c r="Q9" s="119">
        <f>'INDICE MO'!R31</f>
        <v>15226804.800000006</v>
      </c>
      <c r="R9" s="119">
        <f>'INDICE MO'!S31</f>
        <v>15082440.430000002</v>
      </c>
      <c r="S9" s="119">
        <f>'INDICE MO'!T31</f>
        <v>15944937.810000002</v>
      </c>
      <c r="T9" s="119"/>
      <c r="V9" s="119"/>
    </row>
    <row r="10" spans="2:22" outlineLevel="1">
      <c r="B10" s="2" t="s">
        <v>412</v>
      </c>
      <c r="C10" s="119">
        <f>'INDICE MAT'!E77</f>
        <v>9051429</v>
      </c>
      <c r="D10" s="119">
        <f>'INDICE MAT'!F77</f>
        <v>10209000</v>
      </c>
      <c r="E10" s="119">
        <f>'INDICE MAT'!G77</f>
        <v>11424000</v>
      </c>
      <c r="F10" s="119">
        <f>'INDICE MAT'!H77</f>
        <v>11672000</v>
      </c>
      <c r="G10" s="119"/>
      <c r="H10" s="119">
        <f>'INDICE MAT'!J77</f>
        <v>12580999.982234776</v>
      </c>
      <c r="I10" s="119">
        <f>'INDICE MAT'!K77</f>
        <v>14012271</v>
      </c>
      <c r="J10" s="119">
        <f>'INDICE MAT'!L77</f>
        <v>14112255.92</v>
      </c>
      <c r="K10" s="119">
        <f>'INDICE MAT'!M77</f>
        <v>15350631.9</v>
      </c>
      <c r="L10" s="119">
        <f>'INDICE MAT'!N77</f>
        <v>16245441.120000001</v>
      </c>
      <c r="M10" s="119">
        <f>'INDICE MAT'!O77</f>
        <v>16968436.079999998</v>
      </c>
      <c r="N10" s="119">
        <f>'INDICE MAT'!P77</f>
        <v>19785350.490000002</v>
      </c>
      <c r="O10" s="119">
        <f>'INDICE MAT'!Q77</f>
        <v>22520187.809999999</v>
      </c>
      <c r="P10" s="119">
        <f>'INDICE MAT'!R77</f>
        <v>24023085.23</v>
      </c>
      <c r="Q10" s="119">
        <f>'INDICE MAT'!S77</f>
        <v>25522160.16</v>
      </c>
      <c r="R10" s="119">
        <f>'INDICE MAT'!T77</f>
        <v>25468532.539999999</v>
      </c>
      <c r="S10" s="119">
        <f>'INDICE MAT'!U77</f>
        <v>24706429.16</v>
      </c>
    </row>
    <row r="11" spans="2:22" outlineLevel="1">
      <c r="B11" s="2" t="s">
        <v>415</v>
      </c>
      <c r="C11" s="380">
        <f t="shared" ref="C11:S11" si="4">+C3/C7</f>
        <v>1.141750083838023</v>
      </c>
      <c r="D11" s="380">
        <f t="shared" si="4"/>
        <v>1.0437483012965618</v>
      </c>
      <c r="E11" s="380">
        <f t="shared" si="4"/>
        <v>0.96811464446367712</v>
      </c>
      <c r="F11" s="380">
        <f t="shared" si="4"/>
        <v>1.3584709732393423</v>
      </c>
      <c r="G11" s="380"/>
      <c r="H11" s="380">
        <f t="shared" si="4"/>
        <v>1.2441704182095743</v>
      </c>
      <c r="I11" s="380">
        <f t="shared" si="4"/>
        <v>1.0179570541638185</v>
      </c>
      <c r="J11" s="598">
        <f t="shared" si="4"/>
        <v>0.97498281501943773</v>
      </c>
      <c r="K11" s="380">
        <f t="shared" si="4"/>
        <v>1.0591016056929492</v>
      </c>
      <c r="L11" s="380">
        <f t="shared" si="4"/>
        <v>1.0577492526069749</v>
      </c>
      <c r="M11" s="380">
        <f t="shared" si="4"/>
        <v>0.99745706543043566</v>
      </c>
      <c r="N11" s="380">
        <f t="shared" si="4"/>
        <v>1.0427177195814077</v>
      </c>
      <c r="O11" s="380">
        <f t="shared" si="4"/>
        <v>0.97055509383479655</v>
      </c>
      <c r="P11" s="380">
        <f t="shared" si="4"/>
        <v>1.0100559589134306</v>
      </c>
      <c r="Q11" s="380">
        <f t="shared" si="4"/>
        <v>1.0221430467564994</v>
      </c>
      <c r="R11" s="380">
        <f t="shared" si="4"/>
        <v>1.0015097299700841</v>
      </c>
      <c r="S11" s="380">
        <f t="shared" si="4"/>
        <v>0.99192768949024446</v>
      </c>
    </row>
    <row r="12" spans="2:22" outlineLevel="1"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</row>
    <row r="13" spans="2:22" outlineLevel="1">
      <c r="B13" s="381" t="s">
        <v>416</v>
      </c>
      <c r="C13" s="388">
        <f t="shared" ref="C13:S13" si="5">+SUM(C14:C16)</f>
        <v>26615716.439870957</v>
      </c>
      <c r="D13" s="388">
        <f t="shared" si="5"/>
        <v>24038420.788402386</v>
      </c>
      <c r="E13" s="388">
        <f t="shared" si="5"/>
        <v>24066841.434191097</v>
      </c>
      <c r="F13" s="388">
        <f t="shared" si="5"/>
        <v>28966616.854668465</v>
      </c>
      <c r="G13" s="388"/>
      <c r="H13" s="388">
        <f t="shared" si="5"/>
        <v>41687710.985427715</v>
      </c>
      <c r="I13" s="388">
        <f t="shared" si="5"/>
        <v>49910052.26409521</v>
      </c>
      <c r="J13" s="388">
        <f t="shared" si="5"/>
        <v>38824877.798395775</v>
      </c>
      <c r="K13" s="388">
        <f t="shared" si="5"/>
        <v>69827713.98921673</v>
      </c>
      <c r="L13" s="388">
        <f t="shared" si="5"/>
        <v>60846269.324764788</v>
      </c>
      <c r="M13" s="388">
        <f t="shared" si="5"/>
        <v>65169157.36578054</v>
      </c>
      <c r="N13" s="388">
        <f t="shared" si="5"/>
        <v>73912288.862644792</v>
      </c>
      <c r="O13" s="388">
        <f t="shared" si="5"/>
        <v>84220047.287635013</v>
      </c>
      <c r="P13" s="388">
        <f t="shared" si="5"/>
        <v>86174195.251205117</v>
      </c>
      <c r="Q13" s="388">
        <f t="shared" si="5"/>
        <v>92474276.317590296</v>
      </c>
      <c r="R13" s="388">
        <f t="shared" si="5"/>
        <v>93771325.065405846</v>
      </c>
      <c r="S13" s="388">
        <f t="shared" si="5"/>
        <v>91408515.475655019</v>
      </c>
    </row>
    <row r="14" spans="2:22" outlineLevel="1">
      <c r="B14" s="2" t="s">
        <v>410</v>
      </c>
      <c r="C14" s="119">
        <f>+'INDICE K'!F95</f>
        <v>11435249.969870955</v>
      </c>
      <c r="D14" s="119">
        <f>+'INDICE K'!G95</f>
        <v>7210530.7399909068</v>
      </c>
      <c r="E14" s="119">
        <f>+'INDICE K'!H95</f>
        <v>6989935.5384384729</v>
      </c>
      <c r="F14" s="119">
        <f>+'INDICE K'!I95</f>
        <v>10558544.710396176</v>
      </c>
      <c r="G14" s="119"/>
      <c r="H14" s="119">
        <f>+'INDICE K'!K95</f>
        <v>21723345.497119941</v>
      </c>
      <c r="I14" s="119">
        <f>+'INDICE K'!L95</f>
        <v>28090559.741706707</v>
      </c>
      <c r="J14" s="119">
        <f>+'INDICE K'!M95</f>
        <v>14722173.44435495</v>
      </c>
      <c r="K14" s="119">
        <f>+'INDICE K'!N95</f>
        <v>44467917.960466109</v>
      </c>
      <c r="L14" s="119">
        <f>+'INDICE K'!O95</f>
        <v>33669460.038063578</v>
      </c>
      <c r="M14" s="119">
        <f>+'INDICE K'!P95</f>
        <v>30635075.536516104</v>
      </c>
      <c r="N14" s="119">
        <f>+'INDICE K'!Q95</f>
        <v>35753802.256013252</v>
      </c>
      <c r="O14" s="119">
        <f>+'INDICE K'!R95</f>
        <v>44147283.01763501</v>
      </c>
      <c r="P14" s="119">
        <f>+'INDICE K'!S95</f>
        <v>45425230.291205108</v>
      </c>
      <c r="Q14" s="119">
        <f>+'INDICE K'!T95</f>
        <v>51923303.347590305</v>
      </c>
      <c r="R14" s="119">
        <f>+'INDICE K'!U95</f>
        <v>53119958.095405854</v>
      </c>
      <c r="S14" s="119">
        <f>+'INDICE K'!V95</f>
        <v>48180132.535655022</v>
      </c>
    </row>
    <row r="15" spans="2:22" outlineLevel="1">
      <c r="B15" s="2" t="s">
        <v>411</v>
      </c>
      <c r="C15" s="119">
        <f>'INDICE MO'!D36</f>
        <v>4971466.4700000016</v>
      </c>
      <c r="D15" s="119">
        <f>'INDICE MO'!E36</f>
        <v>5403890.0484114774</v>
      </c>
      <c r="E15" s="119">
        <f>'INDICE MO'!F36</f>
        <v>5404905.8957526246</v>
      </c>
      <c r="F15" s="119">
        <f>'INDICE MO'!G36</f>
        <v>6023492.5899999915</v>
      </c>
      <c r="G15" s="119"/>
      <c r="H15" s="119">
        <f>'INDICE MO'!I36</f>
        <v>5952094.4883077741</v>
      </c>
      <c r="I15" s="119">
        <f>'INDICE MO'!J36</f>
        <v>7707236.602388503</v>
      </c>
      <c r="J15" s="119">
        <f>'INDICE MO'!K36</f>
        <v>8752072.4540408291</v>
      </c>
      <c r="K15" s="119">
        <f>'INDICE MO'!L36</f>
        <v>9114354.9087506179</v>
      </c>
      <c r="L15" s="119">
        <f>'INDICE MO'!M36</f>
        <v>10208373.206701215</v>
      </c>
      <c r="M15" s="119">
        <f>'INDICE MO'!N36</f>
        <v>14748731.33926443</v>
      </c>
      <c r="N15" s="119">
        <f>'INDICE MO'!O36</f>
        <v>15638298.796631534</v>
      </c>
      <c r="O15" s="119">
        <f>'INDICE MO'!P36</f>
        <v>16049679.040000008</v>
      </c>
      <c r="P15" s="119">
        <f>'INDICE MO'!Q36</f>
        <v>15226804.800000006</v>
      </c>
      <c r="Q15" s="119">
        <f>'INDICE MO'!R36</f>
        <v>15082440.430000002</v>
      </c>
      <c r="R15" s="119">
        <f>'INDICE MO'!S36</f>
        <v>15944937.810000002</v>
      </c>
      <c r="S15" s="119">
        <f>'INDICE MO'!T36</f>
        <v>16352925.120000001</v>
      </c>
      <c r="T15" s="119"/>
      <c r="V15" s="119"/>
    </row>
    <row r="16" spans="2:22" outlineLevel="1">
      <c r="B16" s="2" t="s">
        <v>412</v>
      </c>
      <c r="C16" s="119">
        <f>'INDICE MAT'!E80</f>
        <v>10209000</v>
      </c>
      <c r="D16" s="119">
        <f>'INDICE MAT'!F80</f>
        <v>11424000</v>
      </c>
      <c r="E16" s="119">
        <f>'INDICE MAT'!G80</f>
        <v>11672000</v>
      </c>
      <c r="F16" s="119">
        <f>'INDICE MAT'!H80</f>
        <v>12384579.554272298</v>
      </c>
      <c r="G16" s="119"/>
      <c r="H16" s="119">
        <f>'INDICE MAT'!J80</f>
        <v>14012271</v>
      </c>
      <c r="I16" s="119">
        <f>'INDICE MAT'!K80</f>
        <v>14112255.92</v>
      </c>
      <c r="J16" s="119">
        <f>'INDICE MAT'!L80</f>
        <v>15350631.9</v>
      </c>
      <c r="K16" s="119">
        <f>'INDICE MAT'!M80</f>
        <v>16245441.120000001</v>
      </c>
      <c r="L16" s="119">
        <f>'INDICE MAT'!N80</f>
        <v>16968436.079999998</v>
      </c>
      <c r="M16" s="119">
        <f>'INDICE MAT'!O80</f>
        <v>19785350.490000002</v>
      </c>
      <c r="N16" s="119">
        <f>'INDICE MAT'!P80</f>
        <v>22520187.809999999</v>
      </c>
      <c r="O16" s="119">
        <f>'INDICE MAT'!Q80</f>
        <v>24023085.23</v>
      </c>
      <c r="P16" s="119">
        <f>'INDICE MAT'!R80</f>
        <v>25522160.16</v>
      </c>
      <c r="Q16" s="119">
        <f>'INDICE MAT'!S80</f>
        <v>25468532.539999999</v>
      </c>
      <c r="R16" s="119">
        <f>'INDICE MAT'!T80</f>
        <v>24706429.16</v>
      </c>
      <c r="S16" s="119">
        <f>'INDICE MAT'!U80</f>
        <v>26875457.82</v>
      </c>
    </row>
    <row r="17" spans="2:22" outlineLevel="1">
      <c r="B17" s="381" t="s">
        <v>417</v>
      </c>
      <c r="C17" s="388">
        <f t="shared" ref="C17:S17" si="6">+SUM(C18:C20)</f>
        <v>22997096.114012994</v>
      </c>
      <c r="D17" s="388">
        <f t="shared" si="6"/>
        <v>22880067.810175665</v>
      </c>
      <c r="E17" s="388">
        <f t="shared" si="6"/>
        <v>24884751.460760012</v>
      </c>
      <c r="F17" s="388">
        <f t="shared" si="6"/>
        <v>22851645.222417019</v>
      </c>
      <c r="G17" s="388"/>
      <c r="H17" s="388">
        <f t="shared" si="6"/>
        <v>32814832.165139392</v>
      </c>
      <c r="I17" s="388">
        <f t="shared" si="6"/>
        <v>49171259.308107749</v>
      </c>
      <c r="J17" s="388">
        <f t="shared" si="6"/>
        <v>39335496.168957725</v>
      </c>
      <c r="K17" s="388">
        <f t="shared" si="6"/>
        <v>65520279.441464096</v>
      </c>
      <c r="L17" s="388">
        <f t="shared" si="6"/>
        <v>58186082.062908292</v>
      </c>
      <c r="M17" s="388">
        <f t="shared" si="6"/>
        <v>65010235.398738146</v>
      </c>
      <c r="N17" s="388">
        <f t="shared" si="6"/>
        <v>71198080.82509324</v>
      </c>
      <c r="O17" s="388">
        <f t="shared" si="6"/>
        <v>88169719.762899563</v>
      </c>
      <c r="P17" s="388">
        <f t="shared" si="6"/>
        <v>85434446.495096684</v>
      </c>
      <c r="Q17" s="388">
        <f t="shared" si="6"/>
        <v>90672171.168816805</v>
      </c>
      <c r="R17" s="388">
        <f t="shared" si="6"/>
        <v>93928161.540750414</v>
      </c>
      <c r="S17" s="388">
        <f t="shared" si="6"/>
        <v>92276816.747834668</v>
      </c>
    </row>
    <row r="18" spans="2:22" outlineLevel="1">
      <c r="B18" s="2" t="s">
        <v>410</v>
      </c>
      <c r="C18" s="119">
        <f>+'INDICE K'!F96</f>
        <v>10022336.195152948</v>
      </c>
      <c r="D18" s="119">
        <f>+'INDICE K'!G96</f>
        <v>7096610.8334612511</v>
      </c>
      <c r="E18" s="119">
        <f>+'INDICE K'!H96</f>
        <v>7491390.8504428538</v>
      </c>
      <c r="F18" s="119">
        <f>+'INDICE K'!I96</f>
        <v>4758014.27287177</v>
      </c>
      <c r="G18" s="119"/>
      <c r="H18" s="119">
        <f>+'INDICE K'!K96</f>
        <v>13965977.983178975</v>
      </c>
      <c r="I18" s="119">
        <f>+'INDICE K'!L96</f>
        <v>27995369.679875657</v>
      </c>
      <c r="J18" s="119">
        <f>+'INDICE K'!M96</f>
        <v>15664306.939687314</v>
      </c>
      <c r="K18" s="119">
        <f>+'INDICE K'!N96</f>
        <v>41274103.333912745</v>
      </c>
      <c r="L18" s="119">
        <f>+'INDICE K'!O96</f>
        <v>30636152.495408788</v>
      </c>
      <c r="M18" s="119">
        <f>+'INDICE K'!P96</f>
        <v>32632797.375755668</v>
      </c>
      <c r="N18" s="119">
        <f>+'INDICE K'!Q96</f>
        <v>35984966.401135199</v>
      </c>
      <c r="O18" s="119">
        <f>+'INDICE K'!R96</f>
        <v>42675475.908895299</v>
      </c>
      <c r="P18" s="119">
        <f>+'INDICE K'!S96</f>
        <v>45255703.063997887</v>
      </c>
      <c r="Q18" s="119">
        <f>+'INDICE K'!T96</f>
        <v>51667106.669465564</v>
      </c>
      <c r="R18" s="119">
        <f>+'INDICE K'!U96</f>
        <v>53221503.859577842</v>
      </c>
      <c r="S18" s="119">
        <f>+'INDICE K'!V96</f>
        <v>49643640.634248644</v>
      </c>
    </row>
    <row r="19" spans="2:22" outlineLevel="1">
      <c r="B19" s="2" t="s">
        <v>411</v>
      </c>
      <c r="C19" s="119">
        <f>'INDICE MO'!D37</f>
        <v>3906642.1788427527</v>
      </c>
      <c r="D19" s="119">
        <f>'INDICE MO'!E37</f>
        <v>5035001.7114065737</v>
      </c>
      <c r="E19" s="119">
        <f>'INDICE MO'!F37</f>
        <v>5429934.2637762576</v>
      </c>
      <c r="F19" s="119">
        <f>'INDICE MO'!G37</f>
        <v>5681890.4216013802</v>
      </c>
      <c r="G19" s="119"/>
      <c r="H19" s="119">
        <f>'INDICE MO'!I37</f>
        <v>5944634.9925851449</v>
      </c>
      <c r="I19" s="119">
        <f>'INDICE MO'!J37</f>
        <v>6315957.2879309971</v>
      </c>
      <c r="J19" s="119">
        <f>'INDICE MO'!K37</f>
        <v>7975801.9731854191</v>
      </c>
      <c r="K19" s="119">
        <f>'INDICE MO'!L37</f>
        <v>8995335.5719160233</v>
      </c>
      <c r="L19" s="119">
        <f>'INDICE MO'!M37</f>
        <v>9822648.8653966784</v>
      </c>
      <c r="M19" s="119">
        <f>'INDICE MO'!N37</f>
        <v>14331616.795334948</v>
      </c>
      <c r="N19" s="119">
        <f>'INDICE MO'!O37</f>
        <v>13770707.035507118</v>
      </c>
      <c r="O19" s="119">
        <f>'INDICE MO'!P37</f>
        <v>22688027.571536027</v>
      </c>
      <c r="P19" s="119">
        <f>'INDICE MO'!Q37</f>
        <v>16422657.78259261</v>
      </c>
      <c r="Q19" s="119">
        <f>'INDICE MO'!R37</f>
        <v>15500383.216996733</v>
      </c>
      <c r="R19" s="119">
        <f>'INDICE MO'!S37</f>
        <v>15757625.879779892</v>
      </c>
      <c r="S19" s="119">
        <f>'INDICE MO'!T37</f>
        <v>16233449.960063078</v>
      </c>
      <c r="T19" s="119"/>
      <c r="V19" s="119"/>
    </row>
    <row r="20" spans="2:22" outlineLevel="1">
      <c r="B20" s="2" t="s">
        <v>412</v>
      </c>
      <c r="C20" s="119">
        <f>'INDICE MAT'!E81</f>
        <v>9068117.7400172949</v>
      </c>
      <c r="D20" s="119">
        <f>'INDICE MAT'!F81</f>
        <v>10748455.265307838</v>
      </c>
      <c r="E20" s="119">
        <f>'INDICE MAT'!G81</f>
        <v>11963426.346540904</v>
      </c>
      <c r="F20" s="119">
        <f>'INDICE MAT'!H81</f>
        <v>12411740.52794387</v>
      </c>
      <c r="G20" s="119"/>
      <c r="H20" s="119">
        <f>'INDICE MAT'!J81</f>
        <v>12904219.189375274</v>
      </c>
      <c r="I20" s="119">
        <f>'INDICE MAT'!K81</f>
        <v>14859932.340301096</v>
      </c>
      <c r="J20" s="119">
        <f>'INDICE MAT'!L81</f>
        <v>15695387.25608499</v>
      </c>
      <c r="K20" s="119">
        <f>'INDICE MAT'!M81</f>
        <v>15250840.535635332</v>
      </c>
      <c r="L20" s="119">
        <f>'INDICE MAT'!N81</f>
        <v>17727280.702102825</v>
      </c>
      <c r="M20" s="119">
        <f>'INDICE MAT'!O81</f>
        <v>18045821.227647528</v>
      </c>
      <c r="N20" s="119">
        <f>'INDICE MAT'!P81</f>
        <v>21442407.388450921</v>
      </c>
      <c r="O20" s="119">
        <f>'INDICE MAT'!Q81</f>
        <v>22806216.282468233</v>
      </c>
      <c r="P20" s="119">
        <f>'INDICE MAT'!R81</f>
        <v>23756085.648506183</v>
      </c>
      <c r="Q20" s="119">
        <f>'INDICE MAT'!S81</f>
        <v>23504681.282354496</v>
      </c>
      <c r="R20" s="119">
        <f>'INDICE MAT'!T81</f>
        <v>24949031.801392674</v>
      </c>
      <c r="S20" s="119">
        <f>'INDICE MAT'!U81</f>
        <v>26399726.153522942</v>
      </c>
      <c r="V20" s="119"/>
    </row>
    <row r="21" spans="2:22" outlineLevel="1">
      <c r="B21" s="2" t="s">
        <v>418</v>
      </c>
      <c r="C21" s="380">
        <f t="shared" ref="C21:S21" si="7">+C13/C17</f>
        <v>1.1573511850330096</v>
      </c>
      <c r="D21" s="380">
        <f t="shared" si="7"/>
        <v>1.0506271654366144</v>
      </c>
      <c r="E21" s="380">
        <f t="shared" si="7"/>
        <v>0.9671320797453552</v>
      </c>
      <c r="F21" s="380">
        <f t="shared" si="7"/>
        <v>1.2675943711156856</v>
      </c>
      <c r="G21" s="380"/>
      <c r="H21" s="380">
        <f t="shared" si="7"/>
        <v>1.2703923267270087</v>
      </c>
      <c r="I21" s="380">
        <f t="shared" si="7"/>
        <v>1.0150248939397337</v>
      </c>
      <c r="J21" s="380">
        <f t="shared" si="7"/>
        <v>0.98701889081635852</v>
      </c>
      <c r="K21" s="380">
        <f t="shared" si="7"/>
        <v>1.0657420051390487</v>
      </c>
      <c r="L21" s="380">
        <f t="shared" si="7"/>
        <v>1.045718618053376</v>
      </c>
      <c r="M21" s="380">
        <f t="shared" si="7"/>
        <v>1.0024445683986167</v>
      </c>
      <c r="N21" s="380">
        <f t="shared" si="7"/>
        <v>1.0381219269690616</v>
      </c>
      <c r="O21" s="380">
        <f t="shared" si="7"/>
        <v>0.95520375378434053</v>
      </c>
      <c r="P21" s="380">
        <f t="shared" si="7"/>
        <v>1.0086586709044916</v>
      </c>
      <c r="Q21" s="380">
        <f t="shared" si="7"/>
        <v>1.0198749530924793</v>
      </c>
      <c r="R21" s="380">
        <f t="shared" si="7"/>
        <v>0.99833025077067516</v>
      </c>
      <c r="S21" s="380">
        <f t="shared" si="7"/>
        <v>0.99059025546413826</v>
      </c>
    </row>
    <row r="22" spans="2:22" outlineLevel="1"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</row>
    <row r="23" spans="2:22"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</row>
    <row r="24" spans="2:22" ht="15.75" thickBot="1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2:22" ht="17.25" customHeight="1">
      <c r="B25" s="98" t="s">
        <v>394</v>
      </c>
      <c r="C25" s="99">
        <v>2002</v>
      </c>
      <c r="D25" s="99">
        <f t="shared" ref="D25:I25" si="8">C25+1</f>
        <v>2003</v>
      </c>
      <c r="E25" s="99">
        <f t="shared" si="8"/>
        <v>2004</v>
      </c>
      <c r="F25" s="100">
        <f>E25+1</f>
        <v>2005</v>
      </c>
      <c r="G25" s="99">
        <v>2005</v>
      </c>
      <c r="H25" s="99">
        <f t="shared" si="8"/>
        <v>2006</v>
      </c>
      <c r="I25" s="101">
        <f t="shared" si="8"/>
        <v>2007</v>
      </c>
      <c r="J25" s="99">
        <f>I25+1</f>
        <v>2008</v>
      </c>
      <c r="K25" s="101">
        <f>J25+1</f>
        <v>2009</v>
      </c>
      <c r="L25" s="99">
        <f>K25+1</f>
        <v>2010</v>
      </c>
      <c r="M25" s="101">
        <f>L25+1</f>
        <v>2011</v>
      </c>
      <c r="N25" s="99">
        <f>M25+1</f>
        <v>2012</v>
      </c>
      <c r="O25" s="101">
        <f t="shared" ref="O25:S25" si="9">N25+1</f>
        <v>2013</v>
      </c>
      <c r="P25" s="99">
        <f t="shared" si="9"/>
        <v>2014</v>
      </c>
      <c r="Q25" s="101">
        <f t="shared" si="9"/>
        <v>2015</v>
      </c>
      <c r="R25" s="99">
        <f t="shared" si="9"/>
        <v>2016</v>
      </c>
      <c r="S25" s="101">
        <f t="shared" si="9"/>
        <v>2017</v>
      </c>
    </row>
    <row r="26" spans="2:22" ht="18.75" customHeight="1">
      <c r="B26" s="102" t="s">
        <v>66</v>
      </c>
      <c r="C26" s="654">
        <f>+C11</f>
        <v>1.141750083838023</v>
      </c>
      <c r="D26" s="654">
        <f t="shared" ref="D26:M26" si="10">+D11</f>
        <v>1.0437483012965618</v>
      </c>
      <c r="E26" s="654">
        <f t="shared" si="10"/>
        <v>0.96811464446367712</v>
      </c>
      <c r="F26" s="654">
        <f t="shared" si="10"/>
        <v>1.3584709732393423</v>
      </c>
      <c r="G26" s="654"/>
      <c r="H26" s="654">
        <f t="shared" si="10"/>
        <v>1.2441704182095743</v>
      </c>
      <c r="I26" s="654">
        <f t="shared" si="10"/>
        <v>1.0179570541638185</v>
      </c>
      <c r="J26" s="654">
        <f t="shared" si="10"/>
        <v>0.97498281501943773</v>
      </c>
      <c r="K26" s="654">
        <f t="shared" si="10"/>
        <v>1.0591016056929492</v>
      </c>
      <c r="L26" s="654">
        <f t="shared" si="10"/>
        <v>1.0577492526069749</v>
      </c>
      <c r="M26" s="654">
        <f t="shared" si="10"/>
        <v>0.99745706543043566</v>
      </c>
      <c r="N26" s="655">
        <f>+N11</f>
        <v>1.0427177195814077</v>
      </c>
      <c r="O26" s="655">
        <f t="shared" ref="O26:R26" si="11">+O11</f>
        <v>0.97055509383479655</v>
      </c>
      <c r="P26" s="655">
        <f t="shared" si="11"/>
        <v>1.0100559589134306</v>
      </c>
      <c r="Q26" s="655">
        <f t="shared" si="11"/>
        <v>1.0221430467564994</v>
      </c>
      <c r="R26" s="655">
        <f t="shared" si="11"/>
        <v>1.0015097299700841</v>
      </c>
      <c r="S26" s="655">
        <f>+S11</f>
        <v>0.99192768949024446</v>
      </c>
      <c r="T26" s="380"/>
      <c r="V26" s="380"/>
    </row>
    <row r="27" spans="2:22" ht="18.75" customHeight="1">
      <c r="B27" s="102" t="s">
        <v>67</v>
      </c>
      <c r="C27" s="654">
        <f>+C21</f>
        <v>1.1573511850330096</v>
      </c>
      <c r="D27" s="654">
        <f>+D21</f>
        <v>1.0506271654366144</v>
      </c>
      <c r="E27" s="654">
        <f>+E21</f>
        <v>0.9671320797453552</v>
      </c>
      <c r="F27" s="654">
        <f>+F21</f>
        <v>1.2675943711156856</v>
      </c>
      <c r="G27" s="654"/>
      <c r="H27" s="654">
        <f t="shared" ref="H27:M27" si="12">+H21</f>
        <v>1.2703923267270087</v>
      </c>
      <c r="I27" s="654">
        <f t="shared" si="12"/>
        <v>1.0150248939397337</v>
      </c>
      <c r="J27" s="654">
        <f t="shared" si="12"/>
        <v>0.98701889081635852</v>
      </c>
      <c r="K27" s="654">
        <f t="shared" si="12"/>
        <v>1.0657420051390487</v>
      </c>
      <c r="L27" s="654">
        <f t="shared" si="12"/>
        <v>1.045718618053376</v>
      </c>
      <c r="M27" s="654">
        <f t="shared" si="12"/>
        <v>1.0024445683986167</v>
      </c>
      <c r="N27" s="655">
        <f>+N21</f>
        <v>1.0381219269690616</v>
      </c>
      <c r="O27" s="655">
        <f t="shared" ref="O27:S27" si="13">+O21</f>
        <v>0.95520375378434053</v>
      </c>
      <c r="P27" s="655">
        <f t="shared" si="13"/>
        <v>1.0086586709044916</v>
      </c>
      <c r="Q27" s="655">
        <f t="shared" si="13"/>
        <v>1.0198749530924793</v>
      </c>
      <c r="R27" s="655">
        <f t="shared" si="13"/>
        <v>0.99833025077067516</v>
      </c>
      <c r="S27" s="655">
        <f t="shared" si="13"/>
        <v>0.99059025546413826</v>
      </c>
      <c r="T27" s="380"/>
      <c r="V27" s="380"/>
    </row>
    <row r="28" spans="2:22" ht="18.75" customHeight="1">
      <c r="B28" s="102" t="s">
        <v>293</v>
      </c>
      <c r="C28" s="656">
        <f>(C26*C27)^0.5</f>
        <v>1.1495241678805515</v>
      </c>
      <c r="D28" s="656">
        <f t="shared" ref="D28:M28" si="14">(D26*D27)^0.5</f>
        <v>1.0471820850360687</v>
      </c>
      <c r="E28" s="656">
        <f t="shared" si="14"/>
        <v>0.96762323738740952</v>
      </c>
      <c r="F28" s="656">
        <f t="shared" si="14"/>
        <v>1.3122462265147641</v>
      </c>
      <c r="G28" s="656"/>
      <c r="H28" s="656">
        <f t="shared" si="14"/>
        <v>1.2572130099685481</v>
      </c>
      <c r="I28" s="656">
        <f t="shared" si="14"/>
        <v>1.0164899167910293</v>
      </c>
      <c r="J28" s="656">
        <f t="shared" si="14"/>
        <v>0.98098239364705031</v>
      </c>
      <c r="K28" s="656">
        <f t="shared" si="14"/>
        <v>1.0624166173856608</v>
      </c>
      <c r="L28" s="656">
        <f t="shared" si="14"/>
        <v>1.051716733100295</v>
      </c>
      <c r="M28" s="656">
        <f t="shared" si="14"/>
        <v>0.99994770735852179</v>
      </c>
      <c r="N28" s="657">
        <f>(N26*N27)^0.5</f>
        <v>1.040417285677548</v>
      </c>
      <c r="O28" s="657">
        <f t="shared" ref="O28:S28" si="15">(O26*O27)^0.5</f>
        <v>0.96284882971602059</v>
      </c>
      <c r="P28" s="657">
        <f t="shared" si="15"/>
        <v>1.0093570731197075</v>
      </c>
      <c r="Q28" s="657">
        <f t="shared" si="15"/>
        <v>1.0210083701246473</v>
      </c>
      <c r="R28" s="657">
        <f t="shared" si="15"/>
        <v>0.9999187266324725</v>
      </c>
      <c r="S28" s="657">
        <f t="shared" si="15"/>
        <v>0.99125874691429261</v>
      </c>
    </row>
    <row r="29" spans="2:22" ht="18.75" customHeight="1" thickBot="1">
      <c r="B29" s="103" t="s">
        <v>294</v>
      </c>
      <c r="C29" s="370">
        <f>LN(C28)</f>
        <v>0.13934808968955845</v>
      </c>
      <c r="D29" s="370">
        <f t="shared" ref="D29:M29" si="16">LN(D28)</f>
        <v>4.6102827976833204E-2</v>
      </c>
      <c r="E29" s="370">
        <f t="shared" si="16"/>
        <v>-3.2912485045370511E-2</v>
      </c>
      <c r="F29" s="370">
        <f t="shared" si="16"/>
        <v>0.27174034556203708</v>
      </c>
      <c r="G29" s="370"/>
      <c r="H29" s="370">
        <f t="shared" si="16"/>
        <v>0.22889737425596893</v>
      </c>
      <c r="I29" s="370">
        <f t="shared" si="16"/>
        <v>1.6355434500448806E-2</v>
      </c>
      <c r="J29" s="370">
        <f t="shared" si="16"/>
        <v>-1.920076693047967E-2</v>
      </c>
      <c r="K29" s="370">
        <f t="shared" si="16"/>
        <v>6.0546140982222586E-2</v>
      </c>
      <c r="L29" s="370">
        <f t="shared" si="16"/>
        <v>5.0423812943370463E-2</v>
      </c>
      <c r="M29" s="370">
        <f t="shared" si="16"/>
        <v>-5.229400878605657E-5</v>
      </c>
      <c r="N29" s="371">
        <f>LN(N28)</f>
        <v>3.9621868907962592E-2</v>
      </c>
      <c r="O29" s="371">
        <f t="shared" ref="O29:S29" si="17">LN(O28)</f>
        <v>-3.7858857994460704E-2</v>
      </c>
      <c r="P29" s="371">
        <f t="shared" si="17"/>
        <v>9.313566894406539E-3</v>
      </c>
      <c r="Q29" s="371">
        <f t="shared" si="17"/>
        <v>2.0790737116258645E-2</v>
      </c>
      <c r="R29" s="371">
        <f t="shared" si="17"/>
        <v>-8.1276670386593418E-5</v>
      </c>
      <c r="S29" s="371">
        <f t="shared" si="17"/>
        <v>-8.7796819466219068E-3</v>
      </c>
    </row>
    <row r="30" spans="2:22" ht="18.75" customHeight="1" thickBot="1">
      <c r="B30" s="658" t="s">
        <v>590</v>
      </c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369">
        <f>AVERAGE($C$29:S29)</f>
        <v>4.9015927264560125E-2</v>
      </c>
    </row>
    <row r="31" spans="2:22" ht="18.75" customHeight="1" thickBot="1">
      <c r="B31" s="104"/>
      <c r="C31" s="105"/>
      <c r="D31" s="105"/>
      <c r="E31" s="105"/>
      <c r="F31" s="105"/>
      <c r="G31" s="105"/>
      <c r="H31" s="1"/>
      <c r="I31" s="1"/>
      <c r="J31" s="1"/>
      <c r="K31" s="1"/>
    </row>
    <row r="32" spans="2:22" ht="16.5" customHeight="1">
      <c r="B32" s="98" t="s">
        <v>85</v>
      </c>
      <c r="C32" s="99">
        <v>2002</v>
      </c>
      <c r="D32" s="99">
        <f t="shared" ref="D32:I32" si="18">+C32+1</f>
        <v>2003</v>
      </c>
      <c r="E32" s="99">
        <f t="shared" si="18"/>
        <v>2004</v>
      </c>
      <c r="F32" s="100">
        <f>+E32+1</f>
        <v>2005</v>
      </c>
      <c r="G32" s="99">
        <f>+E32+1</f>
        <v>2005</v>
      </c>
      <c r="H32" s="99">
        <f t="shared" si="18"/>
        <v>2006</v>
      </c>
      <c r="I32" s="101">
        <f t="shared" si="18"/>
        <v>2007</v>
      </c>
      <c r="J32" s="99">
        <f>+I32+1</f>
        <v>2008</v>
      </c>
      <c r="K32" s="101">
        <f>+J32+1</f>
        <v>2009</v>
      </c>
      <c r="L32" s="99">
        <f>+K32+1</f>
        <v>2010</v>
      </c>
      <c r="M32" s="101">
        <f>+L32+1</f>
        <v>2011</v>
      </c>
      <c r="N32" s="99">
        <f>+M32+1</f>
        <v>2012</v>
      </c>
      <c r="O32" s="101">
        <f t="shared" ref="O32:S32" si="19">+N32+1</f>
        <v>2013</v>
      </c>
      <c r="P32" s="99">
        <f t="shared" si="19"/>
        <v>2014</v>
      </c>
      <c r="Q32" s="101">
        <f t="shared" si="19"/>
        <v>2015</v>
      </c>
      <c r="R32" s="99">
        <f t="shared" si="19"/>
        <v>2016</v>
      </c>
      <c r="S32" s="101">
        <f t="shared" si="19"/>
        <v>2017</v>
      </c>
    </row>
    <row r="33" spans="2:22" ht="18.75" customHeight="1">
      <c r="B33" s="106" t="s">
        <v>72</v>
      </c>
      <c r="C33" s="654">
        <f>'INDICE OUTPUT'!D289</f>
        <v>1.0314017551079231</v>
      </c>
      <c r="D33" s="654">
        <f>'INDICE OUTPUT'!E289</f>
        <v>1.0302851282519596</v>
      </c>
      <c r="E33" s="654">
        <f>'INDICE OUTPUT'!F289</f>
        <v>1.0923451796827861</v>
      </c>
      <c r="F33" s="654">
        <f>'INDICE OUTPUT'!G289</f>
        <v>1.0968202411948711</v>
      </c>
      <c r="G33" s="654"/>
      <c r="H33" s="654">
        <f>'INDICE OUTPUT'!I289</f>
        <v>1.0592335338926757</v>
      </c>
      <c r="I33" s="654">
        <f>'INDICE OUTPUT'!J289</f>
        <v>1.2010569242422613</v>
      </c>
      <c r="J33" s="654">
        <f>'INDICE OUTPUT'!K289</f>
        <v>1.0916468753229018</v>
      </c>
      <c r="K33" s="654">
        <f>'INDICE OUTPUT'!L289</f>
        <v>1.0724969299079889</v>
      </c>
      <c r="L33" s="654">
        <f>'INDICE OUTPUT'!M289</f>
        <v>1.1136121034905859</v>
      </c>
      <c r="M33" s="654">
        <f>'INDICE OUTPUT'!N289</f>
        <v>1.1167857471138953</v>
      </c>
      <c r="N33" s="654">
        <f>'INDICE OUTPUT'!O289</f>
        <v>1.1051043427033724</v>
      </c>
      <c r="O33" s="654">
        <f>'INDICE OUTPUT'!P289</f>
        <v>1.1001745430535728</v>
      </c>
      <c r="P33" s="654">
        <f>'INDICE OUTPUT'!Q289</f>
        <v>1.0361194108478071</v>
      </c>
      <c r="Q33" s="654">
        <f>'INDICE OUTPUT'!R289</f>
        <v>1.0750099899500267</v>
      </c>
      <c r="R33" s="654">
        <f>'INDICE OUTPUT'!S289</f>
        <v>1.0788712880889759</v>
      </c>
      <c r="S33" s="654">
        <f>'INDICE OUTPUT'!T289</f>
        <v>1.0678775646335386</v>
      </c>
    </row>
    <row r="34" spans="2:22" ht="18.75" customHeight="1">
      <c r="B34" s="106" t="s">
        <v>73</v>
      </c>
      <c r="C34" s="654">
        <f>(C26*C27)^0.5</f>
        <v>1.1495241678805515</v>
      </c>
      <c r="D34" s="654">
        <f>(D26*D27)^0.5</f>
        <v>1.0471820850360687</v>
      </c>
      <c r="E34" s="654">
        <f>(E26*E27)^0.5</f>
        <v>0.96762323738740952</v>
      </c>
      <c r="F34" s="654">
        <f>(F26*F27)^0.5</f>
        <v>1.3122462265147641</v>
      </c>
      <c r="G34" s="654"/>
      <c r="H34" s="654">
        <f t="shared" ref="H34:S34" si="20">(H26*H27)^0.5</f>
        <v>1.2572130099685481</v>
      </c>
      <c r="I34" s="654">
        <f t="shared" si="20"/>
        <v>1.0164899167910293</v>
      </c>
      <c r="J34" s="654">
        <f t="shared" si="20"/>
        <v>0.98098239364705031</v>
      </c>
      <c r="K34" s="654">
        <f t="shared" si="20"/>
        <v>1.0624166173856608</v>
      </c>
      <c r="L34" s="654">
        <f t="shared" si="20"/>
        <v>1.051716733100295</v>
      </c>
      <c r="M34" s="654">
        <f t="shared" si="20"/>
        <v>0.99994770735852179</v>
      </c>
      <c r="N34" s="655">
        <f t="shared" si="20"/>
        <v>1.040417285677548</v>
      </c>
      <c r="O34" s="655">
        <f t="shared" si="20"/>
        <v>0.96284882971602059</v>
      </c>
      <c r="P34" s="655">
        <f t="shared" si="20"/>
        <v>1.0093570731197075</v>
      </c>
      <c r="Q34" s="655">
        <f t="shared" si="20"/>
        <v>1.0210083701246473</v>
      </c>
      <c r="R34" s="655">
        <f t="shared" si="20"/>
        <v>0.9999187266324725</v>
      </c>
      <c r="S34" s="655">
        <f t="shared" si="20"/>
        <v>0.99125874691429261</v>
      </c>
    </row>
    <row r="35" spans="2:22" ht="18.75" customHeight="1">
      <c r="B35" s="106" t="s">
        <v>71</v>
      </c>
      <c r="C35" s="654">
        <f>C33/C34</f>
        <v>0.8972423407239728</v>
      </c>
      <c r="D35" s="654">
        <f t="shared" ref="D35:I35" si="21">D33/D34</f>
        <v>0.98386435651873561</v>
      </c>
      <c r="E35" s="654">
        <f t="shared" si="21"/>
        <v>1.1288951499677982</v>
      </c>
      <c r="F35" s="654">
        <f t="shared" si="21"/>
        <v>0.8358341742829396</v>
      </c>
      <c r="G35" s="654"/>
      <c r="H35" s="654">
        <f t="shared" si="21"/>
        <v>0.84252511348031212</v>
      </c>
      <c r="I35" s="654">
        <f t="shared" si="21"/>
        <v>1.181572885674945</v>
      </c>
      <c r="J35" s="654">
        <f t="shared" ref="J35:O35" si="22">J33/J34</f>
        <v>1.1128098550927386</v>
      </c>
      <c r="K35" s="654">
        <f t="shared" si="22"/>
        <v>1.0094880975667844</v>
      </c>
      <c r="L35" s="654">
        <f t="shared" si="22"/>
        <v>1.0588517501360211</v>
      </c>
      <c r="M35" s="654">
        <f t="shared" si="22"/>
        <v>1.1168441498446102</v>
      </c>
      <c r="N35" s="655">
        <f t="shared" si="22"/>
        <v>1.0621741467739056</v>
      </c>
      <c r="O35" s="655">
        <f t="shared" si="22"/>
        <v>1.1426243758099126</v>
      </c>
      <c r="P35" s="655">
        <f t="shared" ref="P35:S35" si="23">P33/P34</f>
        <v>1.0265142420267419</v>
      </c>
      <c r="Q35" s="655">
        <f t="shared" si="23"/>
        <v>1.0528904771062619</v>
      </c>
      <c r="R35" s="655">
        <f t="shared" si="23"/>
        <v>1.0789589787186005</v>
      </c>
      <c r="S35" s="655">
        <f t="shared" si="23"/>
        <v>1.0772944682281533</v>
      </c>
    </row>
    <row r="36" spans="2:22" ht="18.75" customHeight="1" thickBot="1">
      <c r="B36" s="107" t="s">
        <v>295</v>
      </c>
      <c r="C36" s="108">
        <f>LN(C35)</f>
        <v>-0.1084292853809667</v>
      </c>
      <c r="D36" s="108">
        <f t="shared" ref="D36:I36" si="24">LN(D35)</f>
        <v>-1.6267240498265018E-2</v>
      </c>
      <c r="E36" s="108">
        <f t="shared" si="24"/>
        <v>0.12123941103005344</v>
      </c>
      <c r="F36" s="108">
        <f>LN(F35)</f>
        <v>-0.17932504169349825</v>
      </c>
      <c r="G36" s="108"/>
      <c r="H36" s="108">
        <f t="shared" si="24"/>
        <v>-0.17135180891464144</v>
      </c>
      <c r="I36" s="108">
        <f t="shared" si="24"/>
        <v>0.16684650484491986</v>
      </c>
      <c r="J36" s="370">
        <f>LN(J35)</f>
        <v>0.1068882177100399</v>
      </c>
      <c r="K36" s="370">
        <f>LN(K35)</f>
        <v>9.4433682770616728E-3</v>
      </c>
      <c r="L36" s="370">
        <f>LN(L35)</f>
        <v>5.7185066391008336E-2</v>
      </c>
      <c r="M36" s="370">
        <f>LN(M35)</f>
        <v>0.11050698469856891</v>
      </c>
      <c r="N36" s="109">
        <f>LN(N35)</f>
        <v>6.0317889389588167E-2</v>
      </c>
      <c r="O36" s="109">
        <f t="shared" ref="O36:S36" si="25">LN(O35)</f>
        <v>0.1333277007144075</v>
      </c>
      <c r="P36" s="109">
        <f t="shared" si="25"/>
        <v>2.6168831736903177E-2</v>
      </c>
      <c r="Q36" s="109">
        <f t="shared" si="25"/>
        <v>5.1539217396957111E-2</v>
      </c>
      <c r="R36" s="109">
        <f t="shared" si="25"/>
        <v>7.5996667683606356E-2</v>
      </c>
      <c r="S36" s="109">
        <f t="shared" si="25"/>
        <v>7.4452776056737058E-2</v>
      </c>
    </row>
    <row r="37" spans="2:22" ht="18.75" customHeight="1" thickBot="1">
      <c r="B37" s="658" t="s">
        <v>590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110">
        <f>AVERAGE($C$36:S36)</f>
        <v>3.2408703715155002E-2</v>
      </c>
    </row>
    <row r="38" spans="2:22" s="1" customFormat="1" ht="18.75" customHeight="1"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</row>
    <row r="39" spans="2:22" s="1" customFormat="1" ht="18.75" customHeight="1" thickBot="1"/>
    <row r="40" spans="2:22" s="1" customFormat="1" ht="18.75" customHeight="1" outlineLevel="1">
      <c r="B40" s="2"/>
      <c r="C40" s="6">
        <f>+C32</f>
        <v>2002</v>
      </c>
      <c r="D40" s="6">
        <f>C40+1</f>
        <v>2003</v>
      </c>
      <c r="E40" s="6">
        <f>D40+1</f>
        <v>2004</v>
      </c>
      <c r="F40" s="7">
        <f>E40+1</f>
        <v>2005</v>
      </c>
      <c r="G40" s="6">
        <v>2005</v>
      </c>
      <c r="H40" s="6">
        <f t="shared" ref="H40:N40" si="26">G40+1</f>
        <v>2006</v>
      </c>
      <c r="I40" s="194">
        <f t="shared" si="26"/>
        <v>2007</v>
      </c>
      <c r="J40" s="6">
        <f t="shared" si="26"/>
        <v>2008</v>
      </c>
      <c r="K40" s="194">
        <f t="shared" si="26"/>
        <v>2009</v>
      </c>
      <c r="L40" s="6">
        <f t="shared" si="26"/>
        <v>2010</v>
      </c>
      <c r="M40" s="194">
        <f t="shared" si="26"/>
        <v>2011</v>
      </c>
      <c r="N40" s="6">
        <f t="shared" si="26"/>
        <v>2012</v>
      </c>
      <c r="O40" s="194">
        <f t="shared" ref="O40:S40" si="27">N40+1</f>
        <v>2013</v>
      </c>
      <c r="P40" s="6">
        <f t="shared" si="27"/>
        <v>2014</v>
      </c>
      <c r="Q40" s="194">
        <f t="shared" si="27"/>
        <v>2015</v>
      </c>
      <c r="R40" s="6">
        <f t="shared" si="27"/>
        <v>2016</v>
      </c>
      <c r="S40" s="194">
        <f t="shared" si="27"/>
        <v>2017</v>
      </c>
    </row>
    <row r="41" spans="2:22" s="1" customFormat="1" ht="18.75" customHeight="1" outlineLevel="1">
      <c r="B41" s="381" t="s">
        <v>413</v>
      </c>
      <c r="C41" s="382">
        <f>+SUM(C42:C44)</f>
        <v>22997096.114012994</v>
      </c>
      <c r="D41" s="382">
        <f t="shared" ref="D41:S41" si="28">+SUM(D42:D44)</f>
        <v>22880067.810175665</v>
      </c>
      <c r="E41" s="382">
        <f t="shared" si="28"/>
        <v>24884751.460760012</v>
      </c>
      <c r="F41" s="382">
        <f t="shared" si="28"/>
        <v>22851645.222417019</v>
      </c>
      <c r="G41" s="382"/>
      <c r="H41" s="382">
        <f t="shared" si="28"/>
        <v>32814832.165139392</v>
      </c>
      <c r="I41" s="382">
        <f t="shared" si="28"/>
        <v>49171259.308107749</v>
      </c>
      <c r="J41" s="382">
        <f t="shared" si="28"/>
        <v>39335496.168957725</v>
      </c>
      <c r="K41" s="382">
        <f t="shared" si="28"/>
        <v>65520279.441464096</v>
      </c>
      <c r="L41" s="382">
        <f t="shared" si="28"/>
        <v>58186082.062908292</v>
      </c>
      <c r="M41" s="382">
        <f t="shared" si="28"/>
        <v>65010235.398738146</v>
      </c>
      <c r="N41" s="382">
        <f t="shared" si="28"/>
        <v>71198080.82509324</v>
      </c>
      <c r="O41" s="382">
        <f t="shared" si="28"/>
        <v>88169719.762899563</v>
      </c>
      <c r="P41" s="382">
        <f t="shared" si="28"/>
        <v>85434446.495096684</v>
      </c>
      <c r="Q41" s="382">
        <f t="shared" si="28"/>
        <v>90672171.168816805</v>
      </c>
      <c r="R41" s="382">
        <f t="shared" si="28"/>
        <v>93928161.540750414</v>
      </c>
      <c r="S41" s="382">
        <f t="shared" si="28"/>
        <v>92276816.747834668</v>
      </c>
    </row>
    <row r="42" spans="2:22" s="1" customFormat="1" ht="18.75" customHeight="1" outlineLevel="1">
      <c r="B42" s="2" t="s">
        <v>410</v>
      </c>
      <c r="C42" s="3">
        <f>+'INDICE K'!F108</f>
        <v>10022336.195152948</v>
      </c>
      <c r="D42" s="3">
        <f>+'INDICE K'!G108</f>
        <v>7096610.8334612511</v>
      </c>
      <c r="E42" s="3">
        <f>+'INDICE K'!H108</f>
        <v>7491390.8504428538</v>
      </c>
      <c r="F42" s="3">
        <f>+'INDICE K'!I108</f>
        <v>4758014.27287177</v>
      </c>
      <c r="G42" s="3"/>
      <c r="H42" s="3">
        <f>+'INDICE K'!K108</f>
        <v>13965977.983178975</v>
      </c>
      <c r="I42" s="3">
        <f>+'INDICE K'!L108</f>
        <v>27995369.679875657</v>
      </c>
      <c r="J42" s="3">
        <f>+'INDICE K'!M108</f>
        <v>15664306.939687314</v>
      </c>
      <c r="K42" s="3">
        <f>+'INDICE K'!N108</f>
        <v>41274103.333912745</v>
      </c>
      <c r="L42" s="3">
        <f>+'INDICE K'!O108</f>
        <v>30636152.495408788</v>
      </c>
      <c r="M42" s="3">
        <f>+'INDICE K'!P108</f>
        <v>32632797.375755668</v>
      </c>
      <c r="N42" s="3">
        <f>+'INDICE K'!Q108</f>
        <v>35984966.401135199</v>
      </c>
      <c r="O42" s="3">
        <f>+'INDICE K'!R108</f>
        <v>42675475.908895299</v>
      </c>
      <c r="P42" s="3">
        <f>+'INDICE K'!S108</f>
        <v>45255703.063997887</v>
      </c>
      <c r="Q42" s="3">
        <f>+'INDICE K'!T108</f>
        <v>51667106.669465564</v>
      </c>
      <c r="R42" s="3">
        <f>+'INDICE K'!U108</f>
        <v>53221503.859577842</v>
      </c>
      <c r="S42" s="3">
        <f>+'INDICE K'!V108</f>
        <v>49643640.634248644</v>
      </c>
    </row>
    <row r="43" spans="2:22" s="1" customFormat="1" ht="18.75" customHeight="1" outlineLevel="1">
      <c r="B43" s="2" t="s">
        <v>411</v>
      </c>
      <c r="C43" s="368">
        <f>'INDICE MO'!D54</f>
        <v>3906642.1788427527</v>
      </c>
      <c r="D43" s="368">
        <f>'INDICE MO'!E54</f>
        <v>5035001.7114065737</v>
      </c>
      <c r="E43" s="368">
        <f>'INDICE MO'!F54</f>
        <v>5429934.2637762576</v>
      </c>
      <c r="F43" s="368">
        <f>'INDICE MO'!G54</f>
        <v>5681890.4216013802</v>
      </c>
      <c r="G43" s="368"/>
      <c r="H43" s="368">
        <f>'INDICE MO'!I54</f>
        <v>5944634.9925851449</v>
      </c>
      <c r="I43" s="368">
        <f>'INDICE MO'!J54</f>
        <v>6315957.2879309971</v>
      </c>
      <c r="J43" s="368">
        <f>'INDICE MO'!K54</f>
        <v>7975801.9731854191</v>
      </c>
      <c r="K43" s="368">
        <f>'INDICE MO'!L54</f>
        <v>8995335.5719160233</v>
      </c>
      <c r="L43" s="368">
        <f>'INDICE MO'!M54</f>
        <v>9822648.8653966784</v>
      </c>
      <c r="M43" s="368">
        <f>'INDICE MO'!N54</f>
        <v>14331616.795334948</v>
      </c>
      <c r="N43" s="368">
        <f>'INDICE MO'!O54</f>
        <v>13770707.035507118</v>
      </c>
      <c r="O43" s="368">
        <f>'INDICE MO'!P54</f>
        <v>22688027.571536027</v>
      </c>
      <c r="P43" s="368">
        <f>'INDICE MO'!Q54</f>
        <v>16422657.78259261</v>
      </c>
      <c r="Q43" s="368">
        <f>'INDICE MO'!R54</f>
        <v>15500383.216996733</v>
      </c>
      <c r="R43" s="368">
        <f>'INDICE MO'!S54</f>
        <v>15757625.879779892</v>
      </c>
      <c r="S43" s="368">
        <f>'INDICE MO'!T54</f>
        <v>16233449.960063078</v>
      </c>
      <c r="T43" s="119"/>
      <c r="V43" s="119"/>
    </row>
    <row r="44" spans="2:22" s="1" customFormat="1" ht="18.75" customHeight="1" outlineLevel="1">
      <c r="B44" s="2" t="s">
        <v>412</v>
      </c>
      <c r="C44" s="368">
        <f>'INDICE MAT'!E92</f>
        <v>9068117.7400172949</v>
      </c>
      <c r="D44" s="368">
        <f>'INDICE MAT'!F92</f>
        <v>10748455.265307838</v>
      </c>
      <c r="E44" s="368">
        <f>'INDICE MAT'!G92</f>
        <v>11963426.346540904</v>
      </c>
      <c r="F44" s="368">
        <f>'INDICE MAT'!H92</f>
        <v>12411740.52794387</v>
      </c>
      <c r="G44" s="368"/>
      <c r="H44" s="368">
        <f>'INDICE MAT'!J92</f>
        <v>12904219.189375274</v>
      </c>
      <c r="I44" s="368">
        <f>'INDICE MAT'!K92</f>
        <v>14859932.340301096</v>
      </c>
      <c r="J44" s="368">
        <f>'INDICE MAT'!L92</f>
        <v>15695387.25608499</v>
      </c>
      <c r="K44" s="368">
        <f>'INDICE MAT'!M92</f>
        <v>15250840.535635332</v>
      </c>
      <c r="L44" s="368">
        <f>'INDICE MAT'!N92</f>
        <v>17727280.702102825</v>
      </c>
      <c r="M44" s="368">
        <f>'INDICE MAT'!O92</f>
        <v>18045821.227647528</v>
      </c>
      <c r="N44" s="368">
        <f>'INDICE MAT'!P92</f>
        <v>21442407.388450921</v>
      </c>
      <c r="O44" s="368">
        <f>'INDICE MAT'!Q92</f>
        <v>22806216.282468233</v>
      </c>
      <c r="P44" s="368">
        <f>'INDICE MAT'!R92</f>
        <v>23756085.648506183</v>
      </c>
      <c r="Q44" s="368">
        <f>'INDICE MAT'!S92</f>
        <v>23504681.282354496</v>
      </c>
      <c r="R44" s="368">
        <f>'INDICE MAT'!T92</f>
        <v>24949031.801392674</v>
      </c>
      <c r="S44" s="368">
        <f>'INDICE MAT'!U92</f>
        <v>26399726.153522942</v>
      </c>
    </row>
    <row r="45" spans="2:22" s="1" customFormat="1" ht="18.75" customHeight="1" outlineLevel="1">
      <c r="B45" s="381" t="s">
        <v>414</v>
      </c>
      <c r="C45" s="382">
        <f>+SUM(C46:C48)</f>
        <v>20734598.661478251</v>
      </c>
      <c r="D45" s="382">
        <f t="shared" ref="D45:S45" si="29">+SUM(D46:D48)</f>
        <v>26615716.439870957</v>
      </c>
      <c r="E45" s="382">
        <f t="shared" si="29"/>
        <v>24038420.788402386</v>
      </c>
      <c r="F45" s="382">
        <f t="shared" si="29"/>
        <v>24066841.434191097</v>
      </c>
      <c r="G45" s="382"/>
      <c r="H45" s="382">
        <f t="shared" si="29"/>
        <v>29608359.870758716</v>
      </c>
      <c r="I45" s="382">
        <f t="shared" si="29"/>
        <v>41687710.985427715</v>
      </c>
      <c r="J45" s="382">
        <f t="shared" si="29"/>
        <v>49910052.26409521</v>
      </c>
      <c r="K45" s="382">
        <f t="shared" si="29"/>
        <v>38824877.798395775</v>
      </c>
      <c r="L45" s="382">
        <f t="shared" si="29"/>
        <v>69827713.98921673</v>
      </c>
      <c r="M45" s="382">
        <f t="shared" si="29"/>
        <v>60846269.324764788</v>
      </c>
      <c r="N45" s="382">
        <f t="shared" si="29"/>
        <v>65169157.36578054</v>
      </c>
      <c r="O45" s="382">
        <f t="shared" si="29"/>
        <v>73912288.862644792</v>
      </c>
      <c r="P45" s="382">
        <f t="shared" si="29"/>
        <v>84220047.287635013</v>
      </c>
      <c r="Q45" s="382">
        <f t="shared" si="29"/>
        <v>86174195.251205117</v>
      </c>
      <c r="R45" s="382">
        <f t="shared" si="29"/>
        <v>92474276.317590296</v>
      </c>
      <c r="S45" s="382">
        <f t="shared" si="29"/>
        <v>93771325.065405846</v>
      </c>
    </row>
    <row r="46" spans="2:22" s="1" customFormat="1" ht="18.75" customHeight="1" outlineLevel="1">
      <c r="B46" s="2" t="s">
        <v>410</v>
      </c>
      <c r="C46" s="3">
        <f>+'INDICE K'!F109</f>
        <v>7496371.7693639724</v>
      </c>
      <c r="D46" s="3">
        <f>+'INDICE K'!G109</f>
        <v>11435249.969870955</v>
      </c>
      <c r="E46" s="3">
        <f>+'INDICE K'!H109</f>
        <v>7210530.7399909068</v>
      </c>
      <c r="F46" s="3">
        <f>+'INDICE K'!I109</f>
        <v>6989935.5384384729</v>
      </c>
      <c r="G46" s="3"/>
      <c r="H46" s="3">
        <f>+'INDICE K'!K109</f>
        <v>11003867.298523949</v>
      </c>
      <c r="I46" s="3">
        <f>+'INDICE K'!L109</f>
        <v>21723345.497119941</v>
      </c>
      <c r="J46" s="3">
        <f>+'INDICE K'!M109</f>
        <v>28090559.741706707</v>
      </c>
      <c r="K46" s="3">
        <f>+'INDICE K'!N109</f>
        <v>14722173.44435495</v>
      </c>
      <c r="L46" s="3">
        <f>+'INDICE K'!O109</f>
        <v>44467917.960466109</v>
      </c>
      <c r="M46" s="3">
        <f>+'INDICE K'!P109</f>
        <v>33669460.038063578</v>
      </c>
      <c r="N46" s="3">
        <f>+'INDICE K'!Q109</f>
        <v>30635075.536516104</v>
      </c>
      <c r="O46" s="3">
        <f>+'INDICE K'!R109</f>
        <v>35753802.256013252</v>
      </c>
      <c r="P46" s="3">
        <f>+'INDICE K'!S109</f>
        <v>44147283.01763501</v>
      </c>
      <c r="Q46" s="3">
        <f>+'INDICE K'!T109</f>
        <v>45425230.291205108</v>
      </c>
      <c r="R46" s="3">
        <f>+'INDICE K'!U109</f>
        <v>51923303.347590305</v>
      </c>
      <c r="S46" s="3">
        <f>+'INDICE K'!V109</f>
        <v>53119958.095405854</v>
      </c>
    </row>
    <row r="47" spans="2:22" s="1" customFormat="1" ht="18.75" customHeight="1" outlineLevel="1">
      <c r="B47" s="2" t="s">
        <v>411</v>
      </c>
      <c r="C47" s="3">
        <f>'INDICE MO'!D55</f>
        <v>4186797.8921142793</v>
      </c>
      <c r="D47" s="3">
        <f>'INDICE MO'!E55</f>
        <v>4971466.4700000016</v>
      </c>
      <c r="E47" s="3">
        <f>'INDICE MO'!F55</f>
        <v>5403890.0484114774</v>
      </c>
      <c r="F47" s="3">
        <f>'INDICE MO'!G55</f>
        <v>5404905.8957526246</v>
      </c>
      <c r="G47" s="3"/>
      <c r="H47" s="3">
        <f>'INDICE MO'!I55</f>
        <v>6023492.5899999915</v>
      </c>
      <c r="I47" s="3">
        <f>'INDICE MO'!J55</f>
        <v>5952094.4883077741</v>
      </c>
      <c r="J47" s="3">
        <f>'INDICE MO'!K55</f>
        <v>7707236.602388503</v>
      </c>
      <c r="K47" s="3">
        <f>'INDICE MO'!L55</f>
        <v>8752072.4540408291</v>
      </c>
      <c r="L47" s="3">
        <f>'INDICE MO'!M55</f>
        <v>9114354.9087506179</v>
      </c>
      <c r="M47" s="3">
        <f>'INDICE MO'!N55</f>
        <v>10208373.206701215</v>
      </c>
      <c r="N47" s="3">
        <f>'INDICE MO'!O55</f>
        <v>14748731.33926443</v>
      </c>
      <c r="O47" s="3">
        <f>'INDICE MO'!P55</f>
        <v>15638298.796631534</v>
      </c>
      <c r="P47" s="3">
        <f>'INDICE MO'!Q55</f>
        <v>16049679.040000008</v>
      </c>
      <c r="Q47" s="3">
        <f>'INDICE MO'!R55</f>
        <v>15226804.800000006</v>
      </c>
      <c r="R47" s="3">
        <f>'INDICE MO'!S55</f>
        <v>15082440.430000002</v>
      </c>
      <c r="S47" s="3">
        <f>'INDICE MO'!T55</f>
        <v>15944937.810000002</v>
      </c>
      <c r="T47" s="119"/>
      <c r="V47" s="119"/>
    </row>
    <row r="48" spans="2:22" s="1" customFormat="1" ht="18.75" customHeight="1" outlineLevel="1">
      <c r="B48" s="2" t="s">
        <v>412</v>
      </c>
      <c r="C48" s="379">
        <f>'INDICE MAT'!E93</f>
        <v>9051429</v>
      </c>
      <c r="D48" s="379">
        <f>'INDICE MAT'!F93</f>
        <v>10209000</v>
      </c>
      <c r="E48" s="379">
        <f>'INDICE MAT'!G93</f>
        <v>11424000</v>
      </c>
      <c r="F48" s="379">
        <f>'INDICE MAT'!H93</f>
        <v>11672000</v>
      </c>
      <c r="G48" s="379"/>
      <c r="H48" s="379">
        <f>'INDICE MAT'!J93</f>
        <v>12580999.982234776</v>
      </c>
      <c r="I48" s="379">
        <f>'INDICE MAT'!K93</f>
        <v>14012271</v>
      </c>
      <c r="J48" s="379">
        <f>'INDICE MAT'!L93</f>
        <v>14112255.92</v>
      </c>
      <c r="K48" s="379">
        <f>'INDICE MAT'!M93</f>
        <v>15350631.9</v>
      </c>
      <c r="L48" s="379">
        <f>'INDICE MAT'!N93</f>
        <v>16245441.120000001</v>
      </c>
      <c r="M48" s="379">
        <f>'INDICE MAT'!O93</f>
        <v>16968436.079999998</v>
      </c>
      <c r="N48" s="379">
        <f>'INDICE MAT'!P93</f>
        <v>19785350.490000002</v>
      </c>
      <c r="O48" s="379">
        <f>'INDICE MAT'!Q93</f>
        <v>22520187.809999999</v>
      </c>
      <c r="P48" s="379">
        <f>'INDICE MAT'!R93</f>
        <v>24023085.23</v>
      </c>
      <c r="Q48" s="379">
        <f>'INDICE MAT'!S93</f>
        <v>25522160.16</v>
      </c>
      <c r="R48" s="379">
        <f>'INDICE MAT'!T93</f>
        <v>25468532.539999999</v>
      </c>
      <c r="S48" s="379">
        <f>'INDICE MAT'!U93</f>
        <v>24706429.16</v>
      </c>
    </row>
    <row r="49" spans="2:24" s="1" customFormat="1" ht="18.75" customHeight="1" outlineLevel="1">
      <c r="B49" s="2" t="s">
        <v>415</v>
      </c>
      <c r="C49" s="380">
        <f>+C41/C45</f>
        <v>1.1091170120759617</v>
      </c>
      <c r="D49" s="380">
        <f t="shared" ref="D49:M49" si="30">+D41/D45</f>
        <v>0.85964500943888911</v>
      </c>
      <c r="E49" s="380">
        <f t="shared" si="30"/>
        <v>1.0352074156537749</v>
      </c>
      <c r="F49" s="380">
        <f t="shared" si="30"/>
        <v>0.94950744928049924</v>
      </c>
      <c r="G49" s="380"/>
      <c r="H49" s="380">
        <f t="shared" si="30"/>
        <v>1.1082961808211267</v>
      </c>
      <c r="I49" s="380">
        <f t="shared" si="30"/>
        <v>1.1795144934989588</v>
      </c>
      <c r="J49" s="380">
        <f t="shared" si="30"/>
        <v>0.78812772947655851</v>
      </c>
      <c r="K49" s="380">
        <f t="shared" si="30"/>
        <v>1.6875849495699213</v>
      </c>
      <c r="L49" s="380">
        <f t="shared" si="30"/>
        <v>0.83328063799845686</v>
      </c>
      <c r="M49" s="380">
        <f t="shared" si="30"/>
        <v>1.0684342050906743</v>
      </c>
      <c r="N49" s="380">
        <f>+N41/N45</f>
        <v>1.0925119136568491</v>
      </c>
      <c r="O49" s="380">
        <f t="shared" ref="O49:S49" si="31">+O41/O45</f>
        <v>1.1928966227354985</v>
      </c>
      <c r="P49" s="380">
        <f t="shared" si="31"/>
        <v>1.0144193603135148</v>
      </c>
      <c r="Q49" s="380">
        <f t="shared" si="31"/>
        <v>1.0521963205400375</v>
      </c>
      <c r="R49" s="380">
        <f t="shared" si="31"/>
        <v>1.0157220502939319</v>
      </c>
      <c r="S49" s="380">
        <f t="shared" si="31"/>
        <v>0.98406220327452176</v>
      </c>
    </row>
    <row r="50" spans="2:24" s="1" customFormat="1" ht="18.75" customHeight="1" outlineLevel="1">
      <c r="B50" s="2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</row>
    <row r="51" spans="2:24" s="1" customFormat="1" ht="18.75" customHeight="1" outlineLevel="1">
      <c r="B51" s="381" t="s">
        <v>416</v>
      </c>
      <c r="C51" s="382">
        <f>+SUM(C52:C54)</f>
        <v>26615716.439870957</v>
      </c>
      <c r="D51" s="382">
        <f t="shared" ref="D51:S51" si="32">+SUM(D52:D54)</f>
        <v>24038420.788402386</v>
      </c>
      <c r="E51" s="382">
        <f t="shared" si="32"/>
        <v>24066841.434191097</v>
      </c>
      <c r="F51" s="382">
        <f t="shared" si="32"/>
        <v>28966616.854668465</v>
      </c>
      <c r="G51" s="382"/>
      <c r="H51" s="382">
        <f t="shared" si="32"/>
        <v>41687710.985427715</v>
      </c>
      <c r="I51" s="382">
        <f t="shared" si="32"/>
        <v>49910052.26409521</v>
      </c>
      <c r="J51" s="382">
        <f t="shared" si="32"/>
        <v>38824877.798395775</v>
      </c>
      <c r="K51" s="382">
        <f t="shared" si="32"/>
        <v>69827713.98921673</v>
      </c>
      <c r="L51" s="382">
        <f t="shared" si="32"/>
        <v>60846269.324764788</v>
      </c>
      <c r="M51" s="382">
        <f t="shared" si="32"/>
        <v>65169157.36578054</v>
      </c>
      <c r="N51" s="382">
        <f t="shared" si="32"/>
        <v>73912288.862644792</v>
      </c>
      <c r="O51" s="382">
        <f t="shared" si="32"/>
        <v>84220047.287635013</v>
      </c>
      <c r="P51" s="382">
        <f t="shared" si="32"/>
        <v>86174195.251205117</v>
      </c>
      <c r="Q51" s="382">
        <f t="shared" si="32"/>
        <v>92474276.317590296</v>
      </c>
      <c r="R51" s="382">
        <f t="shared" si="32"/>
        <v>93771325.065405846</v>
      </c>
      <c r="S51" s="382">
        <f t="shared" si="32"/>
        <v>91408515.475655019</v>
      </c>
    </row>
    <row r="52" spans="2:24" s="1" customFormat="1" ht="18.75" customHeight="1" outlineLevel="1">
      <c r="B52" s="2" t="s">
        <v>410</v>
      </c>
      <c r="C52" s="3">
        <f>+'INDICE K'!F112</f>
        <v>11435249.969870955</v>
      </c>
      <c r="D52" s="3">
        <f>+'INDICE K'!G112</f>
        <v>7210530.7399909068</v>
      </c>
      <c r="E52" s="3">
        <f>+'INDICE K'!H112</f>
        <v>6989935.5384384729</v>
      </c>
      <c r="F52" s="3">
        <f>+'INDICE K'!I112</f>
        <v>10558544.710396176</v>
      </c>
      <c r="G52" s="3"/>
      <c r="H52" s="3">
        <f>+'INDICE K'!K112</f>
        <v>21723345.497119941</v>
      </c>
      <c r="I52" s="3">
        <f>+'INDICE K'!L112</f>
        <v>28090559.741706707</v>
      </c>
      <c r="J52" s="3">
        <f>+'INDICE K'!M112</f>
        <v>14722173.44435495</v>
      </c>
      <c r="K52" s="3">
        <f>+'INDICE K'!N112</f>
        <v>44467917.960466109</v>
      </c>
      <c r="L52" s="3">
        <f>+'INDICE K'!O112</f>
        <v>33669460.038063578</v>
      </c>
      <c r="M52" s="3">
        <f>+'INDICE K'!P112</f>
        <v>30635075.536516104</v>
      </c>
      <c r="N52" s="3">
        <f>+'INDICE K'!Q112</f>
        <v>35753802.256013252</v>
      </c>
      <c r="O52" s="3">
        <f>+'INDICE K'!R112</f>
        <v>44147283.01763501</v>
      </c>
      <c r="P52" s="3">
        <f>+'INDICE K'!S112</f>
        <v>45425230.291205108</v>
      </c>
      <c r="Q52" s="3">
        <f>+'INDICE K'!T112</f>
        <v>51923303.347590305</v>
      </c>
      <c r="R52" s="3">
        <f>+'INDICE K'!U112</f>
        <v>53119958.095405854</v>
      </c>
      <c r="S52" s="3">
        <f>+'INDICE K'!V112</f>
        <v>48180132.535655022</v>
      </c>
    </row>
    <row r="53" spans="2:24" s="1" customFormat="1" ht="18.75" customHeight="1" outlineLevel="1">
      <c r="B53" s="2" t="s">
        <v>411</v>
      </c>
      <c r="C53" s="368">
        <f>'INDICE MO'!D61</f>
        <v>4971466.4700000016</v>
      </c>
      <c r="D53" s="368">
        <f>'INDICE MO'!E61</f>
        <v>5403890.0484114774</v>
      </c>
      <c r="E53" s="368">
        <f>'INDICE MO'!F61</f>
        <v>5404905.8957526246</v>
      </c>
      <c r="F53" s="368">
        <f>'INDICE MO'!G61</f>
        <v>6023492.5899999915</v>
      </c>
      <c r="G53" s="368"/>
      <c r="H53" s="368">
        <f>'INDICE MO'!I61</f>
        <v>5952094.4883077741</v>
      </c>
      <c r="I53" s="368">
        <f>'INDICE MO'!J61</f>
        <v>7707236.602388503</v>
      </c>
      <c r="J53" s="368">
        <f>'INDICE MO'!K61</f>
        <v>8752072.4540408291</v>
      </c>
      <c r="K53" s="368">
        <f>'INDICE MO'!L61</f>
        <v>9114354.9087506179</v>
      </c>
      <c r="L53" s="368">
        <f>'INDICE MO'!M61</f>
        <v>10208373.206701215</v>
      </c>
      <c r="M53" s="368">
        <f>'INDICE MO'!N61</f>
        <v>14748731.33926443</v>
      </c>
      <c r="N53" s="368">
        <f>'INDICE MO'!O61</f>
        <v>15638298.796631534</v>
      </c>
      <c r="O53" s="368">
        <f>'INDICE MO'!P61</f>
        <v>16049679.040000008</v>
      </c>
      <c r="P53" s="368">
        <f>'INDICE MO'!Q61</f>
        <v>15226804.800000006</v>
      </c>
      <c r="Q53" s="368">
        <f>'INDICE MO'!R61</f>
        <v>15082440.430000002</v>
      </c>
      <c r="R53" s="368">
        <f>'INDICE MO'!S61</f>
        <v>15944937.810000002</v>
      </c>
      <c r="S53" s="368">
        <f>'INDICE MO'!T61</f>
        <v>16352925.120000001</v>
      </c>
      <c r="T53" s="119"/>
      <c r="V53" s="119"/>
    </row>
    <row r="54" spans="2:24" s="1" customFormat="1" ht="18.75" customHeight="1" outlineLevel="1">
      <c r="B54" s="2" t="s">
        <v>412</v>
      </c>
      <c r="C54" s="3">
        <f>'INDICE MAT'!E96</f>
        <v>10209000</v>
      </c>
      <c r="D54" s="3">
        <f>'INDICE MAT'!F96</f>
        <v>11424000</v>
      </c>
      <c r="E54" s="3">
        <f>'INDICE MAT'!G96</f>
        <v>11672000</v>
      </c>
      <c r="F54" s="3">
        <f>'INDICE MAT'!H96</f>
        <v>12384579.554272298</v>
      </c>
      <c r="G54" s="3"/>
      <c r="H54" s="3">
        <f>'INDICE MAT'!J96</f>
        <v>14012271</v>
      </c>
      <c r="I54" s="3">
        <f>'INDICE MAT'!K96</f>
        <v>14112255.92</v>
      </c>
      <c r="J54" s="3">
        <f>'INDICE MAT'!L96</f>
        <v>15350631.9</v>
      </c>
      <c r="K54" s="3">
        <f>'INDICE MAT'!M96</f>
        <v>16245441.120000001</v>
      </c>
      <c r="L54" s="3">
        <f>'INDICE MAT'!N96</f>
        <v>16968436.079999998</v>
      </c>
      <c r="M54" s="3">
        <f>'INDICE MAT'!O96</f>
        <v>19785350.490000002</v>
      </c>
      <c r="N54" s="3">
        <f>'INDICE MAT'!P96</f>
        <v>22520187.809999999</v>
      </c>
      <c r="O54" s="3">
        <f>'INDICE MAT'!Q96</f>
        <v>24023085.23</v>
      </c>
      <c r="P54" s="3">
        <f>'INDICE MAT'!R96</f>
        <v>25522160.16</v>
      </c>
      <c r="Q54" s="3">
        <f>'INDICE MAT'!S96</f>
        <v>25468532.539999999</v>
      </c>
      <c r="R54" s="3">
        <f>'INDICE MAT'!T96</f>
        <v>24706429.16</v>
      </c>
      <c r="S54" s="3">
        <f>'INDICE MAT'!U96</f>
        <v>26875457.82</v>
      </c>
    </row>
    <row r="55" spans="2:24" s="1" customFormat="1" ht="18.75" customHeight="1" outlineLevel="1">
      <c r="B55" s="381" t="s">
        <v>417</v>
      </c>
      <c r="C55" s="382">
        <f>+SUM(C56:C58)</f>
        <v>23673729.760090552</v>
      </c>
      <c r="D55" s="382">
        <f t="shared" ref="D55:S55" si="33">+SUM(D56:D58)</f>
        <v>27780108.821906283</v>
      </c>
      <c r="E55" s="382">
        <f t="shared" si="33"/>
        <v>23271947.19503244</v>
      </c>
      <c r="F55" s="382">
        <f t="shared" si="33"/>
        <v>32694105.505902506</v>
      </c>
      <c r="G55" s="382"/>
      <c r="H55" s="382">
        <f t="shared" si="33"/>
        <v>36837845.482901447</v>
      </c>
      <c r="I55" s="382">
        <f t="shared" si="33"/>
        <v>42436299.469558656</v>
      </c>
      <c r="J55" s="382">
        <f t="shared" si="33"/>
        <v>48661443.254214808</v>
      </c>
      <c r="K55" s="382">
        <f t="shared" si="33"/>
        <v>41119490.417113498</v>
      </c>
      <c r="L55" s="382">
        <f t="shared" si="33"/>
        <v>73860212.283347607</v>
      </c>
      <c r="M55" s="382">
        <f t="shared" si="33"/>
        <v>60691541.24306982</v>
      </c>
      <c r="N55" s="382">
        <f t="shared" si="33"/>
        <v>67953035.15548858</v>
      </c>
      <c r="O55" s="382">
        <f t="shared" si="33"/>
        <v>71735948.452628806</v>
      </c>
      <c r="P55" s="382">
        <f t="shared" si="33"/>
        <v>85066960.622846648</v>
      </c>
      <c r="Q55" s="382">
        <f t="shared" si="33"/>
        <v>88082354.485856265</v>
      </c>
      <c r="R55" s="382">
        <f t="shared" si="33"/>
        <v>92613887.5040088</v>
      </c>
      <c r="S55" s="382">
        <f t="shared" si="33"/>
        <v>93014373.812566668</v>
      </c>
    </row>
    <row r="56" spans="2:24" s="1" customFormat="1" ht="18.75" customHeight="1" outlineLevel="1">
      <c r="B56" s="2" t="s">
        <v>410</v>
      </c>
      <c r="C56" s="3">
        <f>+'INDICE K'!F113</f>
        <v>8173222.3366906531</v>
      </c>
      <c r="D56" s="3">
        <f>+'INDICE K'!G113</f>
        <v>11595506.463205362</v>
      </c>
      <c r="E56" s="3">
        <f>+'INDICE K'!H113</f>
        <v>6738731.1580922762</v>
      </c>
      <c r="F56" s="3">
        <f>+'INDICE K'!I113</f>
        <v>15298035.625922967</v>
      </c>
      <c r="G56" s="3"/>
      <c r="H56" s="3">
        <f>+'INDICE K'!K113</f>
        <v>17160185.238730669</v>
      </c>
      <c r="I56" s="3">
        <f>+'INDICE K'!L113</f>
        <v>21818399.715870012</v>
      </c>
      <c r="J56" s="3">
        <f>+'INDICE K'!M113</f>
        <v>26388512.982386578</v>
      </c>
      <c r="K56" s="3">
        <f>+'INDICE K'!N113</f>
        <v>15900688.837814795</v>
      </c>
      <c r="L56" s="3">
        <f>+'INDICE K'!O113</f>
        <v>48782075.838545337</v>
      </c>
      <c r="M56" s="3">
        <f>+'INDICE K'!P113</f>
        <v>31648104.94461659</v>
      </c>
      <c r="N56" s="3">
        <f>+'INDICE K'!Q113</f>
        <v>30428054.89336437</v>
      </c>
      <c r="O56" s="3">
        <f>+'INDICE K'!R113</f>
        <v>36938641.677266859</v>
      </c>
      <c r="P56" s="3">
        <f>+'INDICE K'!S113</f>
        <v>44280607.044106834</v>
      </c>
      <c r="Q56" s="3">
        <f>+'INDICE K'!T113</f>
        <v>45596822.05980432</v>
      </c>
      <c r="R56" s="3">
        <f>+'INDICE K'!U113</f>
        <v>52105587.981379434</v>
      </c>
      <c r="S56" s="3">
        <f>+'INDICE K'!V113</f>
        <v>51785975.764356203</v>
      </c>
    </row>
    <row r="57" spans="2:24" s="1" customFormat="1" ht="18.75" customHeight="1" outlineLevel="1">
      <c r="B57" s="2" t="s">
        <v>411</v>
      </c>
      <c r="C57" s="3">
        <f>'INDICE MO'!D62</f>
        <v>5310295.8149626488</v>
      </c>
      <c r="D57" s="3">
        <f>'INDICE MO'!E62</f>
        <v>5333962.604313869</v>
      </c>
      <c r="E57" s="3">
        <f>'INDICE MO'!F62</f>
        <v>5387502.0802897736</v>
      </c>
      <c r="F57" s="3">
        <f>'INDICE MO'!G62</f>
        <v>5749612.057886079</v>
      </c>
      <c r="G57" s="3"/>
      <c r="H57" s="3">
        <f>'INDICE MO'!I62</f>
        <v>6016362.445756413</v>
      </c>
      <c r="I57" s="3">
        <f>'INDICE MO'!J62</f>
        <v>7310655.1549970452</v>
      </c>
      <c r="J57" s="3">
        <f>'INDICE MO'!K62</f>
        <v>8470655.6052678898</v>
      </c>
      <c r="K57" s="3">
        <f>'INDICE MO'!L62</f>
        <v>8867061.0897470601</v>
      </c>
      <c r="L57" s="3">
        <f>'INDICE MO'!M62</f>
        <v>9528107.4319811016</v>
      </c>
      <c r="M57" s="3">
        <f>'INDICE MO'!N62</f>
        <v>10439325.636223901</v>
      </c>
      <c r="N57" s="3">
        <f>'INDICE MO'!O62</f>
        <v>16745139.601067482</v>
      </c>
      <c r="O57" s="3">
        <f>'INDICE MO'!P62</f>
        <v>11075511.609755198</v>
      </c>
      <c r="P57" s="3">
        <f>'INDICE MO'!Q62</f>
        <v>14977344.558941791</v>
      </c>
      <c r="Q57" s="3">
        <f>'INDICE MO'!R62</f>
        <v>14830957.632305207</v>
      </c>
      <c r="R57" s="3">
        <f>'INDICE MO'!S62</f>
        <v>15287421.212893093</v>
      </c>
      <c r="S57" s="3">
        <f>'INDICE MO'!T62</f>
        <v>16076750.985243106</v>
      </c>
      <c r="T57" s="119"/>
      <c r="V57" s="119"/>
    </row>
    <row r="58" spans="2:24" s="1" customFormat="1" ht="18.75" customHeight="1" outlineLevel="1">
      <c r="B58" s="2" t="s">
        <v>412</v>
      </c>
      <c r="C58" s="3">
        <f>'INDICE MAT'!E97</f>
        <v>10190211.608437251</v>
      </c>
      <c r="D58" s="3">
        <f>'INDICE MAT'!F97</f>
        <v>10850639.754387049</v>
      </c>
      <c r="E58" s="3">
        <f>'INDICE MAT'!G97</f>
        <v>11145713.956650393</v>
      </c>
      <c r="F58" s="3">
        <f>'INDICE MAT'!H97</f>
        <v>11646457.822093459</v>
      </c>
      <c r="G58" s="3"/>
      <c r="H58" s="3">
        <f>'INDICE MAT'!J97</f>
        <v>13661297.798414366</v>
      </c>
      <c r="I58" s="3">
        <f>'INDICE MAT'!K97</f>
        <v>13307244.598691598</v>
      </c>
      <c r="J58" s="3">
        <f>'INDICE MAT'!L97</f>
        <v>13802274.666560339</v>
      </c>
      <c r="K58" s="3">
        <f>'INDICE MAT'!M97</f>
        <v>16351740.489551641</v>
      </c>
      <c r="L58" s="3">
        <f>'INDICE MAT'!N97</f>
        <v>15550029.012821166</v>
      </c>
      <c r="M58" s="3">
        <f>'INDICE MAT'!O97</f>
        <v>18604110.662229329</v>
      </c>
      <c r="N58" s="3">
        <f>'INDICE MAT'!P97</f>
        <v>20779840.66105672</v>
      </c>
      <c r="O58" s="3">
        <f>'INDICE MAT'!Q97</f>
        <v>23721795.165606752</v>
      </c>
      <c r="P58" s="3">
        <f>'INDICE MAT'!R97</f>
        <v>25809009.019798022</v>
      </c>
      <c r="Q58" s="3">
        <f>'INDICE MAT'!S97</f>
        <v>27654574.79374674</v>
      </c>
      <c r="R58" s="3">
        <f>'INDICE MAT'!T97</f>
        <v>25220878.309736267</v>
      </c>
      <c r="S58" s="3">
        <f>'INDICE MAT'!U97</f>
        <v>25151647.06296736</v>
      </c>
    </row>
    <row r="59" spans="2:24" s="1" customFormat="1" ht="18.75" customHeight="1" outlineLevel="1">
      <c r="B59" s="2" t="s">
        <v>418</v>
      </c>
      <c r="C59" s="380">
        <f>+C51/C55</f>
        <v>1.1242722084603687</v>
      </c>
      <c r="D59" s="380">
        <f t="shared" ref="D59:S59" si="34">+D51/D55</f>
        <v>0.8653105336090926</v>
      </c>
      <c r="E59" s="380">
        <f t="shared" si="34"/>
        <v>1.0341567567379293</v>
      </c>
      <c r="F59" s="380">
        <f t="shared" si="34"/>
        <v>0.8859889697682326</v>
      </c>
      <c r="G59" s="380"/>
      <c r="H59" s="380">
        <f t="shared" si="34"/>
        <v>1.1316544287254087</v>
      </c>
      <c r="I59" s="380">
        <f t="shared" si="34"/>
        <v>1.176116977398036</v>
      </c>
      <c r="J59" s="380">
        <f t="shared" si="34"/>
        <v>0.79785709592641318</v>
      </c>
      <c r="K59" s="380">
        <f t="shared" si="34"/>
        <v>1.6981658401135042</v>
      </c>
      <c r="L59" s="380">
        <f t="shared" si="34"/>
        <v>0.82380306586910634</v>
      </c>
      <c r="M59" s="380">
        <f t="shared" si="34"/>
        <v>1.0737766092440766</v>
      </c>
      <c r="N59" s="380">
        <f t="shared" si="34"/>
        <v>1.087696652452983</v>
      </c>
      <c r="O59" s="380">
        <f t="shared" si="34"/>
        <v>1.1740284906562592</v>
      </c>
      <c r="P59" s="380">
        <f t="shared" si="34"/>
        <v>1.013016036076186</v>
      </c>
      <c r="Q59" s="380">
        <f t="shared" si="34"/>
        <v>1.0498615398892324</v>
      </c>
      <c r="R59" s="380">
        <f t="shared" si="34"/>
        <v>1.0124974514361784</v>
      </c>
      <c r="S59" s="380">
        <f t="shared" si="34"/>
        <v>0.98273537442559566</v>
      </c>
    </row>
    <row r="60" spans="2:24" s="1" customFormat="1" ht="18.75" customHeight="1"/>
    <row r="61" spans="2:24" s="1" customFormat="1" ht="18.75" customHeight="1" thickBot="1">
      <c r="T61" s="2"/>
    </row>
    <row r="62" spans="2:24" ht="18" customHeight="1">
      <c r="B62" s="98" t="s">
        <v>395</v>
      </c>
      <c r="C62" s="99">
        <f>+C40</f>
        <v>2002</v>
      </c>
      <c r="D62" s="99">
        <f t="shared" ref="D62:I62" si="35">C62+1</f>
        <v>2003</v>
      </c>
      <c r="E62" s="99">
        <f t="shared" si="35"/>
        <v>2004</v>
      </c>
      <c r="F62" s="100">
        <f>E62+1</f>
        <v>2005</v>
      </c>
      <c r="G62" s="99">
        <v>2005</v>
      </c>
      <c r="H62" s="99">
        <f t="shared" si="35"/>
        <v>2006</v>
      </c>
      <c r="I62" s="101">
        <f t="shared" si="35"/>
        <v>2007</v>
      </c>
      <c r="J62" s="99">
        <f>I62+1</f>
        <v>2008</v>
      </c>
      <c r="K62" s="101">
        <f>J62+1</f>
        <v>2009</v>
      </c>
      <c r="L62" s="99">
        <f>K62+1</f>
        <v>2010</v>
      </c>
      <c r="M62" s="101">
        <f>L62+1</f>
        <v>2011</v>
      </c>
      <c r="N62" s="99">
        <f>M62+1</f>
        <v>2012</v>
      </c>
      <c r="O62" s="101">
        <f t="shared" ref="O62:S62" si="36">N62+1</f>
        <v>2013</v>
      </c>
      <c r="P62" s="99">
        <f t="shared" si="36"/>
        <v>2014</v>
      </c>
      <c r="Q62" s="101">
        <f t="shared" si="36"/>
        <v>2015</v>
      </c>
      <c r="R62" s="99">
        <f t="shared" si="36"/>
        <v>2016</v>
      </c>
      <c r="S62" s="101">
        <f t="shared" si="36"/>
        <v>2017</v>
      </c>
    </row>
    <row r="63" spans="2:24" ht="18.75" customHeight="1">
      <c r="B63" s="102" t="s">
        <v>83</v>
      </c>
      <c r="C63" s="654">
        <f>+C49</f>
        <v>1.1091170120759617</v>
      </c>
      <c r="D63" s="654">
        <f t="shared" ref="D63:N63" si="37">+D49</f>
        <v>0.85964500943888911</v>
      </c>
      <c r="E63" s="654">
        <f t="shared" si="37"/>
        <v>1.0352074156537749</v>
      </c>
      <c r="F63" s="654">
        <f t="shared" si="37"/>
        <v>0.94950744928049924</v>
      </c>
      <c r="G63" s="654"/>
      <c r="H63" s="654">
        <f t="shared" si="37"/>
        <v>1.1082961808211267</v>
      </c>
      <c r="I63" s="654">
        <f t="shared" si="37"/>
        <v>1.1795144934989588</v>
      </c>
      <c r="J63" s="654">
        <f t="shared" si="37"/>
        <v>0.78812772947655851</v>
      </c>
      <c r="K63" s="654">
        <f t="shared" si="37"/>
        <v>1.6875849495699213</v>
      </c>
      <c r="L63" s="654">
        <f t="shared" si="37"/>
        <v>0.83328063799845686</v>
      </c>
      <c r="M63" s="654">
        <f t="shared" si="37"/>
        <v>1.0684342050906743</v>
      </c>
      <c r="N63" s="655">
        <f t="shared" si="37"/>
        <v>1.0925119136568491</v>
      </c>
      <c r="O63" s="655">
        <f t="shared" ref="O63:R63" si="38">+O49</f>
        <v>1.1928966227354985</v>
      </c>
      <c r="P63" s="655">
        <f t="shared" si="38"/>
        <v>1.0144193603135148</v>
      </c>
      <c r="Q63" s="655">
        <f t="shared" si="38"/>
        <v>1.0521963205400375</v>
      </c>
      <c r="R63" s="655">
        <f t="shared" si="38"/>
        <v>1.0157220502939319</v>
      </c>
      <c r="S63" s="655">
        <f>+S49</f>
        <v>0.98406220327452176</v>
      </c>
      <c r="T63" s="380"/>
      <c r="V63" s="380"/>
      <c r="X63" s="1"/>
    </row>
    <row r="64" spans="2:24" ht="18.75" customHeight="1">
      <c r="B64" s="102" t="s">
        <v>84</v>
      </c>
      <c r="C64" s="654">
        <f>+C59</f>
        <v>1.1242722084603687</v>
      </c>
      <c r="D64" s="654">
        <f t="shared" ref="D64:N64" si="39">+D59</f>
        <v>0.8653105336090926</v>
      </c>
      <c r="E64" s="654">
        <f t="shared" si="39"/>
        <v>1.0341567567379293</v>
      </c>
      <c r="F64" s="654">
        <f t="shared" si="39"/>
        <v>0.8859889697682326</v>
      </c>
      <c r="G64" s="654"/>
      <c r="H64" s="654">
        <f t="shared" si="39"/>
        <v>1.1316544287254087</v>
      </c>
      <c r="I64" s="654">
        <f t="shared" si="39"/>
        <v>1.176116977398036</v>
      </c>
      <c r="J64" s="654">
        <f t="shared" si="39"/>
        <v>0.79785709592641318</v>
      </c>
      <c r="K64" s="654">
        <f t="shared" si="39"/>
        <v>1.6981658401135042</v>
      </c>
      <c r="L64" s="654">
        <f t="shared" si="39"/>
        <v>0.82380306586910634</v>
      </c>
      <c r="M64" s="654">
        <f t="shared" si="39"/>
        <v>1.0737766092440766</v>
      </c>
      <c r="N64" s="655">
        <f t="shared" si="39"/>
        <v>1.087696652452983</v>
      </c>
      <c r="O64" s="655">
        <f t="shared" ref="O64:S64" si="40">+O59</f>
        <v>1.1740284906562592</v>
      </c>
      <c r="P64" s="655">
        <f t="shared" si="40"/>
        <v>1.013016036076186</v>
      </c>
      <c r="Q64" s="655">
        <f t="shared" si="40"/>
        <v>1.0498615398892324</v>
      </c>
      <c r="R64" s="655">
        <f t="shared" si="40"/>
        <v>1.0124974514361784</v>
      </c>
      <c r="S64" s="655">
        <f t="shared" si="40"/>
        <v>0.98273537442559566</v>
      </c>
      <c r="T64" s="380"/>
      <c r="V64" s="380"/>
      <c r="X64" s="1"/>
    </row>
    <row r="65" spans="2:20" ht="18.75" customHeight="1">
      <c r="B65" s="102" t="s">
        <v>293</v>
      </c>
      <c r="C65" s="656">
        <f>(C63*C64)^0.5</f>
        <v>1.1166689001703267</v>
      </c>
      <c r="D65" s="656">
        <f>(D63*D64)^0.5</f>
        <v>0.86247311948370808</v>
      </c>
      <c r="E65" s="656">
        <f>(E63*E64)^0.5</f>
        <v>1.0346819528355373</v>
      </c>
      <c r="F65" s="656">
        <f>(F63*F64)^0.5</f>
        <v>0.91719852091861331</v>
      </c>
      <c r="G65" s="656"/>
      <c r="H65" s="656">
        <f t="shared" ref="H65:N65" si="41">(H63*H64)^0.5</f>
        <v>1.1199144080534389</v>
      </c>
      <c r="I65" s="656">
        <f t="shared" si="41"/>
        <v>1.1778145103925197</v>
      </c>
      <c r="J65" s="656">
        <f t="shared" si="41"/>
        <v>0.79297749114287275</v>
      </c>
      <c r="K65" s="656">
        <f t="shared" si="41"/>
        <v>1.6928671281731804</v>
      </c>
      <c r="L65" s="656">
        <f t="shared" si="41"/>
        <v>0.82852830024839441</v>
      </c>
      <c r="M65" s="656">
        <f t="shared" si="41"/>
        <v>1.0711020763413048</v>
      </c>
      <c r="N65" s="657">
        <f t="shared" si="41"/>
        <v>1.0901016242761759</v>
      </c>
      <c r="O65" s="657">
        <f t="shared" ref="O65:S65" si="42">(O63*O64)^0.5</f>
        <v>1.1834249538940382</v>
      </c>
      <c r="P65" s="657">
        <f t="shared" si="42"/>
        <v>1.0137174553610768</v>
      </c>
      <c r="Q65" s="657">
        <f t="shared" si="42"/>
        <v>1.05102828189728</v>
      </c>
      <c r="R65" s="657">
        <f t="shared" si="42"/>
        <v>1.0141084691935749</v>
      </c>
      <c r="S65" s="657">
        <f t="shared" si="42"/>
        <v>0.98339856507575996</v>
      </c>
    </row>
    <row r="66" spans="2:20" ht="18.75" customHeight="1" thickBot="1">
      <c r="B66" s="103" t="s">
        <v>294</v>
      </c>
      <c r="C66" s="108">
        <f>LN(C65)</f>
        <v>0.11035005731939646</v>
      </c>
      <c r="D66" s="108">
        <f>LN(D65)</f>
        <v>-0.147951296378277</v>
      </c>
      <c r="E66" s="108">
        <f>LN(E65)</f>
        <v>3.4094087547146913E-2</v>
      </c>
      <c r="F66" s="108">
        <f>LN(F65)</f>
        <v>-8.6431340604775891E-2</v>
      </c>
      <c r="G66" s="108"/>
      <c r="H66" s="108">
        <f t="shared" ref="H66:N66" si="43">LN(H65)</f>
        <v>0.11325226100588254</v>
      </c>
      <c r="I66" s="108">
        <f t="shared" si="43"/>
        <v>0.16366061136458487</v>
      </c>
      <c r="J66" s="370">
        <f t="shared" si="43"/>
        <v>-0.231960442185352</v>
      </c>
      <c r="K66" s="370">
        <f t="shared" si="43"/>
        <v>0.52642361700735596</v>
      </c>
      <c r="L66" s="370">
        <f t="shared" si="43"/>
        <v>-0.18810428428201362</v>
      </c>
      <c r="M66" s="370">
        <f t="shared" si="43"/>
        <v>6.8688096299596504E-2</v>
      </c>
      <c r="N66" s="109">
        <f t="shared" si="43"/>
        <v>8.6270925175995397E-2</v>
      </c>
      <c r="O66" s="109">
        <f t="shared" ref="O66:S66" si="44">LN(O65)</f>
        <v>0.16841273764793799</v>
      </c>
      <c r="P66" s="109">
        <f t="shared" si="44"/>
        <v>1.3624222712513293E-2</v>
      </c>
      <c r="Q66" s="109">
        <f t="shared" si="44"/>
        <v>4.9769001044919527E-2</v>
      </c>
      <c r="R66" s="109">
        <f t="shared" si="44"/>
        <v>1.4009871039235474E-2</v>
      </c>
      <c r="S66" s="109">
        <f t="shared" si="44"/>
        <v>-1.6740783151427324E-2</v>
      </c>
    </row>
    <row r="67" spans="2:20" ht="18.75" customHeight="1" thickBot="1">
      <c r="B67" s="658" t="s">
        <v>590</v>
      </c>
      <c r="C67" s="627"/>
      <c r="D67" s="627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  <c r="R67" s="627"/>
      <c r="S67" s="110">
        <f>AVERAGE($C$66:S66)</f>
        <v>4.2335458847669941E-2</v>
      </c>
    </row>
    <row r="68" spans="2:20" s="25" customFormat="1">
      <c r="B68" s="96"/>
      <c r="C68" s="97"/>
      <c r="D68" s="97"/>
      <c r="E68" s="97"/>
      <c r="F68" s="97"/>
      <c r="G68" s="97"/>
      <c r="H68" s="97"/>
      <c r="I68" s="97"/>
      <c r="L68" s="1"/>
      <c r="M68" s="1"/>
      <c r="N68" s="1"/>
      <c r="O68" s="1"/>
      <c r="P68" s="1"/>
      <c r="Q68" s="1"/>
      <c r="R68" s="1"/>
      <c r="S68" s="1"/>
    </row>
    <row r="69" spans="2:20">
      <c r="C69" s="384"/>
      <c r="D69" s="384"/>
      <c r="E69" s="384"/>
      <c r="F69" s="384"/>
      <c r="G69" s="384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</row>
    <row r="70" spans="2:20"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</row>
  </sheetData>
  <phoneticPr fontId="0" type="noConversion"/>
  <pageMargins left="0.75" right="0.75" top="1" bottom="1" header="0" footer="0"/>
  <pageSetup scale="4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N93"/>
  <sheetViews>
    <sheetView zoomScale="70" zoomScaleNormal="70" workbookViewId="0">
      <pane xSplit="3" ySplit="5" topLeftCell="D6" activePane="bottomRight" state="frozen"/>
      <selection activeCell="F16" sqref="F16"/>
      <selection pane="topRight" activeCell="F16" sqref="F16"/>
      <selection pane="bottomLeft" activeCell="F16" sqref="F16"/>
      <selection pane="bottomRight" activeCell="A7" sqref="A7"/>
    </sheetView>
  </sheetViews>
  <sheetFormatPr baseColWidth="10" defaultColWidth="11.42578125" defaultRowHeight="15"/>
  <cols>
    <col min="1" max="1" width="7.5703125" style="1" customWidth="1"/>
    <col min="2" max="2" width="31" style="93" customWidth="1"/>
    <col min="3" max="3" width="20.42578125" style="2" customWidth="1"/>
    <col min="4" max="4" width="15" style="1" customWidth="1"/>
    <col min="5" max="5" width="11.7109375" style="73" customWidth="1"/>
    <col min="6" max="6" width="15" style="73" customWidth="1"/>
    <col min="7" max="7" width="11.7109375" style="73" customWidth="1"/>
    <col min="8" max="8" width="15" style="73" customWidth="1"/>
    <col min="9" max="9" width="11.7109375" style="73" customWidth="1"/>
    <col min="10" max="10" width="15" style="73" customWidth="1"/>
    <col min="11" max="11" width="11.7109375" style="73" customWidth="1"/>
    <col min="12" max="12" width="15" style="73" customWidth="1"/>
    <col min="13" max="13" width="11.7109375" style="63" customWidth="1"/>
    <col min="14" max="14" width="15" style="63" customWidth="1"/>
    <col min="15" max="15" width="13.140625" style="63" customWidth="1"/>
    <col min="16" max="16" width="15" style="63" customWidth="1"/>
    <col min="17" max="17" width="13.140625" style="63" customWidth="1"/>
    <col min="18" max="18" width="14.7109375" style="63" customWidth="1"/>
    <col min="19" max="19" width="11.42578125" style="1"/>
    <col min="20" max="20" width="15.42578125" style="1" customWidth="1"/>
    <col min="21" max="21" width="11.42578125" style="1"/>
    <col min="22" max="22" width="15.5703125" style="1" customWidth="1"/>
    <col min="23" max="23" width="11.42578125" style="1"/>
    <col min="24" max="24" width="16" style="1" customWidth="1"/>
    <col min="25" max="25" width="11.42578125" style="1"/>
    <col min="26" max="26" width="15.140625" style="1" customWidth="1"/>
    <col min="27" max="27" width="11.42578125" style="1"/>
    <col min="28" max="28" width="15.5703125" style="1" bestFit="1" customWidth="1"/>
    <col min="29" max="29" width="11.42578125" style="1"/>
    <col min="30" max="30" width="15.5703125" style="1" bestFit="1" customWidth="1"/>
    <col min="31" max="31" width="11.42578125" style="1"/>
    <col min="32" max="32" width="14.5703125" style="1" bestFit="1" customWidth="1"/>
    <col min="33" max="33" width="11" style="1" bestFit="1" customWidth="1"/>
    <col min="34" max="34" width="15.5703125" style="1" bestFit="1" customWidth="1"/>
    <col min="35" max="35" width="11.42578125" style="1"/>
    <col min="36" max="36" width="15.140625" style="1" bestFit="1" customWidth="1"/>
    <col min="37" max="16384" width="11.42578125" style="1"/>
  </cols>
  <sheetData>
    <row r="1" spans="1:40" s="68" customForma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3"/>
      <c r="N1" s="63"/>
      <c r="O1" s="63"/>
      <c r="P1" s="63"/>
      <c r="Q1" s="63"/>
      <c r="R1" s="63"/>
      <c r="AB1" s="679"/>
      <c r="AC1" s="679"/>
    </row>
    <row r="2" spans="1:40" s="68" customFormat="1">
      <c r="B2" s="69" t="s">
        <v>359</v>
      </c>
      <c r="C2" s="69"/>
      <c r="D2" s="69"/>
      <c r="E2" s="70"/>
      <c r="F2" s="69"/>
      <c r="G2" s="69"/>
      <c r="H2" s="69"/>
      <c r="I2" s="336"/>
      <c r="J2" s="69"/>
      <c r="K2" s="69"/>
      <c r="L2" s="69"/>
      <c r="M2" s="63"/>
      <c r="N2" s="63"/>
      <c r="O2" s="63"/>
      <c r="P2" s="63"/>
      <c r="Q2" s="63"/>
      <c r="R2" s="63"/>
    </row>
    <row r="3" spans="1:40" s="68" customFormat="1">
      <c r="B3" s="69"/>
      <c r="C3" s="71"/>
      <c r="D3" s="72"/>
      <c r="E3" s="73"/>
      <c r="F3" s="74"/>
      <c r="G3" s="74"/>
      <c r="H3" s="337"/>
      <c r="I3" s="337"/>
      <c r="J3" s="74"/>
      <c r="K3" s="74"/>
      <c r="L3" s="74"/>
      <c r="M3" s="63"/>
      <c r="N3" s="63"/>
      <c r="O3" s="63"/>
      <c r="P3" s="63"/>
      <c r="Q3" s="63"/>
      <c r="R3" s="63"/>
    </row>
    <row r="4" spans="1:40" s="2" customFormat="1">
      <c r="B4" s="818" t="s">
        <v>358</v>
      </c>
      <c r="C4" s="820" t="s">
        <v>7</v>
      </c>
      <c r="D4" s="816">
        <v>2001</v>
      </c>
      <c r="E4" s="817"/>
      <c r="F4" s="816">
        <v>2002</v>
      </c>
      <c r="G4" s="817"/>
      <c r="H4" s="816">
        <v>2003</v>
      </c>
      <c r="I4" s="817"/>
      <c r="J4" s="816">
        <v>2004</v>
      </c>
      <c r="K4" s="817"/>
      <c r="L4" s="816">
        <v>2005</v>
      </c>
      <c r="M4" s="817"/>
      <c r="N4" s="816">
        <v>2006</v>
      </c>
      <c r="O4" s="817"/>
      <c r="P4" s="816">
        <v>2007</v>
      </c>
      <c r="Q4" s="817"/>
      <c r="R4" s="816">
        <v>2008</v>
      </c>
      <c r="S4" s="817"/>
      <c r="T4" s="816">
        <v>2009</v>
      </c>
      <c r="U4" s="817"/>
      <c r="V4" s="816">
        <v>2010</v>
      </c>
      <c r="W4" s="817"/>
      <c r="X4" s="816">
        <v>2011</v>
      </c>
      <c r="Y4" s="817"/>
      <c r="Z4" s="816">
        <v>2012</v>
      </c>
      <c r="AA4" s="817"/>
      <c r="AB4" s="816">
        <v>2013</v>
      </c>
      <c r="AC4" s="817"/>
      <c r="AD4" s="816">
        <v>2014</v>
      </c>
      <c r="AE4" s="817"/>
      <c r="AF4" s="816">
        <v>2015</v>
      </c>
      <c r="AG4" s="817"/>
      <c r="AH4" s="816">
        <v>2016</v>
      </c>
      <c r="AI4" s="817"/>
      <c r="AJ4" s="816">
        <v>2017</v>
      </c>
      <c r="AK4" s="817"/>
    </row>
    <row r="5" spans="1:40" s="77" customFormat="1">
      <c r="B5" s="819"/>
      <c r="C5" s="821"/>
      <c r="D5" s="75" t="s">
        <v>210</v>
      </c>
      <c r="E5" s="76" t="s">
        <v>360</v>
      </c>
      <c r="F5" s="75" t="s">
        <v>210</v>
      </c>
      <c r="G5" s="76" t="s">
        <v>360</v>
      </c>
      <c r="H5" s="75" t="s">
        <v>210</v>
      </c>
      <c r="I5" s="76" t="s">
        <v>360</v>
      </c>
      <c r="J5" s="75" t="s">
        <v>210</v>
      </c>
      <c r="K5" s="76" t="s">
        <v>360</v>
      </c>
      <c r="L5" s="75" t="s">
        <v>210</v>
      </c>
      <c r="M5" s="76" t="s">
        <v>360</v>
      </c>
      <c r="N5" s="75" t="s">
        <v>210</v>
      </c>
      <c r="O5" s="76" t="s">
        <v>360</v>
      </c>
      <c r="P5" s="75" t="s">
        <v>210</v>
      </c>
      <c r="Q5" s="76" t="s">
        <v>360</v>
      </c>
      <c r="R5" s="75" t="s">
        <v>210</v>
      </c>
      <c r="S5" s="76" t="s">
        <v>360</v>
      </c>
      <c r="T5" s="75" t="s">
        <v>210</v>
      </c>
      <c r="U5" s="76" t="s">
        <v>360</v>
      </c>
      <c r="V5" s="75" t="s">
        <v>210</v>
      </c>
      <c r="W5" s="76" t="s">
        <v>360</v>
      </c>
      <c r="X5" s="75" t="s">
        <v>210</v>
      </c>
      <c r="Y5" s="76" t="s">
        <v>360</v>
      </c>
      <c r="Z5" s="75" t="s">
        <v>210</v>
      </c>
      <c r="AA5" s="76" t="s">
        <v>360</v>
      </c>
      <c r="AB5" s="75" t="s">
        <v>210</v>
      </c>
      <c r="AC5" s="76" t="s">
        <v>360</v>
      </c>
      <c r="AD5" s="75" t="s">
        <v>210</v>
      </c>
      <c r="AE5" s="76" t="s">
        <v>360</v>
      </c>
      <c r="AF5" s="75" t="s">
        <v>210</v>
      </c>
      <c r="AG5" s="76" t="s">
        <v>360</v>
      </c>
      <c r="AH5" s="75" t="s">
        <v>210</v>
      </c>
      <c r="AI5" s="76" t="s">
        <v>360</v>
      </c>
      <c r="AJ5" s="75" t="s">
        <v>210</v>
      </c>
      <c r="AK5" s="76" t="s">
        <v>360</v>
      </c>
    </row>
    <row r="6" spans="1:40" s="66" customFormat="1">
      <c r="A6" s="689"/>
      <c r="B6" s="78" t="s">
        <v>59</v>
      </c>
      <c r="C6" s="79" t="s">
        <v>205</v>
      </c>
      <c r="D6" s="80">
        <v>2073247</v>
      </c>
      <c r="E6" s="81">
        <v>25925.089445514917</v>
      </c>
      <c r="F6" s="80">
        <v>2090898</v>
      </c>
      <c r="G6" s="81">
        <v>27421.2533</v>
      </c>
      <c r="H6" s="80">
        <v>2150170</v>
      </c>
      <c r="I6" s="81">
        <v>31601.262949999997</v>
      </c>
      <c r="J6" s="80">
        <v>2386438</v>
      </c>
      <c r="K6" s="81">
        <v>35318.843349999996</v>
      </c>
      <c r="L6" s="80">
        <v>2631825</v>
      </c>
      <c r="M6" s="81">
        <v>39469.561359999992</v>
      </c>
      <c r="N6" s="80">
        <v>2806117</v>
      </c>
      <c r="O6" s="81">
        <v>44649.7408</v>
      </c>
      <c r="P6" s="80">
        <v>3506143</v>
      </c>
      <c r="Q6" s="81">
        <v>54431.388029999995</v>
      </c>
      <c r="R6" s="80">
        <v>3848367</v>
      </c>
      <c r="S6" s="81">
        <v>59700.052731092437</v>
      </c>
      <c r="T6" s="80">
        <v>4022889</v>
      </c>
      <c r="U6" s="81">
        <v>62799.640226890755</v>
      </c>
      <c r="V6" s="80">
        <v>4688545</v>
      </c>
      <c r="W6" s="81">
        <v>70013.504437142867</v>
      </c>
      <c r="X6" s="80">
        <v>5354065.9821856059</v>
      </c>
      <c r="Y6" s="81">
        <v>80023.239057390965</v>
      </c>
      <c r="Z6" s="80">
        <v>6062122.0024999995</v>
      </c>
      <c r="AA6" s="81">
        <v>93078.039251981361</v>
      </c>
      <c r="AB6" s="80">
        <v>6865211.4735000003</v>
      </c>
      <c r="AC6" s="81">
        <v>106622.83754694916</v>
      </c>
      <c r="AD6" s="80">
        <v>7196126.5060000001</v>
      </c>
      <c r="AE6" s="81">
        <v>112401.43157999997</v>
      </c>
      <c r="AF6" s="80">
        <v>7890554.034705298</v>
      </c>
      <c r="AG6" s="81">
        <v>124317.65822000001</v>
      </c>
      <c r="AH6" s="80">
        <v>8629059.3409264125</v>
      </c>
      <c r="AI6" s="81">
        <v>135445.81389949151</v>
      </c>
      <c r="AJ6" s="80">
        <v>9360551.1100729797</v>
      </c>
      <c r="AK6" s="81">
        <v>147502.40178593219</v>
      </c>
      <c r="AM6" s="698"/>
      <c r="AN6" s="698"/>
    </row>
    <row r="7" spans="1:40" s="66" customFormat="1">
      <c r="A7" s="690"/>
      <c r="B7" s="82" t="s">
        <v>54</v>
      </c>
      <c r="C7" s="79" t="s">
        <v>205</v>
      </c>
      <c r="D7" s="80">
        <v>1086791</v>
      </c>
      <c r="E7" s="81">
        <v>23025.234490409948</v>
      </c>
      <c r="F7" s="80">
        <v>1142547</v>
      </c>
      <c r="G7" s="81">
        <v>24206.504140000001</v>
      </c>
      <c r="H7" s="80">
        <v>1163468</v>
      </c>
      <c r="I7" s="81">
        <v>27452.321359999998</v>
      </c>
      <c r="J7" s="80">
        <v>1293180</v>
      </c>
      <c r="K7" s="81">
        <v>30688.574149999997</v>
      </c>
      <c r="L7" s="80">
        <v>1452775</v>
      </c>
      <c r="M7" s="81">
        <v>34475.937829999995</v>
      </c>
      <c r="N7" s="80">
        <v>1494058</v>
      </c>
      <c r="O7" s="81">
        <v>37979.188320000001</v>
      </c>
      <c r="P7" s="80">
        <v>1800049</v>
      </c>
      <c r="Q7" s="81">
        <v>45757.548119999992</v>
      </c>
      <c r="R7" s="80">
        <v>1973572</v>
      </c>
      <c r="S7" s="81">
        <v>50168.531932773112</v>
      </c>
      <c r="T7" s="80">
        <v>2042407</v>
      </c>
      <c r="U7" s="81">
        <v>52966.424579831932</v>
      </c>
      <c r="V7" s="80">
        <v>2126614</v>
      </c>
      <c r="W7" s="81">
        <v>55399.188239495801</v>
      </c>
      <c r="X7" s="80">
        <v>2356231.0024514114</v>
      </c>
      <c r="Y7" s="81">
        <v>61381.639819220982</v>
      </c>
      <c r="Z7" s="80">
        <v>2587509.0029000002</v>
      </c>
      <c r="AA7" s="81">
        <v>67406.802312903383</v>
      </c>
      <c r="AB7" s="80">
        <v>2871852.2780999998</v>
      </c>
      <c r="AC7" s="81">
        <v>74814.176929999987</v>
      </c>
      <c r="AD7" s="80">
        <v>2921130</v>
      </c>
      <c r="AE7" s="81">
        <v>76097.911109999986</v>
      </c>
      <c r="AF7" s="80">
        <v>3120505.9737296877</v>
      </c>
      <c r="AG7" s="81">
        <v>81291.824710000015</v>
      </c>
      <c r="AH7" s="80">
        <v>3373695.6978886751</v>
      </c>
      <c r="AI7" s="81">
        <v>87884.772929999992</v>
      </c>
      <c r="AJ7" s="80">
        <v>3627592.9537850935</v>
      </c>
      <c r="AK7" s="81">
        <v>94498.796446101696</v>
      </c>
      <c r="AM7" s="698"/>
      <c r="AN7" s="698"/>
    </row>
    <row r="8" spans="1:40" s="66" customFormat="1">
      <c r="A8" s="690"/>
      <c r="B8" s="82" t="s">
        <v>55</v>
      </c>
      <c r="C8" s="79" t="s">
        <v>205</v>
      </c>
      <c r="D8" s="80">
        <v>986456</v>
      </c>
      <c r="E8" s="81">
        <v>2899.8549551049705</v>
      </c>
      <c r="F8" s="80">
        <v>948351</v>
      </c>
      <c r="G8" s="81">
        <v>3214.7491599999998</v>
      </c>
      <c r="H8" s="80">
        <v>986702</v>
      </c>
      <c r="I8" s="81">
        <v>4148.9415900000004</v>
      </c>
      <c r="J8" s="80">
        <v>1093258</v>
      </c>
      <c r="K8" s="81">
        <v>4630.2692000000006</v>
      </c>
      <c r="L8" s="80">
        <v>1179050</v>
      </c>
      <c r="M8" s="81">
        <v>4993.6235299999998</v>
      </c>
      <c r="N8" s="80">
        <v>1312059</v>
      </c>
      <c r="O8" s="81">
        <v>6670.5524800000003</v>
      </c>
      <c r="P8" s="80">
        <v>1706094</v>
      </c>
      <c r="Q8" s="81">
        <v>8673.8399100000006</v>
      </c>
      <c r="R8" s="80">
        <v>1874795</v>
      </c>
      <c r="S8" s="81">
        <v>9531.5207983193286</v>
      </c>
      <c r="T8" s="80">
        <v>1980482</v>
      </c>
      <c r="U8" s="81">
        <v>9833.2156470588216</v>
      </c>
      <c r="V8" s="80">
        <v>2561931</v>
      </c>
      <c r="W8" s="81">
        <v>14614.316197647066</v>
      </c>
      <c r="X8" s="80">
        <v>2997834.9797341949</v>
      </c>
      <c r="Y8" s="81">
        <v>18641.599238169983</v>
      </c>
      <c r="Z8" s="80">
        <v>3474612.9995999997</v>
      </c>
      <c r="AA8" s="81">
        <v>25671.236939077971</v>
      </c>
      <c r="AB8" s="80">
        <v>3993359.1954000001</v>
      </c>
      <c r="AC8" s="81">
        <v>31808.660616949164</v>
      </c>
      <c r="AD8" s="80">
        <v>4274996.5060000001</v>
      </c>
      <c r="AE8" s="81">
        <v>36303.520469999996</v>
      </c>
      <c r="AF8" s="80">
        <v>4770048.0609756103</v>
      </c>
      <c r="AG8" s="81">
        <v>43025.833510000004</v>
      </c>
      <c r="AH8" s="80">
        <v>5255363.6430377373</v>
      </c>
      <c r="AI8" s="81">
        <v>47561.040969491522</v>
      </c>
      <c r="AJ8" s="80">
        <v>5732958.1562878862</v>
      </c>
      <c r="AK8" s="81">
        <v>53003.605339830508</v>
      </c>
      <c r="AM8" s="698"/>
      <c r="AN8" s="698"/>
    </row>
    <row r="9" spans="1:40" s="66" customFormat="1">
      <c r="A9" s="690"/>
      <c r="B9" s="82" t="s">
        <v>587</v>
      </c>
      <c r="C9" s="79" t="s">
        <v>205</v>
      </c>
      <c r="D9" s="80"/>
      <c r="E9" s="81"/>
      <c r="F9" s="80"/>
      <c r="G9" s="81"/>
      <c r="H9" s="80"/>
      <c r="I9" s="81"/>
      <c r="J9" s="80"/>
      <c r="K9" s="81"/>
      <c r="L9" s="80"/>
      <c r="M9" s="81"/>
      <c r="N9" s="80"/>
      <c r="O9" s="81"/>
      <c r="P9" s="80"/>
      <c r="Q9" s="81"/>
      <c r="R9" s="80"/>
      <c r="S9" s="81"/>
      <c r="T9" s="80"/>
      <c r="U9" s="81"/>
      <c r="V9" s="80"/>
      <c r="W9" s="81"/>
      <c r="X9" s="80"/>
      <c r="Y9" s="81"/>
      <c r="Z9" s="80"/>
      <c r="AA9" s="81"/>
      <c r="AB9" s="80">
        <v>0</v>
      </c>
      <c r="AC9" s="81">
        <v>0</v>
      </c>
      <c r="AD9" s="80">
        <v>0</v>
      </c>
      <c r="AE9" s="81">
        <v>0</v>
      </c>
      <c r="AF9" s="80">
        <v>0</v>
      </c>
      <c r="AG9" s="81">
        <v>0</v>
      </c>
      <c r="AH9" s="80">
        <v>0</v>
      </c>
      <c r="AI9" s="81">
        <v>0</v>
      </c>
      <c r="AJ9" s="80">
        <v>0</v>
      </c>
      <c r="AK9" s="81">
        <v>0</v>
      </c>
      <c r="AM9" s="698"/>
      <c r="AN9" s="698"/>
    </row>
    <row r="10" spans="1:40" s="66" customFormat="1">
      <c r="A10" s="689"/>
      <c r="B10" s="78" t="s">
        <v>393</v>
      </c>
      <c r="C10" s="79" t="s">
        <v>203</v>
      </c>
      <c r="D10" s="80">
        <v>72161.5</v>
      </c>
      <c r="E10" s="81">
        <v>11971.920204917455</v>
      </c>
      <c r="F10" s="80">
        <v>71024</v>
      </c>
      <c r="G10" s="81">
        <v>12182.768859999998</v>
      </c>
      <c r="H10" s="80">
        <v>70268</v>
      </c>
      <c r="I10" s="81">
        <v>12335.495869999999</v>
      </c>
      <c r="J10" s="80">
        <v>72403</v>
      </c>
      <c r="K10" s="81">
        <v>13502.48468</v>
      </c>
      <c r="L10" s="80">
        <v>73323</v>
      </c>
      <c r="M10" s="81">
        <v>16180.39929000001</v>
      </c>
      <c r="N10" s="80">
        <v>78501</v>
      </c>
      <c r="O10" s="81">
        <v>17391.958600000224</v>
      </c>
      <c r="P10" s="80">
        <v>92853</v>
      </c>
      <c r="Q10" s="81">
        <v>19195.40734999999</v>
      </c>
      <c r="R10" s="80">
        <v>98731</v>
      </c>
      <c r="S10" s="81">
        <v>20925.304459999978</v>
      </c>
      <c r="T10" s="80">
        <v>104949</v>
      </c>
      <c r="U10" s="81">
        <v>22838.761939999978</v>
      </c>
      <c r="V10" s="80">
        <v>120471</v>
      </c>
      <c r="W10" s="81">
        <v>26008.060110000013</v>
      </c>
      <c r="X10" s="80">
        <v>134830</v>
      </c>
      <c r="Y10" s="81">
        <v>28471.17225000008</v>
      </c>
      <c r="Z10" s="80">
        <v>148272</v>
      </c>
      <c r="AA10" s="81">
        <v>30779.655909998979</v>
      </c>
      <c r="AB10" s="80">
        <v>153092</v>
      </c>
      <c r="AC10" s="81">
        <v>33804.43286999999</v>
      </c>
      <c r="AD10" s="80">
        <v>155092</v>
      </c>
      <c r="AE10" s="81">
        <v>33916.044289999991</v>
      </c>
      <c r="AF10" s="80">
        <v>166373</v>
      </c>
      <c r="AG10" s="81">
        <v>36570.528440000002</v>
      </c>
      <c r="AH10" s="80">
        <v>176851</v>
      </c>
      <c r="AI10" s="81">
        <v>39787.467259999998</v>
      </c>
      <c r="AJ10" s="80">
        <v>186818</v>
      </c>
      <c r="AK10" s="81">
        <v>41181.584029999998</v>
      </c>
      <c r="AM10" s="698"/>
      <c r="AN10" s="698"/>
    </row>
    <row r="11" spans="1:40" s="66" customFormat="1">
      <c r="A11" s="689"/>
      <c r="B11" s="78" t="s">
        <v>303</v>
      </c>
      <c r="C11" s="79" t="s">
        <v>203</v>
      </c>
      <c r="D11" s="80"/>
      <c r="E11" s="81"/>
      <c r="F11" s="80"/>
      <c r="G11" s="81"/>
      <c r="H11" s="80"/>
      <c r="I11" s="81"/>
      <c r="J11" s="80"/>
      <c r="K11" s="81"/>
      <c r="L11" s="80"/>
      <c r="M11" s="81"/>
      <c r="N11" s="80"/>
      <c r="O11" s="81"/>
      <c r="P11" s="80"/>
      <c r="Q11" s="81"/>
      <c r="R11" s="80"/>
      <c r="S11" s="81"/>
      <c r="T11" s="80"/>
      <c r="U11" s="81"/>
      <c r="V11" s="80"/>
      <c r="W11" s="81"/>
      <c r="X11" s="80"/>
      <c r="Y11" s="81"/>
      <c r="Z11" s="80"/>
      <c r="AA11" s="81"/>
      <c r="AB11" s="80"/>
      <c r="AC11" s="81"/>
      <c r="AD11" s="80"/>
      <c r="AE11" s="81"/>
      <c r="AF11" s="80"/>
      <c r="AG11" s="81"/>
      <c r="AH11" s="80"/>
      <c r="AI11" s="81"/>
      <c r="AJ11" s="80"/>
      <c r="AK11" s="81"/>
      <c r="AM11" s="698"/>
      <c r="AN11" s="698"/>
    </row>
    <row r="12" spans="1:40" s="66" customFormat="1">
      <c r="A12" s="691"/>
      <c r="B12" s="83" t="s">
        <v>211</v>
      </c>
      <c r="C12" s="79" t="s">
        <v>203</v>
      </c>
      <c r="D12" s="80"/>
      <c r="E12" s="81"/>
      <c r="F12" s="80"/>
      <c r="G12" s="81"/>
      <c r="H12" s="80"/>
      <c r="I12" s="81"/>
      <c r="J12" s="80"/>
      <c r="K12" s="81"/>
      <c r="L12" s="80"/>
      <c r="M12" s="81"/>
      <c r="N12" s="80"/>
      <c r="O12" s="81"/>
      <c r="P12" s="80"/>
      <c r="Q12" s="81"/>
      <c r="R12" s="80"/>
      <c r="S12" s="81"/>
      <c r="T12" s="80"/>
      <c r="U12" s="81"/>
      <c r="V12" s="80"/>
      <c r="W12" s="81"/>
      <c r="X12" s="80"/>
      <c r="Y12" s="81"/>
      <c r="Z12" s="80"/>
      <c r="AA12" s="81"/>
      <c r="AB12" s="80"/>
      <c r="AC12" s="81"/>
      <c r="AD12" s="80"/>
      <c r="AE12" s="81"/>
      <c r="AF12" s="80"/>
      <c r="AG12" s="81"/>
      <c r="AH12" s="80"/>
      <c r="AI12" s="81"/>
      <c r="AJ12" s="80"/>
      <c r="AK12" s="81"/>
      <c r="AM12" s="698"/>
      <c r="AN12" s="698"/>
    </row>
    <row r="13" spans="1:40" s="66" customFormat="1">
      <c r="A13" s="691"/>
      <c r="B13" s="83" t="s">
        <v>296</v>
      </c>
      <c r="C13" s="79" t="s">
        <v>203</v>
      </c>
      <c r="D13" s="80">
        <v>7157.1518139251584</v>
      </c>
      <c r="E13" s="81">
        <v>2120.209858386921</v>
      </c>
      <c r="F13" s="80">
        <v>5921</v>
      </c>
      <c r="G13" s="81">
        <v>1817.3455599999988</v>
      </c>
      <c r="H13" s="80">
        <v>5640</v>
      </c>
      <c r="I13" s="81">
        <v>1902.0603499999991</v>
      </c>
      <c r="J13" s="80">
        <v>6107</v>
      </c>
      <c r="K13" s="81">
        <v>2125.3027200000001</v>
      </c>
      <c r="L13" s="80">
        <v>6297</v>
      </c>
      <c r="M13" s="81">
        <v>2444.6645400000007</v>
      </c>
      <c r="N13" s="80">
        <v>5682</v>
      </c>
      <c r="O13" s="81">
        <v>2128.9554100000205</v>
      </c>
      <c r="P13" s="80">
        <v>7674</v>
      </c>
      <c r="Q13" s="81">
        <v>2770.4229299999988</v>
      </c>
      <c r="R13" s="80">
        <v>9658</v>
      </c>
      <c r="S13" s="81">
        <v>3436.2910399999992</v>
      </c>
      <c r="T13" s="80">
        <v>10692</v>
      </c>
      <c r="U13" s="81">
        <v>3648.1985499999937</v>
      </c>
      <c r="V13" s="80">
        <v>11238</v>
      </c>
      <c r="W13" s="81">
        <v>4064.481540000007</v>
      </c>
      <c r="X13" s="80">
        <v>13403</v>
      </c>
      <c r="Y13" s="81">
        <v>4629.657340000017</v>
      </c>
      <c r="Z13" s="80">
        <v>14873</v>
      </c>
      <c r="AA13" s="81">
        <v>5280.6707599998481</v>
      </c>
      <c r="AB13" s="80">
        <v>13784</v>
      </c>
      <c r="AC13" s="81">
        <v>5421.6118800000004</v>
      </c>
      <c r="AD13" s="80">
        <v>13826</v>
      </c>
      <c r="AE13" s="81">
        <v>5071.7153499999986</v>
      </c>
      <c r="AF13" s="80">
        <v>14532</v>
      </c>
      <c r="AG13" s="81">
        <v>5766.3921899999987</v>
      </c>
      <c r="AH13" s="80">
        <v>15711</v>
      </c>
      <c r="AI13" s="81">
        <v>6204.9067499999983</v>
      </c>
      <c r="AJ13" s="80">
        <v>17235</v>
      </c>
      <c r="AK13" s="81">
        <v>6609.1764399999975</v>
      </c>
      <c r="AM13" s="698"/>
      <c r="AN13" s="698"/>
    </row>
    <row r="14" spans="1:40" s="66" customFormat="1">
      <c r="A14" s="692"/>
      <c r="B14" s="84" t="s">
        <v>297</v>
      </c>
      <c r="C14" s="79" t="s">
        <v>203</v>
      </c>
      <c r="D14" s="80">
        <v>390.03861966576574</v>
      </c>
      <c r="E14" s="81">
        <v>5.2505940776965021</v>
      </c>
      <c r="F14" s="80">
        <v>320</v>
      </c>
      <c r="G14" s="81">
        <v>4.2034799999999999</v>
      </c>
      <c r="H14" s="80">
        <v>353</v>
      </c>
      <c r="I14" s="81">
        <v>4.6426099999999995</v>
      </c>
      <c r="J14" s="80">
        <v>288</v>
      </c>
      <c r="K14" s="81">
        <v>4.6180600000000007</v>
      </c>
      <c r="L14" s="80">
        <v>295</v>
      </c>
      <c r="M14" s="81">
        <v>4.6705200000000007</v>
      </c>
      <c r="N14" s="80">
        <v>347</v>
      </c>
      <c r="O14" s="81">
        <v>5.1732399999999998</v>
      </c>
      <c r="P14" s="80">
        <v>384</v>
      </c>
      <c r="Q14" s="81">
        <v>6.5279999999999996</v>
      </c>
      <c r="R14" s="80">
        <v>463</v>
      </c>
      <c r="S14" s="81">
        <v>7.8710000000000004</v>
      </c>
      <c r="T14" s="80">
        <v>508</v>
      </c>
      <c r="U14" s="81">
        <v>8.6817200000000003</v>
      </c>
      <c r="V14" s="80">
        <v>551</v>
      </c>
      <c r="W14" s="81">
        <v>9.6271299999999975</v>
      </c>
      <c r="X14" s="80">
        <v>497</v>
      </c>
      <c r="Y14" s="81">
        <v>8.7621099999999981</v>
      </c>
      <c r="Z14" s="80">
        <v>560</v>
      </c>
      <c r="AA14" s="81">
        <v>9.9176799999999634</v>
      </c>
      <c r="AB14" s="80">
        <v>436</v>
      </c>
      <c r="AC14" s="81">
        <v>7.6866800000000088</v>
      </c>
      <c r="AD14" s="80">
        <v>549</v>
      </c>
      <c r="AE14" s="81">
        <v>9.6436100000000007</v>
      </c>
      <c r="AF14" s="80">
        <v>411</v>
      </c>
      <c r="AG14" s="81">
        <v>7.245930000000004</v>
      </c>
      <c r="AH14" s="80">
        <v>369</v>
      </c>
      <c r="AI14" s="81">
        <v>6.505470000000007</v>
      </c>
      <c r="AJ14" s="80">
        <v>398</v>
      </c>
      <c r="AK14" s="81">
        <v>7.0747500000000061</v>
      </c>
      <c r="AM14" s="698"/>
      <c r="AN14" s="698"/>
    </row>
    <row r="15" spans="1:40" s="66" customFormat="1">
      <c r="A15" s="692"/>
      <c r="B15" s="84" t="s">
        <v>298</v>
      </c>
      <c r="C15" s="79" t="s">
        <v>203</v>
      </c>
      <c r="D15" s="80">
        <v>228.56490540180442</v>
      </c>
      <c r="E15" s="81">
        <v>9.7825322511420207</v>
      </c>
      <c r="F15" s="80">
        <v>292</v>
      </c>
      <c r="G15" s="81">
        <v>14.64199</v>
      </c>
      <c r="H15" s="80">
        <v>265</v>
      </c>
      <c r="I15" s="81">
        <v>12.961020000000001</v>
      </c>
      <c r="J15" s="80">
        <v>232</v>
      </c>
      <c r="K15" s="81">
        <v>10.70687</v>
      </c>
      <c r="L15" s="80">
        <v>204</v>
      </c>
      <c r="M15" s="81">
        <v>7.8685900000000002</v>
      </c>
      <c r="N15" s="80">
        <v>185</v>
      </c>
      <c r="O15" s="81">
        <v>6.6968300000000003</v>
      </c>
      <c r="P15" s="80">
        <v>179</v>
      </c>
      <c r="Q15" s="81">
        <v>8.2398500000000006</v>
      </c>
      <c r="R15" s="80">
        <v>198</v>
      </c>
      <c r="S15" s="81">
        <v>9.5027399999999993</v>
      </c>
      <c r="T15" s="80">
        <v>185</v>
      </c>
      <c r="U15" s="81">
        <v>8.00685</v>
      </c>
      <c r="V15" s="80">
        <v>267</v>
      </c>
      <c r="W15" s="81">
        <v>12.342420000000002</v>
      </c>
      <c r="X15" s="80">
        <v>267</v>
      </c>
      <c r="Y15" s="81">
        <v>12.16032</v>
      </c>
      <c r="Z15" s="80">
        <v>340</v>
      </c>
      <c r="AA15" s="81">
        <v>15.321419999999989</v>
      </c>
      <c r="AB15" s="80">
        <v>328</v>
      </c>
      <c r="AC15" s="81">
        <v>15.33567</v>
      </c>
      <c r="AD15" s="80">
        <v>327</v>
      </c>
      <c r="AE15" s="81">
        <v>16.114439999999991</v>
      </c>
      <c r="AF15" s="80">
        <v>323</v>
      </c>
      <c r="AG15" s="81">
        <v>15.369109999999999</v>
      </c>
      <c r="AH15" s="80">
        <v>355</v>
      </c>
      <c r="AI15" s="81">
        <v>16.552209999999995</v>
      </c>
      <c r="AJ15" s="80">
        <v>275</v>
      </c>
      <c r="AK15" s="81">
        <v>12.801469999999991</v>
      </c>
      <c r="AM15" s="698"/>
      <c r="AN15" s="698"/>
    </row>
    <row r="16" spans="1:40" s="66" customFormat="1">
      <c r="A16" s="692"/>
      <c r="B16" s="84" t="s">
        <v>299</v>
      </c>
      <c r="C16" s="79" t="s">
        <v>203</v>
      </c>
      <c r="D16" s="80">
        <v>376.39295367162816</v>
      </c>
      <c r="E16" s="81">
        <v>53.029932000162134</v>
      </c>
      <c r="F16" s="80">
        <v>329</v>
      </c>
      <c r="G16" s="81">
        <v>46.387529999999998</v>
      </c>
      <c r="H16" s="80">
        <v>277</v>
      </c>
      <c r="I16" s="81">
        <v>40.197129999999994</v>
      </c>
      <c r="J16" s="80">
        <v>209</v>
      </c>
      <c r="K16" s="81">
        <v>30.33475</v>
      </c>
      <c r="L16" s="80">
        <v>63</v>
      </c>
      <c r="M16" s="81">
        <v>8.4519799999999989</v>
      </c>
      <c r="N16" s="80">
        <v>320</v>
      </c>
      <c r="O16" s="81">
        <v>55.568289999999898</v>
      </c>
      <c r="P16" s="80">
        <v>744</v>
      </c>
      <c r="Q16" s="81">
        <v>140.52151000000001</v>
      </c>
      <c r="R16" s="80">
        <v>1312</v>
      </c>
      <c r="S16" s="81">
        <v>221.24713000000006</v>
      </c>
      <c r="T16" s="80">
        <v>2059</v>
      </c>
      <c r="U16" s="81">
        <v>372.22592999999972</v>
      </c>
      <c r="V16" s="80">
        <v>1669</v>
      </c>
      <c r="W16" s="81">
        <v>343.22402999999969</v>
      </c>
      <c r="X16" s="80">
        <v>2870</v>
      </c>
      <c r="Y16" s="81">
        <v>585.27923000000112</v>
      </c>
      <c r="Z16" s="80">
        <v>3038</v>
      </c>
      <c r="AA16" s="81">
        <v>621.83708000000399</v>
      </c>
      <c r="AB16" s="80">
        <v>2857</v>
      </c>
      <c r="AC16" s="81">
        <v>577.71112000000016</v>
      </c>
      <c r="AD16" s="80">
        <v>2617</v>
      </c>
      <c r="AE16" s="81">
        <v>525.55842000000018</v>
      </c>
      <c r="AF16" s="80">
        <v>2785</v>
      </c>
      <c r="AG16" s="81">
        <v>558.05301000000043</v>
      </c>
      <c r="AH16" s="80">
        <v>3427</v>
      </c>
      <c r="AI16" s="81">
        <v>692.99018000000001</v>
      </c>
      <c r="AJ16" s="80">
        <v>3250</v>
      </c>
      <c r="AK16" s="81">
        <v>648.41340999999977</v>
      </c>
      <c r="AM16" s="698"/>
      <c r="AN16" s="698"/>
    </row>
    <row r="17" spans="1:40" s="66" customFormat="1">
      <c r="A17" s="692"/>
      <c r="B17" s="84" t="s">
        <v>300</v>
      </c>
      <c r="C17" s="79" t="s">
        <v>203</v>
      </c>
      <c r="D17" s="80">
        <v>3912.8947238189503</v>
      </c>
      <c r="E17" s="81">
        <v>814.26890035615997</v>
      </c>
      <c r="F17" s="80">
        <v>2833</v>
      </c>
      <c r="G17" s="81">
        <v>594.40834999999902</v>
      </c>
      <c r="H17" s="80">
        <v>2311</v>
      </c>
      <c r="I17" s="81">
        <v>479.50331999999901</v>
      </c>
      <c r="J17" s="80">
        <v>2707</v>
      </c>
      <c r="K17" s="81">
        <v>565.75952000000007</v>
      </c>
      <c r="L17" s="80">
        <v>2379</v>
      </c>
      <c r="M17" s="81">
        <v>517.15173000000095</v>
      </c>
      <c r="N17" s="80">
        <v>2213</v>
      </c>
      <c r="O17" s="81">
        <v>474.30596000000673</v>
      </c>
      <c r="P17" s="80">
        <v>3361</v>
      </c>
      <c r="Q17" s="81">
        <v>781.19176999999866</v>
      </c>
      <c r="R17" s="80">
        <v>4337</v>
      </c>
      <c r="S17" s="81">
        <v>1010.1649099999991</v>
      </c>
      <c r="T17" s="80">
        <v>4835</v>
      </c>
      <c r="U17" s="81">
        <v>1141.644559999994</v>
      </c>
      <c r="V17" s="80">
        <v>5439</v>
      </c>
      <c r="W17" s="81">
        <v>1322.5600800000079</v>
      </c>
      <c r="X17" s="80">
        <v>6247</v>
      </c>
      <c r="Y17" s="81">
        <v>1534.9534500000138</v>
      </c>
      <c r="Z17" s="80">
        <v>6637</v>
      </c>
      <c r="AA17" s="81">
        <v>1654.758789999913</v>
      </c>
      <c r="AB17" s="80">
        <v>5388</v>
      </c>
      <c r="AC17" s="81">
        <v>1336.2587299999982</v>
      </c>
      <c r="AD17" s="80">
        <v>6020</v>
      </c>
      <c r="AE17" s="81">
        <v>1496.5263599999973</v>
      </c>
      <c r="AF17" s="80">
        <v>5902</v>
      </c>
      <c r="AG17" s="81">
        <v>1468.1546299999973</v>
      </c>
      <c r="AH17" s="80">
        <v>6352</v>
      </c>
      <c r="AI17" s="81">
        <v>1581.6085299999975</v>
      </c>
      <c r="AJ17" s="80">
        <v>8384</v>
      </c>
      <c r="AK17" s="81">
        <v>2092.807449999998</v>
      </c>
      <c r="AM17" s="698"/>
      <c r="AN17" s="698"/>
    </row>
    <row r="18" spans="1:40" s="66" customFormat="1">
      <c r="A18" s="692"/>
      <c r="B18" s="84" t="s">
        <v>301</v>
      </c>
      <c r="C18" s="79" t="s">
        <v>203</v>
      </c>
      <c r="D18" s="80">
        <v>2249.2606113670104</v>
      </c>
      <c r="E18" s="81">
        <v>1237.8778997017603</v>
      </c>
      <c r="F18" s="80">
        <v>2147</v>
      </c>
      <c r="G18" s="81">
        <v>1157.7042099999999</v>
      </c>
      <c r="H18" s="80">
        <v>2434</v>
      </c>
      <c r="I18" s="81">
        <v>1364.7562700000001</v>
      </c>
      <c r="J18" s="80">
        <v>2671</v>
      </c>
      <c r="K18" s="81">
        <v>1513.8835200000001</v>
      </c>
      <c r="L18" s="80">
        <v>3356</v>
      </c>
      <c r="M18" s="81">
        <v>1906.52172</v>
      </c>
      <c r="N18" s="80">
        <v>2617</v>
      </c>
      <c r="O18" s="81">
        <v>1587.2110900000139</v>
      </c>
      <c r="P18" s="80">
        <v>3006</v>
      </c>
      <c r="Q18" s="81">
        <v>1833.9418000000001</v>
      </c>
      <c r="R18" s="80">
        <v>3348</v>
      </c>
      <c r="S18" s="81">
        <v>2187.5052599999999</v>
      </c>
      <c r="T18" s="80">
        <v>3105</v>
      </c>
      <c r="U18" s="81">
        <v>2117.63949</v>
      </c>
      <c r="V18" s="80">
        <v>3312</v>
      </c>
      <c r="W18" s="81">
        <v>2376.7278799999995</v>
      </c>
      <c r="X18" s="80">
        <v>3522</v>
      </c>
      <c r="Y18" s="81">
        <v>2488.5022300000019</v>
      </c>
      <c r="Z18" s="80">
        <v>4298</v>
      </c>
      <c r="AA18" s="81">
        <v>2978.8357899999305</v>
      </c>
      <c r="AB18" s="80">
        <v>4775</v>
      </c>
      <c r="AC18" s="81">
        <v>3484.6196800000016</v>
      </c>
      <c r="AD18" s="80">
        <v>4313</v>
      </c>
      <c r="AE18" s="81">
        <v>3023.8725200000008</v>
      </c>
      <c r="AF18" s="80">
        <v>5111</v>
      </c>
      <c r="AG18" s="81">
        <v>3717.5695100000007</v>
      </c>
      <c r="AH18" s="80">
        <v>5208</v>
      </c>
      <c r="AI18" s="81">
        <v>3907.2503600000009</v>
      </c>
      <c r="AJ18" s="80">
        <v>4928</v>
      </c>
      <c r="AK18" s="81">
        <v>3848.0793599999993</v>
      </c>
      <c r="AM18" s="698"/>
      <c r="AN18" s="698"/>
    </row>
    <row r="19" spans="1:40" s="66" customFormat="1">
      <c r="A19" s="691"/>
      <c r="B19" s="83" t="s">
        <v>302</v>
      </c>
      <c r="C19" s="79" t="s">
        <v>203</v>
      </c>
      <c r="D19" s="80">
        <v>7737.0926186760053</v>
      </c>
      <c r="E19" s="81">
        <v>3342.53278146095</v>
      </c>
      <c r="F19" s="80">
        <v>8916</v>
      </c>
      <c r="G19" s="81">
        <v>3787.3797300000024</v>
      </c>
      <c r="H19" s="80">
        <v>8674</v>
      </c>
      <c r="I19" s="81">
        <v>3701.5182700000009</v>
      </c>
      <c r="J19" s="80">
        <v>9500</v>
      </c>
      <c r="K19" s="81">
        <v>4243.975840000001</v>
      </c>
      <c r="L19" s="80">
        <v>10057</v>
      </c>
      <c r="M19" s="81">
        <v>4875.5595000000003</v>
      </c>
      <c r="N19" s="80">
        <v>10750</v>
      </c>
      <c r="O19" s="81">
        <v>5031.8416000000943</v>
      </c>
      <c r="P19" s="80">
        <v>12222</v>
      </c>
      <c r="Q19" s="81">
        <v>5413.4154199999994</v>
      </c>
      <c r="R19" s="80">
        <v>12547</v>
      </c>
      <c r="S19" s="81">
        <v>5508.6363499999861</v>
      </c>
      <c r="T19" s="80">
        <v>12890</v>
      </c>
      <c r="U19" s="81">
        <v>6106.0103699999827</v>
      </c>
      <c r="V19" s="80">
        <v>13686</v>
      </c>
      <c r="W19" s="81">
        <v>6791.6675100000084</v>
      </c>
      <c r="X19" s="80">
        <v>15014</v>
      </c>
      <c r="Y19" s="81">
        <v>7123.3865600000299</v>
      </c>
      <c r="Z19" s="80">
        <v>15658</v>
      </c>
      <c r="AA19" s="81">
        <v>7351.1136499996983</v>
      </c>
      <c r="AB19" s="80">
        <v>17232</v>
      </c>
      <c r="AC19" s="81">
        <v>8302.2301099999913</v>
      </c>
      <c r="AD19" s="80">
        <v>18702</v>
      </c>
      <c r="AE19" s="81">
        <v>8636.5461599999981</v>
      </c>
      <c r="AF19" s="80">
        <v>19070</v>
      </c>
      <c r="AG19" s="81">
        <v>8857.2161199999973</v>
      </c>
      <c r="AH19" s="80">
        <v>20368</v>
      </c>
      <c r="AI19" s="81">
        <v>9652.2037199999941</v>
      </c>
      <c r="AJ19" s="80">
        <v>21813</v>
      </c>
      <c r="AK19" s="81">
        <v>9756.8764599999959</v>
      </c>
      <c r="AM19" s="698"/>
      <c r="AN19" s="698"/>
    </row>
    <row r="20" spans="1:40" s="66" customFormat="1">
      <c r="A20" s="690"/>
      <c r="B20" s="82" t="s">
        <v>297</v>
      </c>
      <c r="C20" s="79" t="s">
        <v>203</v>
      </c>
      <c r="D20" s="80">
        <v>89.833967794739053</v>
      </c>
      <c r="E20" s="81">
        <v>1.3843467077893499</v>
      </c>
      <c r="F20" s="80">
        <v>114</v>
      </c>
      <c r="G20" s="81">
        <v>1.7180899999999999</v>
      </c>
      <c r="H20" s="80">
        <v>85</v>
      </c>
      <c r="I20" s="81">
        <v>1.3428499999999999</v>
      </c>
      <c r="J20" s="80">
        <v>99</v>
      </c>
      <c r="K20" s="81">
        <v>1.8023399999999998</v>
      </c>
      <c r="L20" s="80">
        <v>82</v>
      </c>
      <c r="M20" s="81">
        <v>1.50437</v>
      </c>
      <c r="N20" s="80">
        <v>78</v>
      </c>
      <c r="O20" s="81">
        <v>1.3307400000000003</v>
      </c>
      <c r="P20" s="80">
        <v>102</v>
      </c>
      <c r="Q20" s="81">
        <v>1.9941</v>
      </c>
      <c r="R20" s="80">
        <v>112</v>
      </c>
      <c r="S20" s="81">
        <v>2.1896</v>
      </c>
      <c r="T20" s="80">
        <v>81</v>
      </c>
      <c r="U20" s="81">
        <v>1.5916499999999998</v>
      </c>
      <c r="V20" s="80">
        <v>110</v>
      </c>
      <c r="W20" s="81">
        <v>2.2103800000000002</v>
      </c>
      <c r="X20" s="80">
        <v>119</v>
      </c>
      <c r="Y20" s="81">
        <v>2.4121299999999994</v>
      </c>
      <c r="Z20" s="80">
        <v>119</v>
      </c>
      <c r="AA20" s="81">
        <v>2.4121299999999981</v>
      </c>
      <c r="AB20" s="80">
        <v>121</v>
      </c>
      <c r="AC20" s="81">
        <v>2.4526699999999981</v>
      </c>
      <c r="AD20" s="80">
        <v>105</v>
      </c>
      <c r="AE20" s="81">
        <v>2.1283499999999989</v>
      </c>
      <c r="AF20" s="80">
        <v>78</v>
      </c>
      <c r="AG20" s="81">
        <v>1.581059999999999</v>
      </c>
      <c r="AH20" s="80">
        <v>79</v>
      </c>
      <c r="AI20" s="81">
        <v>1.5888799999999994</v>
      </c>
      <c r="AJ20" s="80">
        <v>68</v>
      </c>
      <c r="AK20" s="81">
        <v>1.3783599999999994</v>
      </c>
      <c r="AM20" s="698"/>
      <c r="AN20" s="698"/>
    </row>
    <row r="21" spans="1:40" s="66" customFormat="1">
      <c r="A21" s="690"/>
      <c r="B21" s="82" t="s">
        <v>298</v>
      </c>
      <c r="C21" s="79" t="s">
        <v>203</v>
      </c>
      <c r="D21" s="80">
        <v>110.30246678594541</v>
      </c>
      <c r="E21" s="81">
        <v>5.6638949592624295</v>
      </c>
      <c r="F21" s="80">
        <v>122</v>
      </c>
      <c r="G21" s="81">
        <v>5.92537</v>
      </c>
      <c r="H21" s="80">
        <v>204</v>
      </c>
      <c r="I21" s="81">
        <v>12.437520000000001</v>
      </c>
      <c r="J21" s="80">
        <v>144</v>
      </c>
      <c r="K21" s="81">
        <v>7.8072299999999997</v>
      </c>
      <c r="L21" s="80">
        <v>71</v>
      </c>
      <c r="M21" s="81">
        <v>3.5570500000000003</v>
      </c>
      <c r="N21" s="80">
        <v>125</v>
      </c>
      <c r="O21" s="81">
        <v>5.5416200000000009</v>
      </c>
      <c r="P21" s="80">
        <v>112</v>
      </c>
      <c r="Q21" s="81">
        <v>5.6448400000000003</v>
      </c>
      <c r="R21" s="80">
        <v>142</v>
      </c>
      <c r="S21" s="81">
        <v>6.7145300000000008</v>
      </c>
      <c r="T21" s="80">
        <v>131</v>
      </c>
      <c r="U21" s="81">
        <v>6.65097</v>
      </c>
      <c r="V21" s="80">
        <v>153</v>
      </c>
      <c r="W21" s="81">
        <v>7.8648400000000018</v>
      </c>
      <c r="X21" s="80">
        <v>182</v>
      </c>
      <c r="Y21" s="81">
        <v>9.6362300000000012</v>
      </c>
      <c r="Z21" s="80">
        <v>217</v>
      </c>
      <c r="AA21" s="81">
        <v>11.7623</v>
      </c>
      <c r="AB21" s="80">
        <v>247</v>
      </c>
      <c r="AC21" s="81">
        <v>13.657589999999997</v>
      </c>
      <c r="AD21" s="80">
        <v>236</v>
      </c>
      <c r="AE21" s="81">
        <v>12.925930000000005</v>
      </c>
      <c r="AF21" s="80">
        <v>248</v>
      </c>
      <c r="AG21" s="81">
        <v>13.564060000000001</v>
      </c>
      <c r="AH21" s="80">
        <v>195</v>
      </c>
      <c r="AI21" s="81">
        <v>10.443990000000001</v>
      </c>
      <c r="AJ21" s="80">
        <v>186</v>
      </c>
      <c r="AK21" s="81">
        <v>9.8276400000000006</v>
      </c>
      <c r="AM21" s="698"/>
      <c r="AN21" s="698"/>
    </row>
    <row r="22" spans="1:40" s="66" customFormat="1">
      <c r="A22" s="690"/>
      <c r="B22" s="82" t="s">
        <v>299</v>
      </c>
      <c r="C22" s="79" t="s">
        <v>203</v>
      </c>
      <c r="D22" s="80">
        <v>420.74136815257526</v>
      </c>
      <c r="E22" s="81">
        <v>67.494540435456017</v>
      </c>
      <c r="F22" s="80">
        <v>749</v>
      </c>
      <c r="G22" s="81">
        <v>118.31309</v>
      </c>
      <c r="H22" s="80">
        <v>328</v>
      </c>
      <c r="I22" s="81">
        <v>51.349489999999996</v>
      </c>
      <c r="J22" s="80">
        <v>351</v>
      </c>
      <c r="K22" s="81">
        <v>57.204169999999998</v>
      </c>
      <c r="L22" s="80">
        <v>441</v>
      </c>
      <c r="M22" s="81">
        <v>86.281270000000006</v>
      </c>
      <c r="N22" s="80">
        <v>826</v>
      </c>
      <c r="O22" s="81">
        <v>167.48065999999898</v>
      </c>
      <c r="P22" s="80">
        <v>1615</v>
      </c>
      <c r="Q22" s="81">
        <v>349.57534999999996</v>
      </c>
      <c r="R22" s="80">
        <v>1651</v>
      </c>
      <c r="S22" s="81">
        <v>345.63650999999993</v>
      </c>
      <c r="T22" s="80">
        <v>2222</v>
      </c>
      <c r="U22" s="81">
        <v>468.78963999999951</v>
      </c>
      <c r="V22" s="80">
        <v>1298</v>
      </c>
      <c r="W22" s="81">
        <v>305.99177999999966</v>
      </c>
      <c r="X22" s="80">
        <v>2366</v>
      </c>
      <c r="Y22" s="81">
        <v>544.76661999999828</v>
      </c>
      <c r="Z22" s="80">
        <v>2770</v>
      </c>
      <c r="AA22" s="81">
        <v>629.17032999999526</v>
      </c>
      <c r="AB22" s="80">
        <v>2596</v>
      </c>
      <c r="AC22" s="81">
        <v>569.68289000000016</v>
      </c>
      <c r="AD22" s="80">
        <v>2251</v>
      </c>
      <c r="AE22" s="81">
        <v>488.25517000000019</v>
      </c>
      <c r="AF22" s="80">
        <v>2207</v>
      </c>
      <c r="AG22" s="81">
        <v>477.10723000000007</v>
      </c>
      <c r="AH22" s="80">
        <v>2761</v>
      </c>
      <c r="AI22" s="81">
        <v>605.14647999999988</v>
      </c>
      <c r="AJ22" s="80">
        <v>3162</v>
      </c>
      <c r="AK22" s="81">
        <v>687.43190000000016</v>
      </c>
      <c r="AM22" s="698"/>
      <c r="AN22" s="698"/>
    </row>
    <row r="23" spans="1:40" s="66" customFormat="1">
      <c r="A23" s="690"/>
      <c r="B23" s="82" t="s">
        <v>300</v>
      </c>
      <c r="C23" s="79" t="s">
        <v>203</v>
      </c>
      <c r="D23" s="80">
        <v>2236.7520842057179</v>
      </c>
      <c r="E23" s="81">
        <v>543.77511749413384</v>
      </c>
      <c r="F23" s="80">
        <v>2823</v>
      </c>
      <c r="G23" s="81">
        <v>682.81916000000206</v>
      </c>
      <c r="H23" s="80">
        <v>2927</v>
      </c>
      <c r="I23" s="81">
        <v>717.39780000000098</v>
      </c>
      <c r="J23" s="80">
        <v>3311</v>
      </c>
      <c r="K23" s="81">
        <v>808.80942000000096</v>
      </c>
      <c r="L23" s="80">
        <v>3552</v>
      </c>
      <c r="M23" s="81">
        <v>916.52968999999996</v>
      </c>
      <c r="N23" s="80">
        <v>3552</v>
      </c>
      <c r="O23" s="81">
        <v>891.0898599999947</v>
      </c>
      <c r="P23" s="80">
        <v>4282</v>
      </c>
      <c r="Q23" s="81">
        <v>1089.3488500000001</v>
      </c>
      <c r="R23" s="80">
        <v>4321</v>
      </c>
      <c r="S23" s="81">
        <v>1107.3554999999999</v>
      </c>
      <c r="T23" s="80">
        <v>3986</v>
      </c>
      <c r="U23" s="81">
        <v>1085.1079500000001</v>
      </c>
      <c r="V23" s="80">
        <v>5137</v>
      </c>
      <c r="W23" s="81">
        <v>1440.8233599999996</v>
      </c>
      <c r="X23" s="80">
        <v>5783</v>
      </c>
      <c r="Y23" s="81">
        <v>1635.1320900000042</v>
      </c>
      <c r="Z23" s="80">
        <v>5977</v>
      </c>
      <c r="AA23" s="81">
        <v>1697.4554100001105</v>
      </c>
      <c r="AB23" s="80">
        <v>6859</v>
      </c>
      <c r="AC23" s="81">
        <v>1957.7493999999995</v>
      </c>
      <c r="AD23" s="80">
        <v>8761</v>
      </c>
      <c r="AE23" s="81">
        <v>2483.4947499999989</v>
      </c>
      <c r="AF23" s="80">
        <v>9751</v>
      </c>
      <c r="AG23" s="81">
        <v>2760.8126800000009</v>
      </c>
      <c r="AH23" s="80">
        <v>10108</v>
      </c>
      <c r="AI23" s="81">
        <v>2872.8650000000007</v>
      </c>
      <c r="AJ23" s="80">
        <v>11144</v>
      </c>
      <c r="AK23" s="81">
        <v>3180.2762700000012</v>
      </c>
      <c r="AM23" s="698"/>
      <c r="AN23" s="698"/>
    </row>
    <row r="24" spans="1:40" s="66" customFormat="1">
      <c r="A24" s="690"/>
      <c r="B24" s="82" t="s">
        <v>301</v>
      </c>
      <c r="C24" s="79" t="s">
        <v>203</v>
      </c>
      <c r="D24" s="80">
        <v>4879.4627317370278</v>
      </c>
      <c r="E24" s="81">
        <v>2724.2148818643082</v>
      </c>
      <c r="F24" s="80">
        <v>5108</v>
      </c>
      <c r="G24" s="81">
        <v>2978.6040200000002</v>
      </c>
      <c r="H24" s="80">
        <v>5130</v>
      </c>
      <c r="I24" s="81">
        <v>2918.9906099999998</v>
      </c>
      <c r="J24" s="80">
        <v>5595</v>
      </c>
      <c r="K24" s="81">
        <v>3368.35268</v>
      </c>
      <c r="L24" s="80">
        <v>5911</v>
      </c>
      <c r="M24" s="81">
        <v>3867.68712</v>
      </c>
      <c r="N24" s="80">
        <v>6169</v>
      </c>
      <c r="O24" s="81">
        <v>3966.3987200001006</v>
      </c>
      <c r="P24" s="80">
        <v>6111</v>
      </c>
      <c r="Q24" s="81">
        <v>3966.8522799999996</v>
      </c>
      <c r="R24" s="80">
        <v>6321</v>
      </c>
      <c r="S24" s="81">
        <v>4046.7402099999863</v>
      </c>
      <c r="T24" s="80">
        <v>6470</v>
      </c>
      <c r="U24" s="81">
        <v>4543.8701599999831</v>
      </c>
      <c r="V24" s="80">
        <v>6988</v>
      </c>
      <c r="W24" s="81">
        <v>5034.777150000009</v>
      </c>
      <c r="X24" s="80">
        <v>6564</v>
      </c>
      <c r="Y24" s="81">
        <v>4931.439490000027</v>
      </c>
      <c r="Z24" s="80">
        <v>6575</v>
      </c>
      <c r="AA24" s="81">
        <v>5010.3134799995923</v>
      </c>
      <c r="AB24" s="80">
        <v>7409</v>
      </c>
      <c r="AC24" s="81">
        <v>5758.6875599999921</v>
      </c>
      <c r="AD24" s="80">
        <v>7349</v>
      </c>
      <c r="AE24" s="81">
        <v>5649.7419599999957</v>
      </c>
      <c r="AF24" s="80">
        <v>6786</v>
      </c>
      <c r="AG24" s="81">
        <v>5604.1510899999967</v>
      </c>
      <c r="AH24" s="80">
        <v>7225</v>
      </c>
      <c r="AI24" s="81">
        <v>6162.1593699999939</v>
      </c>
      <c r="AJ24" s="80">
        <v>7253</v>
      </c>
      <c r="AK24" s="81">
        <v>5877.9622899999949</v>
      </c>
      <c r="AM24" s="698"/>
      <c r="AN24" s="698"/>
    </row>
    <row r="25" spans="1:40" s="66" customFormat="1">
      <c r="A25" s="689"/>
      <c r="B25" s="78" t="s">
        <v>304</v>
      </c>
      <c r="C25" s="79" t="s">
        <v>203</v>
      </c>
      <c r="D25" s="80"/>
      <c r="E25" s="81"/>
      <c r="F25" s="80"/>
      <c r="G25" s="81"/>
      <c r="H25" s="80"/>
      <c r="I25" s="81"/>
      <c r="J25" s="80"/>
      <c r="K25" s="81"/>
      <c r="L25" s="80"/>
      <c r="M25" s="81"/>
      <c r="N25" s="80"/>
      <c r="O25" s="81"/>
      <c r="P25" s="80"/>
      <c r="Q25" s="81"/>
      <c r="R25" s="80"/>
      <c r="S25" s="81"/>
      <c r="T25" s="80"/>
      <c r="U25" s="81"/>
      <c r="V25" s="80"/>
      <c r="W25" s="81"/>
      <c r="X25" s="80"/>
      <c r="Y25" s="81"/>
      <c r="Z25" s="80"/>
      <c r="AA25" s="81"/>
      <c r="AB25" s="80"/>
      <c r="AC25" s="81"/>
      <c r="AD25" s="80"/>
      <c r="AE25" s="81"/>
      <c r="AF25" s="80"/>
      <c r="AG25" s="81"/>
      <c r="AH25" s="80"/>
      <c r="AI25" s="81"/>
      <c r="AJ25" s="80"/>
      <c r="AK25" s="81"/>
      <c r="AM25" s="698"/>
      <c r="AN25" s="698"/>
    </row>
    <row r="26" spans="1:40" s="66" customFormat="1">
      <c r="A26" s="691"/>
      <c r="B26" s="83" t="s">
        <v>211</v>
      </c>
      <c r="C26" s="79" t="s">
        <v>203</v>
      </c>
      <c r="D26" s="80"/>
      <c r="E26" s="81"/>
      <c r="F26" s="80"/>
      <c r="G26" s="81"/>
      <c r="H26" s="80"/>
      <c r="I26" s="81"/>
      <c r="J26" s="80"/>
      <c r="K26" s="81"/>
      <c r="L26" s="80"/>
      <c r="M26" s="81"/>
      <c r="N26" s="80"/>
      <c r="O26" s="81"/>
      <c r="P26" s="80"/>
      <c r="Q26" s="81"/>
      <c r="R26" s="80"/>
      <c r="S26" s="81"/>
      <c r="T26" s="80"/>
      <c r="U26" s="81"/>
      <c r="V26" s="80"/>
      <c r="W26" s="81"/>
      <c r="X26" s="80"/>
      <c r="Y26" s="81"/>
      <c r="Z26" s="80"/>
      <c r="AA26" s="81"/>
      <c r="AB26" s="80"/>
      <c r="AC26" s="81"/>
      <c r="AD26" s="80"/>
      <c r="AE26" s="81"/>
      <c r="AF26" s="80"/>
      <c r="AG26" s="81"/>
      <c r="AH26" s="80"/>
      <c r="AI26" s="81"/>
      <c r="AJ26" s="80"/>
      <c r="AK26" s="81"/>
      <c r="AM26" s="698"/>
      <c r="AN26" s="698"/>
    </row>
    <row r="27" spans="1:40" s="66" customFormat="1">
      <c r="A27" s="691"/>
      <c r="B27" s="83" t="s">
        <v>296</v>
      </c>
      <c r="C27" s="79" t="s">
        <v>203</v>
      </c>
      <c r="D27" s="80">
        <v>7966.7946629106555</v>
      </c>
      <c r="E27" s="81">
        <v>2291.2611920633517</v>
      </c>
      <c r="F27" s="80">
        <v>7891</v>
      </c>
      <c r="G27" s="81">
        <v>2300.080019999999</v>
      </c>
      <c r="H27" s="80">
        <v>7732</v>
      </c>
      <c r="I27" s="81">
        <v>2420.9964099999997</v>
      </c>
      <c r="J27" s="80">
        <v>8292</v>
      </c>
      <c r="K27" s="81">
        <v>2700.5463400000008</v>
      </c>
      <c r="L27" s="80">
        <v>9056</v>
      </c>
      <c r="M27" s="81">
        <v>2974.6818500000008</v>
      </c>
      <c r="N27" s="80">
        <v>8180</v>
      </c>
      <c r="O27" s="81">
        <v>2787.284400000035</v>
      </c>
      <c r="P27" s="80">
        <v>9110</v>
      </c>
      <c r="Q27" s="81">
        <v>3199.7820399999987</v>
      </c>
      <c r="R27" s="80">
        <v>10517</v>
      </c>
      <c r="S27" s="81">
        <v>3455.7370099999989</v>
      </c>
      <c r="T27" s="80">
        <v>11771</v>
      </c>
      <c r="U27" s="81">
        <v>3773.1953399999948</v>
      </c>
      <c r="V27" s="80">
        <v>12162</v>
      </c>
      <c r="W27" s="81">
        <v>4201.5993900000076</v>
      </c>
      <c r="X27" s="80">
        <v>14120</v>
      </c>
      <c r="Y27" s="81">
        <v>4677.8072500000135</v>
      </c>
      <c r="Z27" s="80">
        <v>15942</v>
      </c>
      <c r="AA27" s="81">
        <v>5530.082279999855</v>
      </c>
      <c r="AB27" s="80">
        <v>14846</v>
      </c>
      <c r="AC27" s="81">
        <v>5599.0382599999984</v>
      </c>
      <c r="AD27" s="80">
        <v>15727</v>
      </c>
      <c r="AE27" s="81">
        <v>5534.1284099999984</v>
      </c>
      <c r="AF27" s="80">
        <v>16740</v>
      </c>
      <c r="AG27" s="81">
        <v>5967.7294599999987</v>
      </c>
      <c r="AH27" s="80">
        <v>18571</v>
      </c>
      <c r="AI27" s="81">
        <v>6755.6808099999962</v>
      </c>
      <c r="AJ27" s="80">
        <v>19556</v>
      </c>
      <c r="AK27" s="81">
        <v>7066.201519999996</v>
      </c>
      <c r="AM27" s="698"/>
      <c r="AN27" s="698"/>
    </row>
    <row r="28" spans="1:40" s="66" customFormat="1">
      <c r="A28" s="692"/>
      <c r="B28" s="84" t="s">
        <v>297</v>
      </c>
      <c r="C28" s="79" t="s">
        <v>203</v>
      </c>
      <c r="D28" s="80">
        <v>451.44411663938484</v>
      </c>
      <c r="E28" s="81">
        <v>6.1118036544309486</v>
      </c>
      <c r="F28" s="80">
        <v>407</v>
      </c>
      <c r="G28" s="81">
        <v>5.3312100000000004</v>
      </c>
      <c r="H28" s="80">
        <v>400</v>
      </c>
      <c r="I28" s="81">
        <v>5.3805800000000001</v>
      </c>
      <c r="J28" s="80">
        <v>350</v>
      </c>
      <c r="K28" s="81">
        <v>5.5884799999999997</v>
      </c>
      <c r="L28" s="80">
        <v>336</v>
      </c>
      <c r="M28" s="81">
        <v>5.3473900000000008</v>
      </c>
      <c r="N28" s="80">
        <v>400</v>
      </c>
      <c r="O28" s="81">
        <v>5.92197</v>
      </c>
      <c r="P28" s="80">
        <v>443</v>
      </c>
      <c r="Q28" s="81">
        <v>7.5309999999999997</v>
      </c>
      <c r="R28" s="80">
        <v>523</v>
      </c>
      <c r="S28" s="81">
        <v>8.891</v>
      </c>
      <c r="T28" s="80">
        <v>552</v>
      </c>
      <c r="U28" s="81">
        <v>9.4336800000000007</v>
      </c>
      <c r="V28" s="80">
        <v>614</v>
      </c>
      <c r="W28" s="81">
        <v>10.727619999999998</v>
      </c>
      <c r="X28" s="80">
        <v>536</v>
      </c>
      <c r="Y28" s="81">
        <v>9.4496800000000007</v>
      </c>
      <c r="Z28" s="80">
        <v>610</v>
      </c>
      <c r="AA28" s="81">
        <v>10.767499999999925</v>
      </c>
      <c r="AB28" s="80">
        <v>496</v>
      </c>
      <c r="AC28" s="81">
        <v>8.7444800000000065</v>
      </c>
      <c r="AD28" s="80">
        <v>550</v>
      </c>
      <c r="AE28" s="81">
        <v>9.627480000000002</v>
      </c>
      <c r="AF28" s="80">
        <v>456</v>
      </c>
      <c r="AG28" s="81">
        <v>8.2076800000000052</v>
      </c>
      <c r="AH28" s="80">
        <v>417</v>
      </c>
      <c r="AI28" s="81">
        <v>7.351710000000006</v>
      </c>
      <c r="AJ28" s="80">
        <v>440</v>
      </c>
      <c r="AK28" s="81">
        <v>8.0403400000000058</v>
      </c>
      <c r="AM28" s="698"/>
      <c r="AN28" s="698"/>
    </row>
    <row r="29" spans="1:40" s="66" customFormat="1">
      <c r="A29" s="692"/>
      <c r="B29" s="84" t="s">
        <v>298</v>
      </c>
      <c r="C29" s="79" t="s">
        <v>203</v>
      </c>
      <c r="D29" s="80">
        <v>307.02748486809543</v>
      </c>
      <c r="E29" s="81">
        <v>13.893983781131764</v>
      </c>
      <c r="F29" s="80">
        <v>351</v>
      </c>
      <c r="G29" s="81">
        <v>17.11693</v>
      </c>
      <c r="H29" s="80">
        <v>410</v>
      </c>
      <c r="I29" s="81">
        <v>21.19567</v>
      </c>
      <c r="J29" s="80">
        <v>324</v>
      </c>
      <c r="K29" s="81">
        <v>15.356120000000001</v>
      </c>
      <c r="L29" s="80">
        <v>226</v>
      </c>
      <c r="M29" s="81">
        <v>8.9415800000000001</v>
      </c>
      <c r="N29" s="80">
        <v>228</v>
      </c>
      <c r="O29" s="81">
        <v>8.08507</v>
      </c>
      <c r="P29" s="80">
        <v>220</v>
      </c>
      <c r="Q29" s="81">
        <v>9.7898300000000003</v>
      </c>
      <c r="R29" s="80">
        <v>270</v>
      </c>
      <c r="S29" s="81">
        <v>12.259069999999999</v>
      </c>
      <c r="T29" s="80">
        <v>253</v>
      </c>
      <c r="U29" s="81">
        <v>10.829429999999999</v>
      </c>
      <c r="V29" s="80">
        <v>331</v>
      </c>
      <c r="W29" s="81">
        <v>14.748660000000001</v>
      </c>
      <c r="X29" s="80">
        <v>336</v>
      </c>
      <c r="Y29" s="81">
        <v>15.767100000000005</v>
      </c>
      <c r="Z29" s="80">
        <v>429</v>
      </c>
      <c r="AA29" s="81">
        <v>19.35955000000002</v>
      </c>
      <c r="AB29" s="80">
        <v>459</v>
      </c>
      <c r="AC29" s="81">
        <v>21.490050000000011</v>
      </c>
      <c r="AD29" s="80">
        <v>457</v>
      </c>
      <c r="AE29" s="81">
        <v>21.905390000000004</v>
      </c>
      <c r="AF29" s="80">
        <v>459</v>
      </c>
      <c r="AG29" s="81">
        <v>21.753139999999991</v>
      </c>
      <c r="AH29" s="80">
        <v>423</v>
      </c>
      <c r="AI29" s="81">
        <v>19.761759999999992</v>
      </c>
      <c r="AJ29" s="80">
        <v>364</v>
      </c>
      <c r="AK29" s="81">
        <v>16.873139999999999</v>
      </c>
      <c r="AM29" s="698"/>
      <c r="AN29" s="698"/>
    </row>
    <row r="30" spans="1:40" s="66" customFormat="1">
      <c r="A30" s="692"/>
      <c r="B30" s="84" t="s">
        <v>299</v>
      </c>
      <c r="C30" s="79" t="s">
        <v>203</v>
      </c>
      <c r="D30" s="80">
        <v>665.22621721420683</v>
      </c>
      <c r="E30" s="81">
        <v>94.698343136129495</v>
      </c>
      <c r="F30" s="80">
        <v>574</v>
      </c>
      <c r="G30" s="81">
        <v>78.612189999999998</v>
      </c>
      <c r="H30" s="80">
        <v>380</v>
      </c>
      <c r="I30" s="81">
        <v>54.005720000000004</v>
      </c>
      <c r="J30" s="80">
        <v>314</v>
      </c>
      <c r="K30" s="81">
        <v>45.334809999999997</v>
      </c>
      <c r="L30" s="80">
        <v>443</v>
      </c>
      <c r="M30" s="81">
        <v>75.17658999999999</v>
      </c>
      <c r="N30" s="80">
        <v>684</v>
      </c>
      <c r="O30" s="81">
        <v>118.66154999999944</v>
      </c>
      <c r="P30" s="80">
        <v>1209</v>
      </c>
      <c r="Q30" s="81">
        <v>231.93534</v>
      </c>
      <c r="R30" s="80">
        <v>1669</v>
      </c>
      <c r="S30" s="81">
        <v>280.67917</v>
      </c>
      <c r="T30" s="80">
        <v>2586</v>
      </c>
      <c r="U30" s="81">
        <v>459.58122999999921</v>
      </c>
      <c r="V30" s="80">
        <v>1545</v>
      </c>
      <c r="W30" s="81">
        <v>316.2455499999997</v>
      </c>
      <c r="X30" s="80">
        <v>2712</v>
      </c>
      <c r="Y30" s="81">
        <v>548.41595000000052</v>
      </c>
      <c r="Z30" s="80">
        <v>3582</v>
      </c>
      <c r="AA30" s="81">
        <v>735.21355000002836</v>
      </c>
      <c r="AB30" s="80">
        <v>2595</v>
      </c>
      <c r="AC30" s="81">
        <v>522.30560000000025</v>
      </c>
      <c r="AD30" s="80">
        <v>2336</v>
      </c>
      <c r="AE30" s="81">
        <v>450.6919200000001</v>
      </c>
      <c r="AF30" s="80">
        <v>2594</v>
      </c>
      <c r="AG30" s="81">
        <v>501.14247000000012</v>
      </c>
      <c r="AH30" s="80">
        <v>3222</v>
      </c>
      <c r="AI30" s="81">
        <v>633.43305000000009</v>
      </c>
      <c r="AJ30" s="80">
        <v>3345</v>
      </c>
      <c r="AK30" s="81">
        <v>646.38590999999985</v>
      </c>
      <c r="AM30" s="698"/>
      <c r="AN30" s="698"/>
    </row>
    <row r="31" spans="1:40" s="66" customFormat="1">
      <c r="A31" s="692"/>
      <c r="B31" s="84" t="s">
        <v>300</v>
      </c>
      <c r="C31" s="79" t="s">
        <v>203</v>
      </c>
      <c r="D31" s="80">
        <v>3757.1067037192129</v>
      </c>
      <c r="E31" s="81">
        <v>787.31156587193971</v>
      </c>
      <c r="F31" s="80">
        <v>3643</v>
      </c>
      <c r="G31" s="81">
        <v>766.02914999999894</v>
      </c>
      <c r="H31" s="80">
        <v>3316</v>
      </c>
      <c r="I31" s="81">
        <v>692.99719999999991</v>
      </c>
      <c r="J31" s="80">
        <v>3743</v>
      </c>
      <c r="K31" s="81">
        <v>778.31115000000091</v>
      </c>
      <c r="L31" s="80">
        <v>3987</v>
      </c>
      <c r="M31" s="81">
        <v>870.43939000000091</v>
      </c>
      <c r="N31" s="80">
        <v>3486</v>
      </c>
      <c r="O31" s="81">
        <v>742.69581000000926</v>
      </c>
      <c r="P31" s="80">
        <v>3738</v>
      </c>
      <c r="Q31" s="81">
        <v>855.87489999999866</v>
      </c>
      <c r="R31" s="80">
        <v>4289</v>
      </c>
      <c r="S31" s="81">
        <v>1001.3332699999993</v>
      </c>
      <c r="T31" s="80">
        <v>4768</v>
      </c>
      <c r="U31" s="81">
        <v>1126.4107399999946</v>
      </c>
      <c r="V31" s="80">
        <v>5531</v>
      </c>
      <c r="W31" s="81">
        <v>1337.0259000000069</v>
      </c>
      <c r="X31" s="80">
        <v>6527</v>
      </c>
      <c r="Y31" s="81">
        <v>1598.4688700000102</v>
      </c>
      <c r="Z31" s="80">
        <v>6616</v>
      </c>
      <c r="AA31" s="81">
        <v>1649.7096499999391</v>
      </c>
      <c r="AB31" s="80">
        <v>5848</v>
      </c>
      <c r="AC31" s="81">
        <v>1450.1831299999978</v>
      </c>
      <c r="AD31" s="80">
        <v>7592</v>
      </c>
      <c r="AE31" s="81">
        <v>1877.8173299999967</v>
      </c>
      <c r="AF31" s="80">
        <v>8361</v>
      </c>
      <c r="AG31" s="81">
        <v>2065.896469999996</v>
      </c>
      <c r="AH31" s="80">
        <v>9076</v>
      </c>
      <c r="AI31" s="81">
        <v>2241.6182499999959</v>
      </c>
      <c r="AJ31" s="80">
        <v>9917</v>
      </c>
      <c r="AK31" s="81">
        <v>2451.9996499999957</v>
      </c>
      <c r="AM31" s="698"/>
      <c r="AN31" s="698"/>
    </row>
    <row r="32" spans="1:40" s="66" customFormat="1">
      <c r="A32" s="692"/>
      <c r="B32" s="84" t="s">
        <v>301</v>
      </c>
      <c r="C32" s="79" t="s">
        <v>203</v>
      </c>
      <c r="D32" s="80">
        <v>2785.9901404697553</v>
      </c>
      <c r="E32" s="81">
        <v>1389.2454956197198</v>
      </c>
      <c r="F32" s="80">
        <v>2916</v>
      </c>
      <c r="G32" s="81">
        <v>1432.99054</v>
      </c>
      <c r="H32" s="80">
        <v>3226</v>
      </c>
      <c r="I32" s="81">
        <v>1647.41724</v>
      </c>
      <c r="J32" s="80">
        <v>3561</v>
      </c>
      <c r="K32" s="81">
        <v>1855.95578</v>
      </c>
      <c r="L32" s="80">
        <v>4064</v>
      </c>
      <c r="M32" s="81">
        <v>2014.7768999999998</v>
      </c>
      <c r="N32" s="80">
        <v>3382</v>
      </c>
      <c r="O32" s="81">
        <v>1911.9200000000262</v>
      </c>
      <c r="P32" s="80">
        <v>3500</v>
      </c>
      <c r="Q32" s="81">
        <v>2094.6509700000001</v>
      </c>
      <c r="R32" s="80">
        <v>3766</v>
      </c>
      <c r="S32" s="81">
        <v>2152.5744999999997</v>
      </c>
      <c r="T32" s="80">
        <v>3612</v>
      </c>
      <c r="U32" s="81">
        <v>2166.9402600000008</v>
      </c>
      <c r="V32" s="80">
        <v>4141</v>
      </c>
      <c r="W32" s="81">
        <v>2522.8516600000012</v>
      </c>
      <c r="X32" s="80">
        <v>4009</v>
      </c>
      <c r="Y32" s="81">
        <v>2505.7056500000026</v>
      </c>
      <c r="Z32" s="80">
        <v>4705</v>
      </c>
      <c r="AA32" s="81">
        <v>3115.0320299998875</v>
      </c>
      <c r="AB32" s="80">
        <v>5448</v>
      </c>
      <c r="AC32" s="81">
        <v>3596.3150000000001</v>
      </c>
      <c r="AD32" s="80">
        <v>4792</v>
      </c>
      <c r="AE32" s="81">
        <v>3174.0862900000011</v>
      </c>
      <c r="AF32" s="80">
        <v>4870</v>
      </c>
      <c r="AG32" s="81">
        <v>3370.7297000000026</v>
      </c>
      <c r="AH32" s="80">
        <v>5433</v>
      </c>
      <c r="AI32" s="81">
        <v>3853.5160400000009</v>
      </c>
      <c r="AJ32" s="80">
        <v>5490</v>
      </c>
      <c r="AK32" s="81">
        <v>3942.9024800000007</v>
      </c>
      <c r="AM32" s="698"/>
      <c r="AN32" s="698"/>
    </row>
    <row r="33" spans="1:40" s="66" customFormat="1">
      <c r="A33" s="691"/>
      <c r="B33" s="83" t="s">
        <v>302</v>
      </c>
      <c r="C33" s="79" t="s">
        <v>203</v>
      </c>
      <c r="D33" s="80">
        <v>7010.4609044881799</v>
      </c>
      <c r="E33" s="81">
        <v>3160.8444362027244</v>
      </c>
      <c r="F33" s="80">
        <v>6946</v>
      </c>
      <c r="G33" s="81">
        <v>3213.8423300000004</v>
      </c>
      <c r="H33" s="80">
        <v>6586</v>
      </c>
      <c r="I33" s="81">
        <v>3227.7720100000001</v>
      </c>
      <c r="J33" s="80">
        <v>7283</v>
      </c>
      <c r="K33" s="81">
        <v>3232.5194100000003</v>
      </c>
      <c r="L33" s="80">
        <v>7279</v>
      </c>
      <c r="M33" s="81">
        <v>4058.2343200000009</v>
      </c>
      <c r="N33" s="80">
        <v>8216</v>
      </c>
      <c r="O33" s="81">
        <v>4995.9434700000711</v>
      </c>
      <c r="P33" s="80">
        <v>10761</v>
      </c>
      <c r="Q33" s="81">
        <v>5144.8058999999912</v>
      </c>
      <c r="R33" s="80">
        <v>11620</v>
      </c>
      <c r="S33" s="81">
        <v>5436.4584399999876</v>
      </c>
      <c r="T33" s="80">
        <v>11809</v>
      </c>
      <c r="U33" s="81">
        <v>5943.2871699999841</v>
      </c>
      <c r="V33" s="80">
        <v>12711</v>
      </c>
      <c r="W33" s="81">
        <v>6590.7725700000083</v>
      </c>
      <c r="X33" s="80">
        <v>14265</v>
      </c>
      <c r="Y33" s="81">
        <v>7050.4720900000229</v>
      </c>
      <c r="Z33" s="80">
        <v>14574</v>
      </c>
      <c r="AA33" s="81">
        <v>7064.2676399997954</v>
      </c>
      <c r="AB33" s="80">
        <v>16166</v>
      </c>
      <c r="AC33" s="81">
        <v>8103.9082699999999</v>
      </c>
      <c r="AD33" s="80">
        <v>16797</v>
      </c>
      <c r="AE33" s="81">
        <v>8112.7060299999939</v>
      </c>
      <c r="AF33" s="80">
        <v>16869</v>
      </c>
      <c r="AG33" s="81">
        <v>8629.4766500000005</v>
      </c>
      <c r="AH33" s="80">
        <v>17502</v>
      </c>
      <c r="AI33" s="81">
        <v>9018.7530099999967</v>
      </c>
      <c r="AJ33" s="80">
        <v>19487</v>
      </c>
      <c r="AK33" s="81">
        <v>9230.4801699999953</v>
      </c>
      <c r="AM33" s="698"/>
      <c r="AN33" s="698"/>
    </row>
    <row r="34" spans="1:40" s="66" customFormat="1">
      <c r="A34" s="690"/>
      <c r="B34" s="82" t="s">
        <v>297</v>
      </c>
      <c r="C34" s="79" t="s">
        <v>203</v>
      </c>
      <c r="D34" s="80">
        <v>42.074136815257532</v>
      </c>
      <c r="E34" s="81">
        <v>0.62417053753143847</v>
      </c>
      <c r="F34" s="80">
        <v>26</v>
      </c>
      <c r="G34" s="81">
        <v>0.40386</v>
      </c>
      <c r="H34" s="80">
        <v>37</v>
      </c>
      <c r="I34" s="81">
        <v>0.47488999999999998</v>
      </c>
      <c r="J34" s="80">
        <v>33</v>
      </c>
      <c r="K34" s="81">
        <v>0.61248000000000002</v>
      </c>
      <c r="L34" s="80">
        <v>37</v>
      </c>
      <c r="M34" s="81">
        <v>0.65161999999999998</v>
      </c>
      <c r="N34" s="80">
        <v>24</v>
      </c>
      <c r="O34" s="81">
        <v>0.44996999999999998</v>
      </c>
      <c r="P34" s="80">
        <v>41</v>
      </c>
      <c r="Q34" s="81">
        <v>0.80154999999999998</v>
      </c>
      <c r="R34" s="80">
        <v>47</v>
      </c>
      <c r="S34" s="81">
        <v>0.91884999999999994</v>
      </c>
      <c r="T34" s="80">
        <v>27</v>
      </c>
      <c r="U34" s="81">
        <v>0.53054999999999997</v>
      </c>
      <c r="V34" s="80">
        <v>52</v>
      </c>
      <c r="W34" s="81">
        <v>1.0446900000000001</v>
      </c>
      <c r="X34" s="80">
        <v>64</v>
      </c>
      <c r="Y34" s="81">
        <v>1.29728</v>
      </c>
      <c r="Z34" s="80">
        <v>64</v>
      </c>
      <c r="AA34" s="81">
        <v>1.2972799999999993</v>
      </c>
      <c r="AB34" s="80">
        <v>55</v>
      </c>
      <c r="AC34" s="81">
        <v>1.1148499999999995</v>
      </c>
      <c r="AD34" s="80">
        <v>98</v>
      </c>
      <c r="AE34" s="81">
        <v>1.9864599999999994</v>
      </c>
      <c r="AF34" s="80">
        <v>29</v>
      </c>
      <c r="AG34" s="81">
        <v>0.58782999999999985</v>
      </c>
      <c r="AH34" s="80">
        <v>31</v>
      </c>
      <c r="AI34" s="81">
        <v>0.62836999999999987</v>
      </c>
      <c r="AJ34" s="80">
        <v>27</v>
      </c>
      <c r="AK34" s="81">
        <v>0.61400999999999983</v>
      </c>
      <c r="AM34" s="698"/>
      <c r="AN34" s="698"/>
    </row>
    <row r="35" spans="1:40" s="66" customFormat="1">
      <c r="A35" s="690"/>
      <c r="B35" s="82" t="s">
        <v>298</v>
      </c>
      <c r="C35" s="79" t="s">
        <v>203</v>
      </c>
      <c r="D35" s="80">
        <v>44.348414480947127</v>
      </c>
      <c r="E35" s="81">
        <v>1.7929785523111632</v>
      </c>
      <c r="F35" s="80">
        <v>66</v>
      </c>
      <c r="G35" s="81">
        <v>3.2024299999999997</v>
      </c>
      <c r="H35" s="80">
        <v>62</v>
      </c>
      <c r="I35" s="81">
        <v>3.1639400000000002</v>
      </c>
      <c r="J35" s="80">
        <v>56</v>
      </c>
      <c r="K35" s="81">
        <v>2.61965</v>
      </c>
      <c r="L35" s="80">
        <v>47</v>
      </c>
      <c r="M35" s="81">
        <v>2.2346999999999997</v>
      </c>
      <c r="N35" s="80">
        <v>78</v>
      </c>
      <c r="O35" s="81">
        <v>3.7579300000000004</v>
      </c>
      <c r="P35" s="80">
        <v>73</v>
      </c>
      <c r="Q35" s="81">
        <v>3.9496199999999999</v>
      </c>
      <c r="R35" s="80">
        <v>67</v>
      </c>
      <c r="S35" s="81">
        <v>3.4057399999999998</v>
      </c>
      <c r="T35" s="80">
        <v>63</v>
      </c>
      <c r="U35" s="81">
        <v>3.4575700000000005</v>
      </c>
      <c r="V35" s="80">
        <v>85</v>
      </c>
      <c r="W35" s="81">
        <v>4.8064300000000006</v>
      </c>
      <c r="X35" s="80">
        <v>110</v>
      </c>
      <c r="Y35" s="81">
        <v>5.4055100000000014</v>
      </c>
      <c r="Z35" s="80">
        <v>120</v>
      </c>
      <c r="AA35" s="81">
        <v>6.6468000000000025</v>
      </c>
      <c r="AB35" s="80">
        <v>121</v>
      </c>
      <c r="AC35" s="81">
        <v>6.7811200000000005</v>
      </c>
      <c r="AD35" s="80">
        <v>103</v>
      </c>
      <c r="AE35" s="81">
        <v>5.833400000000001</v>
      </c>
      <c r="AF35" s="80">
        <v>114</v>
      </c>
      <c r="AG35" s="81">
        <v>6.1729499999999993</v>
      </c>
      <c r="AH35" s="80">
        <v>120</v>
      </c>
      <c r="AI35" s="81">
        <v>6.4314600000000013</v>
      </c>
      <c r="AJ35" s="80">
        <v>95</v>
      </c>
      <c r="AK35" s="81">
        <v>5.17197</v>
      </c>
      <c r="AM35" s="698"/>
      <c r="AN35" s="698"/>
    </row>
    <row r="36" spans="1:40" s="66" customFormat="1">
      <c r="A36" s="690"/>
      <c r="B36" s="82" t="s">
        <v>299</v>
      </c>
      <c r="C36" s="79" t="s">
        <v>203</v>
      </c>
      <c r="D36" s="80">
        <v>142.14235410559974</v>
      </c>
      <c r="E36" s="81">
        <v>21.274763376781529</v>
      </c>
      <c r="F36" s="80">
        <v>518</v>
      </c>
      <c r="G36" s="81">
        <v>83.607759999999999</v>
      </c>
      <c r="H36" s="80">
        <v>220</v>
      </c>
      <c r="I36" s="81">
        <v>34.694050000000004</v>
      </c>
      <c r="J36" s="80">
        <v>243</v>
      </c>
      <c r="K36" s="81">
        <v>39.402050000000003</v>
      </c>
      <c r="L36" s="80">
        <v>56</v>
      </c>
      <c r="M36" s="81">
        <v>8.7451799999999995</v>
      </c>
      <c r="N36" s="80">
        <v>464</v>
      </c>
      <c r="O36" s="81">
        <v>94.974250000000012</v>
      </c>
      <c r="P36" s="80">
        <v>1144</v>
      </c>
      <c r="Q36" s="81">
        <v>243.21878000000001</v>
      </c>
      <c r="R36" s="80">
        <v>1286</v>
      </c>
      <c r="S36" s="81">
        <v>274.80525</v>
      </c>
      <c r="T36" s="80">
        <v>1698</v>
      </c>
      <c r="U36" s="81">
        <v>369.24022999999988</v>
      </c>
      <c r="V36" s="80">
        <v>1413</v>
      </c>
      <c r="W36" s="81">
        <v>335.14157999999958</v>
      </c>
      <c r="X36" s="80">
        <v>2525</v>
      </c>
      <c r="Y36" s="81">
        <v>587.84750999999801</v>
      </c>
      <c r="Z36" s="80">
        <v>2224</v>
      </c>
      <c r="AA36" s="81">
        <v>496.61900000000838</v>
      </c>
      <c r="AB36" s="80">
        <v>2863</v>
      </c>
      <c r="AC36" s="81">
        <v>634.94097000000022</v>
      </c>
      <c r="AD36" s="80">
        <v>2535</v>
      </c>
      <c r="AE36" s="81">
        <v>574.74675000000025</v>
      </c>
      <c r="AF36" s="80">
        <v>2399</v>
      </c>
      <c r="AG36" s="81">
        <v>542.84627999999964</v>
      </c>
      <c r="AH36" s="80">
        <v>2967</v>
      </c>
      <c r="AI36" s="81">
        <v>673.85851000000036</v>
      </c>
      <c r="AJ36" s="80">
        <v>3070</v>
      </c>
      <c r="AK36" s="81">
        <v>690.54696999999987</v>
      </c>
      <c r="AM36" s="698"/>
      <c r="AN36" s="698"/>
    </row>
    <row r="37" spans="1:40" s="66" customFormat="1" ht="15.75" customHeight="1">
      <c r="A37" s="690"/>
      <c r="B37" s="82" t="s">
        <v>300</v>
      </c>
      <c r="C37" s="79" t="s">
        <v>203</v>
      </c>
      <c r="D37" s="80">
        <v>2411.8714644638167</v>
      </c>
      <c r="E37" s="81">
        <v>578.58401855068973</v>
      </c>
      <c r="F37" s="80">
        <v>2008</v>
      </c>
      <c r="G37" s="81">
        <v>484.30892999999998</v>
      </c>
      <c r="H37" s="80">
        <v>1925</v>
      </c>
      <c r="I37" s="81">
        <v>472.55581999999998</v>
      </c>
      <c r="J37" s="80">
        <v>2268</v>
      </c>
      <c r="K37" s="81">
        <v>562.73683999999992</v>
      </c>
      <c r="L37" s="80">
        <v>1943</v>
      </c>
      <c r="M37" s="81">
        <v>509.97978000000103</v>
      </c>
      <c r="N37" s="80">
        <v>2275</v>
      </c>
      <c r="O37" s="81">
        <v>582.67874000000097</v>
      </c>
      <c r="P37" s="80">
        <v>3905</v>
      </c>
      <c r="Q37" s="81">
        <v>1006.86248</v>
      </c>
      <c r="R37" s="80">
        <v>4696</v>
      </c>
      <c r="S37" s="81">
        <v>1207.8072400000003</v>
      </c>
      <c r="T37" s="80">
        <v>4066</v>
      </c>
      <c r="U37" s="81">
        <v>1104.8973200000003</v>
      </c>
      <c r="V37" s="80">
        <v>5044</v>
      </c>
      <c r="W37" s="81">
        <v>1424.4888799999978</v>
      </c>
      <c r="X37" s="80">
        <v>5505</v>
      </c>
      <c r="Y37" s="81">
        <v>1563.22767</v>
      </c>
      <c r="Z37" s="80">
        <v>5996</v>
      </c>
      <c r="AA37" s="81">
        <v>1704.0710000001052</v>
      </c>
      <c r="AB37" s="80">
        <v>6393</v>
      </c>
      <c r="AC37" s="81">
        <v>1825.2999099999986</v>
      </c>
      <c r="AD37" s="80">
        <v>7189</v>
      </c>
      <c r="AE37" s="81">
        <v>2043.2792000000002</v>
      </c>
      <c r="AF37" s="80">
        <v>7297</v>
      </c>
      <c r="AG37" s="81">
        <v>2074.8459000000007</v>
      </c>
      <c r="AH37" s="80">
        <v>7385</v>
      </c>
      <c r="AI37" s="81">
        <v>2114.1220199999998</v>
      </c>
      <c r="AJ37" s="80">
        <v>9604</v>
      </c>
      <c r="AK37" s="81">
        <v>2765.2153299999995</v>
      </c>
      <c r="AM37" s="698"/>
      <c r="AN37" s="698"/>
    </row>
    <row r="38" spans="1:40" s="66" customFormat="1">
      <c r="A38" s="690"/>
      <c r="B38" s="82" t="s">
        <v>301</v>
      </c>
      <c r="C38" s="79" t="s">
        <v>203</v>
      </c>
      <c r="D38" s="80">
        <v>4370.0245346225583</v>
      </c>
      <c r="E38" s="81">
        <v>2558.5685051854107</v>
      </c>
      <c r="F38" s="80">
        <v>4328</v>
      </c>
      <c r="G38" s="81">
        <v>2642.3193500000002</v>
      </c>
      <c r="H38" s="80">
        <v>4342</v>
      </c>
      <c r="I38" s="81">
        <v>2716.8833100000002</v>
      </c>
      <c r="J38" s="80">
        <v>4683</v>
      </c>
      <c r="K38" s="81">
        <v>2627.1483900000003</v>
      </c>
      <c r="L38" s="80">
        <v>5196</v>
      </c>
      <c r="M38" s="81">
        <v>3536.6230399999999</v>
      </c>
      <c r="N38" s="80">
        <v>5375</v>
      </c>
      <c r="O38" s="81">
        <v>4314.0825800000703</v>
      </c>
      <c r="P38" s="80">
        <v>5598</v>
      </c>
      <c r="Q38" s="81">
        <v>3889.9734699999913</v>
      </c>
      <c r="R38" s="80">
        <v>5524</v>
      </c>
      <c r="S38" s="81">
        <v>3949.521359999987</v>
      </c>
      <c r="T38" s="80">
        <v>5955</v>
      </c>
      <c r="U38" s="81">
        <v>4465.1614999999838</v>
      </c>
      <c r="V38" s="80">
        <v>6117</v>
      </c>
      <c r="W38" s="81">
        <v>4825.2909900000113</v>
      </c>
      <c r="X38" s="80">
        <v>6061</v>
      </c>
      <c r="Y38" s="81">
        <v>4892.6941200000247</v>
      </c>
      <c r="Z38" s="80">
        <v>6170</v>
      </c>
      <c r="AA38" s="81">
        <v>4855.6335599996819</v>
      </c>
      <c r="AB38" s="80">
        <v>6734</v>
      </c>
      <c r="AC38" s="81">
        <v>5635.7714200000009</v>
      </c>
      <c r="AD38" s="80">
        <v>6872</v>
      </c>
      <c r="AE38" s="81">
        <v>5486.8602199999932</v>
      </c>
      <c r="AF38" s="80">
        <v>7030</v>
      </c>
      <c r="AG38" s="81">
        <v>6005.0236899999991</v>
      </c>
      <c r="AH38" s="80">
        <v>6999</v>
      </c>
      <c r="AI38" s="81">
        <v>6223.7126499999968</v>
      </c>
      <c r="AJ38" s="80">
        <v>6691</v>
      </c>
      <c r="AK38" s="81">
        <v>5768.9318899999953</v>
      </c>
      <c r="AM38" s="698"/>
      <c r="AN38" s="698"/>
    </row>
    <row r="39" spans="1:40" s="66" customFormat="1">
      <c r="A39" s="689"/>
      <c r="B39" s="78" t="s">
        <v>303</v>
      </c>
      <c r="C39" s="79" t="s">
        <v>203</v>
      </c>
      <c r="D39" s="80"/>
      <c r="E39" s="81"/>
      <c r="F39" s="80"/>
      <c r="G39" s="81"/>
      <c r="H39" s="80"/>
      <c r="I39" s="81"/>
      <c r="J39" s="80"/>
      <c r="K39" s="81"/>
      <c r="L39" s="80"/>
      <c r="M39" s="81"/>
      <c r="N39" s="80"/>
      <c r="O39" s="81"/>
      <c r="P39" s="80"/>
      <c r="Q39" s="81"/>
      <c r="R39" s="80"/>
      <c r="S39" s="81"/>
      <c r="T39" s="80"/>
      <c r="U39" s="81"/>
      <c r="V39" s="80"/>
      <c r="W39" s="81"/>
      <c r="X39" s="80"/>
      <c r="Y39" s="81"/>
      <c r="Z39" s="80"/>
      <c r="AA39" s="81"/>
      <c r="AB39" s="80"/>
      <c r="AC39" s="81"/>
      <c r="AD39" s="80"/>
      <c r="AE39" s="81"/>
      <c r="AF39" s="80"/>
      <c r="AG39" s="81"/>
      <c r="AH39" s="80"/>
      <c r="AI39" s="81"/>
      <c r="AJ39" s="80"/>
      <c r="AK39" s="81"/>
      <c r="AM39" s="698"/>
      <c r="AN39" s="698"/>
    </row>
    <row r="40" spans="1:40" s="66" customFormat="1">
      <c r="A40" s="691"/>
      <c r="B40" s="83" t="s">
        <v>212</v>
      </c>
      <c r="C40" s="79" t="s">
        <v>203</v>
      </c>
      <c r="D40" s="80"/>
      <c r="E40" s="81"/>
      <c r="F40" s="80"/>
      <c r="G40" s="81"/>
      <c r="H40" s="80"/>
      <c r="I40" s="81"/>
      <c r="J40" s="80"/>
      <c r="K40" s="81"/>
      <c r="L40" s="80"/>
      <c r="M40" s="81"/>
      <c r="N40" s="80"/>
      <c r="O40" s="81"/>
      <c r="P40" s="80"/>
      <c r="Q40" s="81"/>
      <c r="R40" s="80"/>
      <c r="S40" s="81"/>
      <c r="T40" s="80"/>
      <c r="U40" s="81"/>
      <c r="V40" s="80"/>
      <c r="W40" s="81"/>
      <c r="X40" s="80"/>
      <c r="Y40" s="81"/>
      <c r="Z40" s="80"/>
      <c r="AA40" s="81"/>
      <c r="AB40" s="80"/>
      <c r="AC40" s="81"/>
      <c r="AD40" s="80"/>
      <c r="AE40" s="81"/>
      <c r="AF40" s="80"/>
      <c r="AG40" s="81"/>
      <c r="AH40" s="80"/>
      <c r="AI40" s="81"/>
      <c r="AJ40" s="80"/>
      <c r="AK40" s="81"/>
      <c r="AM40" s="698"/>
      <c r="AN40" s="698"/>
    </row>
    <row r="41" spans="1:40" s="66" customFormat="1">
      <c r="A41" s="691"/>
      <c r="B41" s="83" t="s">
        <v>296</v>
      </c>
      <c r="C41" s="79" t="s">
        <v>203</v>
      </c>
      <c r="D41" s="80">
        <v>16037.433419186958</v>
      </c>
      <c r="E41" s="81">
        <v>364.03108900367795</v>
      </c>
      <c r="F41" s="80">
        <v>15641</v>
      </c>
      <c r="G41" s="81">
        <v>364.20792</v>
      </c>
      <c r="H41" s="80">
        <v>15672</v>
      </c>
      <c r="I41" s="81">
        <v>376.96937999999994</v>
      </c>
      <c r="J41" s="80">
        <v>15127</v>
      </c>
      <c r="K41" s="81">
        <v>400.25322999999912</v>
      </c>
      <c r="L41" s="80">
        <v>14834</v>
      </c>
      <c r="M41" s="81">
        <v>603.05403000000217</v>
      </c>
      <c r="N41" s="80">
        <v>16125</v>
      </c>
      <c r="O41" s="81">
        <v>698.56087999999738</v>
      </c>
      <c r="P41" s="80">
        <v>19011</v>
      </c>
      <c r="Q41" s="81">
        <v>810.75173000000279</v>
      </c>
      <c r="R41" s="80">
        <v>19564</v>
      </c>
      <c r="S41" s="81">
        <v>966.09246000000678</v>
      </c>
      <c r="T41" s="80">
        <v>20830</v>
      </c>
      <c r="U41" s="81">
        <v>1053.6411200000032</v>
      </c>
      <c r="V41" s="80">
        <v>24901</v>
      </c>
      <c r="W41" s="81">
        <v>1333.9961399999936</v>
      </c>
      <c r="X41" s="80">
        <v>26989</v>
      </c>
      <c r="Y41" s="81">
        <v>1544.1259299999983</v>
      </c>
      <c r="Z41" s="80">
        <v>31383</v>
      </c>
      <c r="AA41" s="81">
        <v>1804.246519999984</v>
      </c>
      <c r="AB41" s="80">
        <v>30923</v>
      </c>
      <c r="AC41" s="81">
        <v>1922.2566000000008</v>
      </c>
      <c r="AD41" s="80">
        <v>30081</v>
      </c>
      <c r="AE41" s="81">
        <v>1944.5031600000011</v>
      </c>
      <c r="AF41" s="80">
        <v>33290</v>
      </c>
      <c r="AG41" s="81">
        <v>2196.7511</v>
      </c>
      <c r="AH41" s="80">
        <v>34383</v>
      </c>
      <c r="AI41" s="81">
        <v>2398.6661000000054</v>
      </c>
      <c r="AJ41" s="80">
        <v>35756</v>
      </c>
      <c r="AK41" s="81">
        <v>2501.0934900000029</v>
      </c>
      <c r="AM41" s="698"/>
      <c r="AN41" s="698"/>
    </row>
    <row r="42" spans="1:40" s="66" customFormat="1">
      <c r="A42" s="692"/>
      <c r="B42" s="84" t="s">
        <v>297</v>
      </c>
      <c r="C42" s="79" t="s">
        <v>203</v>
      </c>
      <c r="D42" s="80">
        <v>5196.8381083879876</v>
      </c>
      <c r="E42" s="81">
        <v>12.234868780857337</v>
      </c>
      <c r="F42" s="80">
        <v>5405</v>
      </c>
      <c r="G42" s="81">
        <v>14.693239999999999</v>
      </c>
      <c r="H42" s="80">
        <v>4408</v>
      </c>
      <c r="I42" s="81">
        <v>13.669739999999999</v>
      </c>
      <c r="J42" s="80">
        <v>4683</v>
      </c>
      <c r="K42" s="81">
        <v>26.4484500000002</v>
      </c>
      <c r="L42" s="80">
        <v>4385</v>
      </c>
      <c r="M42" s="81">
        <v>24.5812300000002</v>
      </c>
      <c r="N42" s="80">
        <v>4971</v>
      </c>
      <c r="O42" s="81">
        <v>31.9624199999982</v>
      </c>
      <c r="P42" s="80">
        <v>5587</v>
      </c>
      <c r="Q42" s="81">
        <v>29.937250000000212</v>
      </c>
      <c r="R42" s="80">
        <v>5324</v>
      </c>
      <c r="S42" s="81">
        <v>35.089500000000157</v>
      </c>
      <c r="T42" s="80">
        <v>5846</v>
      </c>
      <c r="U42" s="81">
        <v>39.373240000000187</v>
      </c>
      <c r="V42" s="80">
        <v>6020</v>
      </c>
      <c r="W42" s="81">
        <v>40.240160000000287</v>
      </c>
      <c r="X42" s="80">
        <v>4532</v>
      </c>
      <c r="Y42" s="81">
        <v>30.303600000000039</v>
      </c>
      <c r="Z42" s="80">
        <v>3268</v>
      </c>
      <c r="AA42" s="81">
        <v>21.382299999998743</v>
      </c>
      <c r="AB42" s="80">
        <v>2672</v>
      </c>
      <c r="AC42" s="81">
        <v>18.15717999999999</v>
      </c>
      <c r="AD42" s="80">
        <v>2119</v>
      </c>
      <c r="AE42" s="81">
        <v>14.2485</v>
      </c>
      <c r="AF42" s="80">
        <v>1908</v>
      </c>
      <c r="AG42" s="81">
        <v>12.864500000000003</v>
      </c>
      <c r="AH42" s="80">
        <v>1901</v>
      </c>
      <c r="AI42" s="81">
        <v>12.891900000000005</v>
      </c>
      <c r="AJ42" s="80">
        <v>2097</v>
      </c>
      <c r="AK42" s="81">
        <v>14.154900000000007</v>
      </c>
      <c r="AM42" s="698"/>
      <c r="AN42" s="698"/>
    </row>
    <row r="43" spans="1:40" s="66" customFormat="1">
      <c r="A43" s="692"/>
      <c r="B43" s="84" t="s">
        <v>298</v>
      </c>
      <c r="C43" s="79" t="s">
        <v>203</v>
      </c>
      <c r="D43" s="80">
        <v>2769.1017232681024</v>
      </c>
      <c r="E43" s="81">
        <v>34.617220700254876</v>
      </c>
      <c r="F43" s="80">
        <v>2854</v>
      </c>
      <c r="G43" s="81">
        <v>35.30545</v>
      </c>
      <c r="H43" s="80">
        <v>3837</v>
      </c>
      <c r="I43" s="81">
        <v>46.924339999999994</v>
      </c>
      <c r="J43" s="80">
        <v>3201</v>
      </c>
      <c r="K43" s="81">
        <v>39.134449999999902</v>
      </c>
      <c r="L43" s="80">
        <v>2106</v>
      </c>
      <c r="M43" s="81">
        <v>35.939329999999998</v>
      </c>
      <c r="N43" s="80">
        <v>2281</v>
      </c>
      <c r="O43" s="81">
        <v>44.942070000000079</v>
      </c>
      <c r="P43" s="80">
        <v>3725</v>
      </c>
      <c r="Q43" s="81">
        <v>73.82926000000019</v>
      </c>
      <c r="R43" s="80">
        <v>2645</v>
      </c>
      <c r="S43" s="81">
        <v>54.85805000000007</v>
      </c>
      <c r="T43" s="80">
        <v>2034</v>
      </c>
      <c r="U43" s="81">
        <v>42.339460000000003</v>
      </c>
      <c r="V43" s="80">
        <v>2339</v>
      </c>
      <c r="W43" s="81">
        <v>51.671989999999944</v>
      </c>
      <c r="X43" s="80">
        <v>2662</v>
      </c>
      <c r="Y43" s="81">
        <v>60.532859999999914</v>
      </c>
      <c r="Z43" s="80">
        <v>6256</v>
      </c>
      <c r="AA43" s="81">
        <v>125.79216999999448</v>
      </c>
      <c r="AB43" s="80">
        <v>5826</v>
      </c>
      <c r="AC43" s="81">
        <v>107.43633999999987</v>
      </c>
      <c r="AD43" s="80">
        <v>5669</v>
      </c>
      <c r="AE43" s="81">
        <v>105.21789999999987</v>
      </c>
      <c r="AF43" s="80">
        <v>6260</v>
      </c>
      <c r="AG43" s="81">
        <v>116.33798999999975</v>
      </c>
      <c r="AH43" s="80">
        <v>5459</v>
      </c>
      <c r="AI43" s="81">
        <v>124.46024999999999</v>
      </c>
      <c r="AJ43" s="80">
        <v>5241</v>
      </c>
      <c r="AK43" s="81">
        <v>122.36376999999996</v>
      </c>
      <c r="AM43" s="698"/>
      <c r="AN43" s="698"/>
    </row>
    <row r="44" spans="1:40" s="66" customFormat="1">
      <c r="A44" s="692"/>
      <c r="B44" s="84" t="s">
        <v>299</v>
      </c>
      <c r="C44" s="79" t="s">
        <v>203</v>
      </c>
      <c r="D44" s="80">
        <v>5715.6235893895546</v>
      </c>
      <c r="E44" s="81">
        <v>190.75575277563433</v>
      </c>
      <c r="F44" s="80">
        <v>3661</v>
      </c>
      <c r="G44" s="81">
        <v>120.39554</v>
      </c>
      <c r="H44" s="80">
        <v>3751</v>
      </c>
      <c r="I44" s="81">
        <v>126.18411999999999</v>
      </c>
      <c r="J44" s="80">
        <v>2892</v>
      </c>
      <c r="K44" s="81">
        <v>100.47505</v>
      </c>
      <c r="L44" s="80">
        <v>4025</v>
      </c>
      <c r="M44" s="81">
        <v>215.44192999999999</v>
      </c>
      <c r="N44" s="80">
        <v>6473</v>
      </c>
      <c r="O44" s="81">
        <v>416.78449999999782</v>
      </c>
      <c r="P44" s="80">
        <v>9051</v>
      </c>
      <c r="Q44" s="81">
        <v>657.20946000000242</v>
      </c>
      <c r="R44" s="80">
        <v>10790</v>
      </c>
      <c r="S44" s="81">
        <v>803.73275000000649</v>
      </c>
      <c r="T44" s="80">
        <v>12237</v>
      </c>
      <c r="U44" s="81">
        <v>906.33389000000307</v>
      </c>
      <c r="V44" s="80">
        <v>15500</v>
      </c>
      <c r="W44" s="81">
        <v>1145.0822199999932</v>
      </c>
      <c r="X44" s="80">
        <v>18776</v>
      </c>
      <c r="Y44" s="81">
        <v>1354.8970699999984</v>
      </c>
      <c r="Z44" s="80">
        <v>20056</v>
      </c>
      <c r="AA44" s="81">
        <v>1482.6844799999901</v>
      </c>
      <c r="AB44" s="80">
        <v>17083</v>
      </c>
      <c r="AC44" s="81">
        <v>1272.9860300000005</v>
      </c>
      <c r="AD44" s="80">
        <v>14956</v>
      </c>
      <c r="AE44" s="81">
        <v>1109.9242500000005</v>
      </c>
      <c r="AF44" s="80">
        <v>16422</v>
      </c>
      <c r="AG44" s="81">
        <v>1215.3193599999995</v>
      </c>
      <c r="AH44" s="80">
        <v>14892</v>
      </c>
      <c r="AI44" s="81">
        <v>1066.7846700000011</v>
      </c>
      <c r="AJ44" s="80">
        <v>14161</v>
      </c>
      <c r="AK44" s="81">
        <v>975.88730999999916</v>
      </c>
      <c r="AM44" s="698"/>
      <c r="AN44" s="698"/>
    </row>
    <row r="45" spans="1:40" s="66" customFormat="1">
      <c r="A45" s="692"/>
      <c r="B45" s="84" t="s">
        <v>300</v>
      </c>
      <c r="C45" s="79" t="s">
        <v>203</v>
      </c>
      <c r="D45" s="80">
        <v>2214.3830487772498</v>
      </c>
      <c r="E45" s="81">
        <v>111.22116265327574</v>
      </c>
      <c r="F45" s="80">
        <v>3662</v>
      </c>
      <c r="G45" s="81">
        <v>186.24557999999999</v>
      </c>
      <c r="H45" s="80">
        <v>3653</v>
      </c>
      <c r="I45" s="81">
        <v>187.11935999999997</v>
      </c>
      <c r="J45" s="80">
        <v>4113</v>
      </c>
      <c r="K45" s="81">
        <v>213.97962999999899</v>
      </c>
      <c r="L45" s="80">
        <v>4302</v>
      </c>
      <c r="M45" s="81">
        <v>323.84577000000201</v>
      </c>
      <c r="N45" s="80">
        <v>2389</v>
      </c>
      <c r="O45" s="81">
        <v>201.47962000000118</v>
      </c>
      <c r="P45" s="80">
        <v>626</v>
      </c>
      <c r="Q45" s="81">
        <v>47.840669999999996</v>
      </c>
      <c r="R45" s="80">
        <v>792</v>
      </c>
      <c r="S45" s="81">
        <v>68.570270000000022</v>
      </c>
      <c r="T45" s="80">
        <v>704</v>
      </c>
      <c r="U45" s="81">
        <v>63.426909999999999</v>
      </c>
      <c r="V45" s="80">
        <v>1033</v>
      </c>
      <c r="W45" s="81">
        <v>94.960270000000065</v>
      </c>
      <c r="X45" s="80">
        <v>1012</v>
      </c>
      <c r="Y45" s="81">
        <v>96.339980000000068</v>
      </c>
      <c r="Z45" s="80">
        <v>1799</v>
      </c>
      <c r="AA45" s="81">
        <v>174.10561000000044</v>
      </c>
      <c r="AB45" s="80">
        <v>5341</v>
      </c>
      <c r="AC45" s="81">
        <v>523.67655000000036</v>
      </c>
      <c r="AD45" s="80">
        <v>7333</v>
      </c>
      <c r="AE45" s="81">
        <v>715.11051000000066</v>
      </c>
      <c r="AF45" s="80">
        <v>8700</v>
      </c>
      <c r="AG45" s="81">
        <v>852.22925000000066</v>
      </c>
      <c r="AH45" s="80">
        <v>12130</v>
      </c>
      <c r="AI45" s="81">
        <v>1194.5287800000042</v>
      </c>
      <c r="AJ45" s="80">
        <v>14251</v>
      </c>
      <c r="AK45" s="81">
        <v>1388.684010000004</v>
      </c>
      <c r="AM45" s="698"/>
      <c r="AN45" s="698"/>
    </row>
    <row r="46" spans="1:40" s="66" customFormat="1">
      <c r="A46" s="692"/>
      <c r="B46" s="84" t="s">
        <v>301</v>
      </c>
      <c r="C46" s="79" t="s">
        <v>203</v>
      </c>
      <c r="D46" s="80">
        <v>141.48694936406363</v>
      </c>
      <c r="E46" s="81">
        <v>15.202084093655705</v>
      </c>
      <c r="F46" s="80">
        <v>59</v>
      </c>
      <c r="G46" s="81">
        <v>7.5681099999999999</v>
      </c>
      <c r="H46" s="80">
        <v>23</v>
      </c>
      <c r="I46" s="81">
        <v>3.0718200000000002</v>
      </c>
      <c r="J46" s="80">
        <v>238</v>
      </c>
      <c r="K46" s="81">
        <v>20.21565</v>
      </c>
      <c r="L46" s="80">
        <v>16</v>
      </c>
      <c r="M46" s="81">
        <v>3.2457699999999998</v>
      </c>
      <c r="N46" s="80">
        <v>11</v>
      </c>
      <c r="O46" s="81">
        <v>3.3922699999999999</v>
      </c>
      <c r="P46" s="80">
        <v>22</v>
      </c>
      <c r="Q46" s="81">
        <v>1.93509</v>
      </c>
      <c r="R46" s="80">
        <v>13</v>
      </c>
      <c r="S46" s="81">
        <v>3.8418900000000002</v>
      </c>
      <c r="T46" s="80">
        <v>9</v>
      </c>
      <c r="U46" s="81">
        <v>2.1676199999999999</v>
      </c>
      <c r="V46" s="80">
        <v>9</v>
      </c>
      <c r="W46" s="81">
        <v>2.0415000000000001</v>
      </c>
      <c r="X46" s="80">
        <v>7</v>
      </c>
      <c r="Y46" s="81">
        <v>2.0524200000000001</v>
      </c>
      <c r="Z46" s="80">
        <v>4</v>
      </c>
      <c r="AA46" s="81">
        <v>0.28195999999999999</v>
      </c>
      <c r="AB46" s="80">
        <v>1</v>
      </c>
      <c r="AC46" s="81">
        <v>5.0000000000000001E-4</v>
      </c>
      <c r="AD46" s="80">
        <v>4</v>
      </c>
      <c r="AE46" s="81">
        <v>2E-3</v>
      </c>
      <c r="AF46" s="80">
        <v>0</v>
      </c>
      <c r="AG46" s="81">
        <v>0</v>
      </c>
      <c r="AH46" s="80">
        <v>1</v>
      </c>
      <c r="AI46" s="81">
        <v>5.0000000000000001E-4</v>
      </c>
      <c r="AJ46" s="80">
        <v>6</v>
      </c>
      <c r="AK46" s="81">
        <v>3.5000000000000001E-3</v>
      </c>
      <c r="AM46" s="698"/>
      <c r="AN46" s="698"/>
    </row>
    <row r="47" spans="1:40" s="66" customFormat="1">
      <c r="A47" s="691"/>
      <c r="B47" s="83" t="s">
        <v>302</v>
      </c>
      <c r="C47" s="79" t="s">
        <v>203</v>
      </c>
      <c r="D47" s="80">
        <v>5150.79870422984</v>
      </c>
      <c r="E47" s="81">
        <v>173.93893353458111</v>
      </c>
      <c r="F47" s="80">
        <v>5061</v>
      </c>
      <c r="G47" s="81">
        <v>177.40919000000011</v>
      </c>
      <c r="H47" s="80">
        <v>5135</v>
      </c>
      <c r="I47" s="81">
        <v>172.48868000000002</v>
      </c>
      <c r="J47" s="80">
        <v>5489</v>
      </c>
      <c r="K47" s="81">
        <v>211.89298000000002</v>
      </c>
      <c r="L47" s="80">
        <v>5473</v>
      </c>
      <c r="M47" s="81">
        <v>326.16341999999997</v>
      </c>
      <c r="N47" s="80">
        <v>6707</v>
      </c>
      <c r="O47" s="81">
        <v>451.62378000000308</v>
      </c>
      <c r="P47" s="80">
        <v>7523</v>
      </c>
      <c r="Q47" s="81">
        <v>525.00880999999413</v>
      </c>
      <c r="R47" s="80">
        <v>7597</v>
      </c>
      <c r="S47" s="81">
        <v>569.85359999999412</v>
      </c>
      <c r="T47" s="80">
        <v>8047</v>
      </c>
      <c r="U47" s="81">
        <v>624.3433100000068</v>
      </c>
      <c r="V47" s="80">
        <v>10404</v>
      </c>
      <c r="W47" s="81">
        <v>841.12577999999894</v>
      </c>
      <c r="X47" s="80">
        <v>12011</v>
      </c>
      <c r="Y47" s="81">
        <v>964.08134999999663</v>
      </c>
      <c r="Z47" s="80">
        <v>12202</v>
      </c>
      <c r="AA47" s="81">
        <v>993.80103999986932</v>
      </c>
      <c r="AB47" s="80">
        <v>14603</v>
      </c>
      <c r="AC47" s="81">
        <v>1286.9007700000013</v>
      </c>
      <c r="AD47" s="80">
        <v>14947</v>
      </c>
      <c r="AE47" s="81">
        <v>1354.8939000000016</v>
      </c>
      <c r="AF47" s="80">
        <v>16287</v>
      </c>
      <c r="AG47" s="81">
        <v>1487.443080000003</v>
      </c>
      <c r="AH47" s="80">
        <v>17965</v>
      </c>
      <c r="AI47" s="81">
        <v>1691.380620000004</v>
      </c>
      <c r="AJ47" s="80">
        <v>18604</v>
      </c>
      <c r="AK47" s="81">
        <v>1767.8842400000049</v>
      </c>
      <c r="AM47" s="698"/>
      <c r="AN47" s="698"/>
    </row>
    <row r="48" spans="1:40" s="66" customFormat="1">
      <c r="A48" s="690"/>
      <c r="B48" s="82" t="s">
        <v>297</v>
      </c>
      <c r="C48" s="79" t="s">
        <v>203</v>
      </c>
      <c r="D48" s="80">
        <v>918.54225856987341</v>
      </c>
      <c r="E48" s="81">
        <v>2.7303243053070183</v>
      </c>
      <c r="F48" s="80">
        <v>960</v>
      </c>
      <c r="G48" s="81">
        <v>3.19177</v>
      </c>
      <c r="H48" s="80">
        <v>880</v>
      </c>
      <c r="I48" s="81">
        <v>3.2301799999999998</v>
      </c>
      <c r="J48" s="80">
        <v>866</v>
      </c>
      <c r="K48" s="81">
        <v>5.6203400000000006</v>
      </c>
      <c r="L48" s="80">
        <v>1118</v>
      </c>
      <c r="M48" s="81">
        <v>7.2119900000000099</v>
      </c>
      <c r="N48" s="80">
        <v>1067</v>
      </c>
      <c r="O48" s="81">
        <v>7.8227499999999432</v>
      </c>
      <c r="P48" s="80">
        <v>1037</v>
      </c>
      <c r="Q48" s="81">
        <v>8.0057800000000068</v>
      </c>
      <c r="R48" s="80">
        <v>1014</v>
      </c>
      <c r="S48" s="81">
        <v>7.8689200000000072</v>
      </c>
      <c r="T48" s="80">
        <v>992</v>
      </c>
      <c r="U48" s="81">
        <v>7.7441100000000107</v>
      </c>
      <c r="V48" s="80">
        <v>911</v>
      </c>
      <c r="W48" s="81">
        <v>7.0750300000000026</v>
      </c>
      <c r="X48" s="80">
        <v>735</v>
      </c>
      <c r="Y48" s="81">
        <v>5.6890999999999989</v>
      </c>
      <c r="Z48" s="80">
        <v>408</v>
      </c>
      <c r="AA48" s="81">
        <v>3.1592800000000176</v>
      </c>
      <c r="AB48" s="80">
        <v>419</v>
      </c>
      <c r="AC48" s="81">
        <v>3.2765799999999983</v>
      </c>
      <c r="AD48" s="80">
        <v>346</v>
      </c>
      <c r="AE48" s="81">
        <v>2.7057199999999995</v>
      </c>
      <c r="AF48" s="80">
        <v>277</v>
      </c>
      <c r="AG48" s="81">
        <v>2.16614</v>
      </c>
      <c r="AH48" s="80">
        <v>283</v>
      </c>
      <c r="AI48" s="81">
        <v>2.1911000000000009</v>
      </c>
      <c r="AJ48" s="80">
        <v>288</v>
      </c>
      <c r="AK48" s="81">
        <v>2.2521599999999999</v>
      </c>
      <c r="AM48" s="698"/>
      <c r="AN48" s="698"/>
    </row>
    <row r="49" spans="1:40" s="66" customFormat="1">
      <c r="A49" s="690"/>
      <c r="B49" s="82" t="s">
        <v>298</v>
      </c>
      <c r="C49" s="79" t="s">
        <v>203</v>
      </c>
      <c r="D49" s="80">
        <v>692.83688696529566</v>
      </c>
      <c r="E49" s="81">
        <v>11.019123292517476</v>
      </c>
      <c r="F49" s="80">
        <v>718</v>
      </c>
      <c r="G49" s="81">
        <v>10.79758</v>
      </c>
      <c r="H49" s="80">
        <v>1033</v>
      </c>
      <c r="I49" s="81">
        <v>14.4025</v>
      </c>
      <c r="J49" s="80">
        <v>1055</v>
      </c>
      <c r="K49" s="81">
        <v>14.98077</v>
      </c>
      <c r="L49" s="80">
        <v>508</v>
      </c>
      <c r="M49" s="81">
        <v>9.8867600000000007</v>
      </c>
      <c r="N49" s="80">
        <v>581</v>
      </c>
      <c r="O49" s="81">
        <v>13.12818</v>
      </c>
      <c r="P49" s="80">
        <v>741</v>
      </c>
      <c r="Q49" s="81">
        <v>17.468689999999999</v>
      </c>
      <c r="R49" s="80">
        <v>425</v>
      </c>
      <c r="S49" s="81">
        <v>10.371139999999999</v>
      </c>
      <c r="T49" s="80">
        <v>296</v>
      </c>
      <c r="U49" s="81">
        <v>7.4433500000000006</v>
      </c>
      <c r="V49" s="80">
        <v>404</v>
      </c>
      <c r="W49" s="81">
        <v>10.991040000000003</v>
      </c>
      <c r="X49" s="80">
        <v>455</v>
      </c>
      <c r="Y49" s="81">
        <v>12.28468</v>
      </c>
      <c r="Z49" s="80">
        <v>906</v>
      </c>
      <c r="AA49" s="81">
        <v>21.468160000000026</v>
      </c>
      <c r="AB49" s="80">
        <v>889</v>
      </c>
      <c r="AC49" s="81">
        <v>18.724469999999993</v>
      </c>
      <c r="AD49" s="80">
        <v>890</v>
      </c>
      <c r="AE49" s="81">
        <v>19.41478</v>
      </c>
      <c r="AF49" s="80">
        <v>998</v>
      </c>
      <c r="AG49" s="81">
        <v>22.862690000000001</v>
      </c>
      <c r="AH49" s="80">
        <v>886</v>
      </c>
      <c r="AI49" s="81">
        <v>24.259140000000006</v>
      </c>
      <c r="AJ49" s="80">
        <v>1147</v>
      </c>
      <c r="AK49" s="81">
        <v>33.905120000000032</v>
      </c>
      <c r="AM49" s="698"/>
      <c r="AN49" s="698"/>
    </row>
    <row r="50" spans="1:40" s="66" customFormat="1">
      <c r="A50" s="690"/>
      <c r="B50" s="82" t="s">
        <v>299</v>
      </c>
      <c r="C50" s="79" t="s">
        <v>203</v>
      </c>
      <c r="D50" s="80">
        <v>2763.4871617854014</v>
      </c>
      <c r="E50" s="81">
        <v>104.80993636024819</v>
      </c>
      <c r="F50" s="80">
        <v>2024</v>
      </c>
      <c r="G50" s="81">
        <v>76.13355</v>
      </c>
      <c r="H50" s="80">
        <v>1959</v>
      </c>
      <c r="I50" s="81">
        <v>75.355740000000011</v>
      </c>
      <c r="J50" s="80">
        <v>1462</v>
      </c>
      <c r="K50" s="81">
        <v>58.122120000000002</v>
      </c>
      <c r="L50" s="80">
        <v>1445</v>
      </c>
      <c r="M50" s="81">
        <v>90.818479999999994</v>
      </c>
      <c r="N50" s="80">
        <v>3685</v>
      </c>
      <c r="O50" s="81">
        <v>288.57310000000535</v>
      </c>
      <c r="P50" s="80">
        <v>5664</v>
      </c>
      <c r="Q50" s="81">
        <v>489.41733999999411</v>
      </c>
      <c r="R50" s="80">
        <v>6018</v>
      </c>
      <c r="S50" s="81">
        <v>533.89973999999404</v>
      </c>
      <c r="T50" s="80">
        <v>6666</v>
      </c>
      <c r="U50" s="81">
        <v>597.15067000000681</v>
      </c>
      <c r="V50" s="80">
        <v>8938</v>
      </c>
      <c r="W50" s="81">
        <v>801.19379999999899</v>
      </c>
      <c r="X50" s="80">
        <v>10542</v>
      </c>
      <c r="Y50" s="81">
        <v>909.56318999999655</v>
      </c>
      <c r="Z50" s="80">
        <v>10318</v>
      </c>
      <c r="AA50" s="81">
        <v>904.84454999986906</v>
      </c>
      <c r="AB50" s="80">
        <v>10020</v>
      </c>
      <c r="AC50" s="81">
        <v>894.11810000000128</v>
      </c>
      <c r="AD50" s="80">
        <v>8796</v>
      </c>
      <c r="AE50" s="81">
        <v>774.79796000000067</v>
      </c>
      <c r="AF50" s="80">
        <v>8981</v>
      </c>
      <c r="AG50" s="81">
        <v>777.70916000000125</v>
      </c>
      <c r="AH50" s="80">
        <v>8217</v>
      </c>
      <c r="AI50" s="81">
        <v>691.71605000000068</v>
      </c>
      <c r="AJ50" s="80">
        <v>6940</v>
      </c>
      <c r="AK50" s="81">
        <v>569.03099000000009</v>
      </c>
      <c r="AM50" s="698"/>
      <c r="AN50" s="698"/>
    </row>
    <row r="51" spans="1:40" s="66" customFormat="1">
      <c r="A51" s="690"/>
      <c r="B51" s="82" t="s">
        <v>300</v>
      </c>
      <c r="C51" s="79" t="s">
        <v>203</v>
      </c>
      <c r="D51" s="80">
        <v>623.216324579804</v>
      </c>
      <c r="E51" s="81">
        <v>35.882865103107214</v>
      </c>
      <c r="F51" s="80">
        <v>1266</v>
      </c>
      <c r="G51" s="81">
        <v>74.243230000000096</v>
      </c>
      <c r="H51" s="80">
        <v>1232</v>
      </c>
      <c r="I51" s="81">
        <v>73.020039999999995</v>
      </c>
      <c r="J51" s="80">
        <v>2025</v>
      </c>
      <c r="K51" s="81">
        <v>121.45553</v>
      </c>
      <c r="L51" s="80">
        <v>2354</v>
      </c>
      <c r="M51" s="81">
        <v>204.05776999999998</v>
      </c>
      <c r="N51" s="80">
        <v>1341</v>
      </c>
      <c r="O51" s="81">
        <v>130.21758999999778</v>
      </c>
      <c r="P51" s="80">
        <v>73</v>
      </c>
      <c r="Q51" s="81">
        <v>7.1748400000000006</v>
      </c>
      <c r="R51" s="80">
        <v>125</v>
      </c>
      <c r="S51" s="81">
        <v>12.197250000000002</v>
      </c>
      <c r="T51" s="80">
        <v>82</v>
      </c>
      <c r="U51" s="81">
        <v>8.0321099999999994</v>
      </c>
      <c r="V51" s="80">
        <v>129</v>
      </c>
      <c r="W51" s="81">
        <v>13.276210000000001</v>
      </c>
      <c r="X51" s="80">
        <v>258</v>
      </c>
      <c r="Y51" s="81">
        <v>28.322399999999998</v>
      </c>
      <c r="Z51" s="80">
        <v>566</v>
      </c>
      <c r="AA51" s="81">
        <v>62.93037000000016</v>
      </c>
      <c r="AB51" s="80">
        <v>3275</v>
      </c>
      <c r="AC51" s="81">
        <v>370.78162000000009</v>
      </c>
      <c r="AD51" s="80">
        <v>4914</v>
      </c>
      <c r="AE51" s="81">
        <v>557.69498000000078</v>
      </c>
      <c r="AF51" s="80">
        <v>6031</v>
      </c>
      <c r="AG51" s="81">
        <v>684.70509000000175</v>
      </c>
      <c r="AH51" s="80">
        <v>8575</v>
      </c>
      <c r="AI51" s="81">
        <v>973.21233000000325</v>
      </c>
      <c r="AJ51" s="80">
        <v>10229</v>
      </c>
      <c r="AK51" s="81">
        <v>1162.6959700000048</v>
      </c>
      <c r="AM51" s="698"/>
      <c r="AN51" s="698"/>
    </row>
    <row r="52" spans="1:40" s="66" customFormat="1">
      <c r="A52" s="690"/>
      <c r="B52" s="82" t="s">
        <v>301</v>
      </c>
      <c r="C52" s="79" t="s">
        <v>203</v>
      </c>
      <c r="D52" s="80">
        <v>152.71607232946548</v>
      </c>
      <c r="E52" s="81">
        <v>19.496684473401231</v>
      </c>
      <c r="F52" s="80">
        <v>93</v>
      </c>
      <c r="G52" s="81">
        <v>13.043059999999999</v>
      </c>
      <c r="H52" s="80">
        <v>31</v>
      </c>
      <c r="I52" s="81">
        <v>6.4802200000000001</v>
      </c>
      <c r="J52" s="80">
        <v>81</v>
      </c>
      <c r="K52" s="81">
        <v>11.714219999999999</v>
      </c>
      <c r="L52" s="80">
        <v>48</v>
      </c>
      <c r="M52" s="81">
        <v>14.188420000000001</v>
      </c>
      <c r="N52" s="80">
        <v>33</v>
      </c>
      <c r="O52" s="81">
        <v>11.882160000000001</v>
      </c>
      <c r="P52" s="80">
        <v>8</v>
      </c>
      <c r="Q52" s="81">
        <v>2.9421599999999999</v>
      </c>
      <c r="R52" s="80">
        <v>15</v>
      </c>
      <c r="S52" s="81">
        <v>5.5165499999999996</v>
      </c>
      <c r="T52" s="80">
        <v>11</v>
      </c>
      <c r="U52" s="81">
        <v>3.9730699999999999</v>
      </c>
      <c r="V52" s="80">
        <v>22</v>
      </c>
      <c r="W52" s="81">
        <v>8.5896999999999988</v>
      </c>
      <c r="X52" s="80">
        <v>21</v>
      </c>
      <c r="Y52" s="81">
        <v>8.2219800000000003</v>
      </c>
      <c r="Z52" s="80">
        <v>4</v>
      </c>
      <c r="AA52" s="81">
        <v>1.3986800000000001</v>
      </c>
      <c r="AB52" s="80">
        <v>0</v>
      </c>
      <c r="AC52" s="81">
        <v>0</v>
      </c>
      <c r="AD52" s="80">
        <v>1</v>
      </c>
      <c r="AE52" s="81">
        <v>0.28045999999999999</v>
      </c>
      <c r="AF52" s="80">
        <v>0</v>
      </c>
      <c r="AG52" s="81">
        <v>0</v>
      </c>
      <c r="AH52" s="80">
        <v>4</v>
      </c>
      <c r="AI52" s="81">
        <v>2E-3</v>
      </c>
      <c r="AJ52" s="80">
        <v>0</v>
      </c>
      <c r="AK52" s="81">
        <v>0</v>
      </c>
      <c r="AM52" s="698"/>
      <c r="AN52" s="698"/>
    </row>
    <row r="53" spans="1:40" s="66" customFormat="1">
      <c r="A53" s="689"/>
      <c r="B53" s="78" t="s">
        <v>304</v>
      </c>
      <c r="C53" s="79" t="s">
        <v>203</v>
      </c>
      <c r="D53" s="80"/>
      <c r="E53" s="81"/>
      <c r="F53" s="80"/>
      <c r="G53" s="81"/>
      <c r="H53" s="80"/>
      <c r="I53" s="81"/>
      <c r="J53" s="80"/>
      <c r="K53" s="81"/>
      <c r="L53" s="80"/>
      <c r="M53" s="81"/>
      <c r="N53" s="80"/>
      <c r="O53" s="81"/>
      <c r="P53" s="80"/>
      <c r="Q53" s="81"/>
      <c r="R53" s="80"/>
      <c r="S53" s="81"/>
      <c r="T53" s="80"/>
      <c r="U53" s="81"/>
      <c r="V53" s="80"/>
      <c r="W53" s="81"/>
      <c r="X53" s="80"/>
      <c r="Y53" s="81"/>
      <c r="Z53" s="80"/>
      <c r="AA53" s="81"/>
      <c r="AB53" s="80"/>
      <c r="AC53" s="81"/>
      <c r="AD53" s="80"/>
      <c r="AE53" s="81"/>
      <c r="AF53" s="80"/>
      <c r="AG53" s="81"/>
      <c r="AH53" s="80"/>
      <c r="AI53" s="81"/>
      <c r="AJ53" s="80"/>
      <c r="AK53" s="81"/>
      <c r="AM53" s="698"/>
      <c r="AN53" s="698"/>
    </row>
    <row r="54" spans="1:40" s="66" customFormat="1">
      <c r="A54" s="691"/>
      <c r="B54" s="83" t="s">
        <v>212</v>
      </c>
      <c r="C54" s="79" t="s">
        <v>203</v>
      </c>
      <c r="D54" s="80"/>
      <c r="E54" s="81"/>
      <c r="F54" s="80"/>
      <c r="G54" s="81"/>
      <c r="H54" s="80"/>
      <c r="I54" s="81"/>
      <c r="J54" s="80"/>
      <c r="K54" s="81"/>
      <c r="L54" s="80"/>
      <c r="M54" s="81"/>
      <c r="N54" s="80"/>
      <c r="O54" s="81"/>
      <c r="P54" s="80"/>
      <c r="Q54" s="81"/>
      <c r="R54" s="80"/>
      <c r="S54" s="81"/>
      <c r="T54" s="80"/>
      <c r="U54" s="81"/>
      <c r="V54" s="80"/>
      <c r="W54" s="81"/>
      <c r="X54" s="80"/>
      <c r="Y54" s="81"/>
      <c r="Z54" s="80"/>
      <c r="AA54" s="81"/>
      <c r="AB54" s="80"/>
      <c r="AC54" s="81"/>
      <c r="AD54" s="80"/>
      <c r="AE54" s="81"/>
      <c r="AF54" s="80"/>
      <c r="AG54" s="81"/>
      <c r="AH54" s="80"/>
      <c r="AI54" s="81"/>
      <c r="AJ54" s="80"/>
      <c r="AK54" s="81"/>
      <c r="AM54" s="698"/>
      <c r="AN54" s="698"/>
    </row>
    <row r="55" spans="1:40" s="66" customFormat="1">
      <c r="A55" s="691"/>
      <c r="B55" s="83" t="s">
        <v>296</v>
      </c>
      <c r="C55" s="79" t="s">
        <v>203</v>
      </c>
      <c r="D55" s="80">
        <v>19399.432835028278</v>
      </c>
      <c r="E55" s="81">
        <v>465.37306200847524</v>
      </c>
      <c r="F55" s="80">
        <v>19187</v>
      </c>
      <c r="G55" s="81">
        <v>474.45068999999802</v>
      </c>
      <c r="H55" s="80">
        <v>19004</v>
      </c>
      <c r="I55" s="81">
        <v>468.64223999999808</v>
      </c>
      <c r="J55" s="80">
        <v>17769</v>
      </c>
      <c r="K55" s="81">
        <v>485.61329999999919</v>
      </c>
      <c r="L55" s="80">
        <v>17135</v>
      </c>
      <c r="M55" s="81">
        <v>706.87269000000333</v>
      </c>
      <c r="N55" s="80">
        <v>18622</v>
      </c>
      <c r="O55" s="81">
        <v>1003.1276900000062</v>
      </c>
      <c r="P55" s="80">
        <v>21380</v>
      </c>
      <c r="Q55" s="81">
        <v>955.62549000000638</v>
      </c>
      <c r="R55" s="80">
        <v>20146</v>
      </c>
      <c r="S55" s="81">
        <v>974.95723000000635</v>
      </c>
      <c r="T55" s="80">
        <v>21087</v>
      </c>
      <c r="U55" s="81">
        <v>1053.212830000004</v>
      </c>
      <c r="V55" s="80">
        <v>26102</v>
      </c>
      <c r="W55" s="81">
        <v>1403.0500599999928</v>
      </c>
      <c r="X55" s="80">
        <v>31056</v>
      </c>
      <c r="Y55" s="81">
        <v>1804.7000399999988</v>
      </c>
      <c r="Z55" s="80">
        <v>35397</v>
      </c>
      <c r="AA55" s="81">
        <v>2071.1789200000003</v>
      </c>
      <c r="AB55" s="80">
        <v>34819</v>
      </c>
      <c r="AC55" s="81">
        <v>2226.2536300000006</v>
      </c>
      <c r="AD55" s="80">
        <v>33851</v>
      </c>
      <c r="AE55" s="81">
        <v>2242.5574500000021</v>
      </c>
      <c r="AF55" s="80">
        <v>35889</v>
      </c>
      <c r="AG55" s="81">
        <v>2380.4549500000003</v>
      </c>
      <c r="AH55" s="80">
        <v>37449</v>
      </c>
      <c r="AI55" s="81">
        <v>2617.9615200000053</v>
      </c>
      <c r="AJ55" s="80">
        <v>38886</v>
      </c>
      <c r="AK55" s="81">
        <v>2748.7418100000027</v>
      </c>
      <c r="AM55" s="698"/>
      <c r="AN55" s="698"/>
    </row>
    <row r="56" spans="1:40" s="66" customFormat="1">
      <c r="A56" s="692"/>
      <c r="B56" s="84" t="s">
        <v>297</v>
      </c>
      <c r="C56" s="79" t="s">
        <v>203</v>
      </c>
      <c r="D56" s="80">
        <v>5480.9349194126553</v>
      </c>
      <c r="E56" s="81">
        <v>12.75208548186718</v>
      </c>
      <c r="F56" s="80">
        <v>5825</v>
      </c>
      <c r="G56" s="81">
        <v>15.786059999999999</v>
      </c>
      <c r="H56" s="80">
        <v>4709</v>
      </c>
      <c r="I56" s="81">
        <v>14.52702</v>
      </c>
      <c r="J56" s="80">
        <v>4796</v>
      </c>
      <c r="K56" s="81">
        <v>27.086380000000201</v>
      </c>
      <c r="L56" s="80">
        <v>4701</v>
      </c>
      <c r="M56" s="81">
        <v>26.349190000000199</v>
      </c>
      <c r="N56" s="80">
        <v>5195</v>
      </c>
      <c r="O56" s="81">
        <v>33.435889999998082</v>
      </c>
      <c r="P56" s="80">
        <v>5663</v>
      </c>
      <c r="Q56" s="81">
        <v>35.399760000000235</v>
      </c>
      <c r="R56" s="80">
        <v>5535</v>
      </c>
      <c r="S56" s="81">
        <v>36.486200000000196</v>
      </c>
      <c r="T56" s="80">
        <v>5724</v>
      </c>
      <c r="U56" s="81">
        <v>38.50196000000016</v>
      </c>
      <c r="V56" s="80">
        <v>6027</v>
      </c>
      <c r="W56" s="81">
        <v>40.345870000000289</v>
      </c>
      <c r="X56" s="80">
        <v>4788</v>
      </c>
      <c r="Y56" s="81">
        <v>32.081400000000087</v>
      </c>
      <c r="Z56" s="80">
        <v>3640</v>
      </c>
      <c r="AA56" s="81">
        <v>24.359219999998405</v>
      </c>
      <c r="AB56" s="80">
        <v>2963</v>
      </c>
      <c r="AC56" s="81">
        <v>20.136999999999979</v>
      </c>
      <c r="AD56" s="80">
        <v>2342</v>
      </c>
      <c r="AE56" s="81">
        <v>15.794400000000001</v>
      </c>
      <c r="AF56" s="80">
        <v>2090</v>
      </c>
      <c r="AG56" s="81">
        <v>14.107899999999999</v>
      </c>
      <c r="AH56" s="80">
        <v>2059</v>
      </c>
      <c r="AI56" s="81">
        <v>13.9663</v>
      </c>
      <c r="AJ56" s="80">
        <v>2276</v>
      </c>
      <c r="AK56" s="81">
        <v>15.372100000000001</v>
      </c>
      <c r="AM56" s="698"/>
      <c r="AN56" s="698"/>
    </row>
    <row r="57" spans="1:40" s="66" customFormat="1">
      <c r="A57" s="692"/>
      <c r="B57" s="84" t="s">
        <v>298</v>
      </c>
      <c r="C57" s="79" t="s">
        <v>203</v>
      </c>
      <c r="D57" s="80">
        <v>3280.0268181938873</v>
      </c>
      <c r="E57" s="81">
        <v>41.61315158405948</v>
      </c>
      <c r="F57" s="80">
        <v>3386</v>
      </c>
      <c r="G57" s="81">
        <v>42.112180000000002</v>
      </c>
      <c r="H57" s="80">
        <v>4666</v>
      </c>
      <c r="I57" s="81">
        <v>56.969010000000097</v>
      </c>
      <c r="J57" s="80">
        <v>3879</v>
      </c>
      <c r="K57" s="81">
        <v>47.116459999999996</v>
      </c>
      <c r="L57" s="80">
        <v>2453</v>
      </c>
      <c r="M57" s="81">
        <v>41.939699999999995</v>
      </c>
      <c r="N57" s="80">
        <v>2673</v>
      </c>
      <c r="O57" s="81">
        <v>52.668570000000095</v>
      </c>
      <c r="P57" s="80">
        <v>4264</v>
      </c>
      <c r="Q57" s="81">
        <v>85.004650000000225</v>
      </c>
      <c r="R57" s="80">
        <v>2936</v>
      </c>
      <c r="S57" s="81">
        <v>61.0558300000001</v>
      </c>
      <c r="T57" s="80">
        <v>2298</v>
      </c>
      <c r="U57" s="81">
        <v>48.216939999999994</v>
      </c>
      <c r="V57" s="80">
        <v>2705</v>
      </c>
      <c r="W57" s="81">
        <v>60.318039999999883</v>
      </c>
      <c r="X57" s="80">
        <v>3096</v>
      </c>
      <c r="Y57" s="81">
        <v>70.723819999999805</v>
      </c>
      <c r="Z57" s="80">
        <v>6430</v>
      </c>
      <c r="AA57" s="81">
        <v>131.83678999999518</v>
      </c>
      <c r="AB57" s="80">
        <v>5754</v>
      </c>
      <c r="AC57" s="81">
        <v>108.3972099999999</v>
      </c>
      <c r="AD57" s="80">
        <v>5580</v>
      </c>
      <c r="AE57" s="81">
        <v>106.34760999999988</v>
      </c>
      <c r="AF57" s="80">
        <v>6204</v>
      </c>
      <c r="AG57" s="81">
        <v>118.69942999999984</v>
      </c>
      <c r="AH57" s="80">
        <v>5889</v>
      </c>
      <c r="AI57" s="81">
        <v>134.83892999999992</v>
      </c>
      <c r="AJ57" s="80">
        <v>5768</v>
      </c>
      <c r="AK57" s="81">
        <v>135.14263999999991</v>
      </c>
      <c r="AM57" s="698"/>
      <c r="AN57" s="698"/>
    </row>
    <row r="58" spans="1:40" s="66" customFormat="1">
      <c r="A58" s="692"/>
      <c r="B58" s="84" t="s">
        <v>299</v>
      </c>
      <c r="C58" s="79" t="s">
        <v>203</v>
      </c>
      <c r="D58" s="80">
        <v>7910.9171291256207</v>
      </c>
      <c r="E58" s="81">
        <v>261.94406045088829</v>
      </c>
      <c r="F58" s="80">
        <v>5329</v>
      </c>
      <c r="G58" s="81">
        <v>174.574029999999</v>
      </c>
      <c r="H58" s="80">
        <v>5319</v>
      </c>
      <c r="I58" s="81">
        <v>178.16067999999899</v>
      </c>
      <c r="J58" s="80">
        <v>3641</v>
      </c>
      <c r="K58" s="81">
        <v>126.22924</v>
      </c>
      <c r="L58" s="80">
        <v>4790</v>
      </c>
      <c r="M58" s="81">
        <v>256.96804000000003</v>
      </c>
      <c r="N58" s="80">
        <v>7976</v>
      </c>
      <c r="O58" s="81">
        <v>599.94670000000394</v>
      </c>
      <c r="P58" s="80">
        <v>10765</v>
      </c>
      <c r="Q58" s="81">
        <v>779.84198000000595</v>
      </c>
      <c r="R58" s="80">
        <v>10922</v>
      </c>
      <c r="S58" s="81">
        <v>808.84478000000604</v>
      </c>
      <c r="T58" s="80">
        <v>12435</v>
      </c>
      <c r="U58" s="81">
        <v>907.61011000000383</v>
      </c>
      <c r="V58" s="80">
        <v>16315</v>
      </c>
      <c r="W58" s="81">
        <v>1199.8424899999925</v>
      </c>
      <c r="X58" s="80">
        <v>21998</v>
      </c>
      <c r="Y58" s="81">
        <v>1587.2101699999987</v>
      </c>
      <c r="Z58" s="80">
        <v>23320</v>
      </c>
      <c r="AA58" s="81">
        <v>1720.5960000000052</v>
      </c>
      <c r="AB58" s="80">
        <v>19915</v>
      </c>
      <c r="AC58" s="81">
        <v>1490.4088800000004</v>
      </c>
      <c r="AD58" s="80">
        <v>17562</v>
      </c>
      <c r="AE58" s="81">
        <v>1300.2083800000009</v>
      </c>
      <c r="AF58" s="80">
        <v>18629</v>
      </c>
      <c r="AG58" s="81">
        <v>1365.1121799999994</v>
      </c>
      <c r="AH58" s="80">
        <v>16282</v>
      </c>
      <c r="AI58" s="81">
        <v>1163.6275400000009</v>
      </c>
      <c r="AJ58" s="80">
        <v>15005</v>
      </c>
      <c r="AK58" s="81">
        <v>1043.5918899999995</v>
      </c>
      <c r="AM58" s="698"/>
      <c r="AN58" s="698"/>
    </row>
    <row r="59" spans="1:40" s="66" customFormat="1">
      <c r="A59" s="692"/>
      <c r="B59" s="84" t="s">
        <v>300</v>
      </c>
      <c r="C59" s="79" t="s">
        <v>203</v>
      </c>
      <c r="D59" s="80">
        <v>2511.9548073603992</v>
      </c>
      <c r="E59" s="81">
        <v>126.03392542267835</v>
      </c>
      <c r="F59" s="80">
        <v>4540</v>
      </c>
      <c r="G59" s="81">
        <v>229.04633999999902</v>
      </c>
      <c r="H59" s="80">
        <v>4277</v>
      </c>
      <c r="I59" s="81">
        <v>214.11410999999899</v>
      </c>
      <c r="J59" s="80">
        <v>5163</v>
      </c>
      <c r="K59" s="81">
        <v>258.60646999999898</v>
      </c>
      <c r="L59" s="80">
        <v>5145</v>
      </c>
      <c r="M59" s="81">
        <v>370.54373000000299</v>
      </c>
      <c r="N59" s="80">
        <v>2763</v>
      </c>
      <c r="O59" s="81">
        <v>312.40319000000397</v>
      </c>
      <c r="P59" s="80">
        <v>667</v>
      </c>
      <c r="Q59" s="81">
        <v>51.532209999999999</v>
      </c>
      <c r="R59" s="80">
        <v>731</v>
      </c>
      <c r="S59" s="81">
        <v>61.846540000000012</v>
      </c>
      <c r="T59" s="80">
        <v>613</v>
      </c>
      <c r="U59" s="81">
        <v>54.05104</v>
      </c>
      <c r="V59" s="80">
        <v>1025</v>
      </c>
      <c r="W59" s="81">
        <v>93.376520000000113</v>
      </c>
      <c r="X59" s="80">
        <v>1160</v>
      </c>
      <c r="Y59" s="81">
        <v>110.24907000000007</v>
      </c>
      <c r="Z59" s="80">
        <v>2001</v>
      </c>
      <c r="AA59" s="81">
        <v>193.47320000000167</v>
      </c>
      <c r="AB59" s="80">
        <v>6186</v>
      </c>
      <c r="AC59" s="81">
        <v>607.31004000000041</v>
      </c>
      <c r="AD59" s="80">
        <v>8363</v>
      </c>
      <c r="AE59" s="81">
        <v>820.20506000000114</v>
      </c>
      <c r="AF59" s="80">
        <v>8967</v>
      </c>
      <c r="AG59" s="81">
        <v>882.53594000000135</v>
      </c>
      <c r="AH59" s="80">
        <v>13219</v>
      </c>
      <c r="AI59" s="81">
        <v>1305.5287500000043</v>
      </c>
      <c r="AJ59" s="80">
        <v>15831</v>
      </c>
      <c r="AK59" s="81">
        <v>1554.6316800000036</v>
      </c>
      <c r="AM59" s="698"/>
      <c r="AN59" s="698"/>
    </row>
    <row r="60" spans="1:40" s="66" customFormat="1">
      <c r="A60" s="692"/>
      <c r="B60" s="84" t="s">
        <v>301</v>
      </c>
      <c r="C60" s="79" t="s">
        <v>203</v>
      </c>
      <c r="D60" s="80">
        <v>215.59916093571599</v>
      </c>
      <c r="E60" s="81">
        <v>23.029839068981961</v>
      </c>
      <c r="F60" s="80">
        <v>107</v>
      </c>
      <c r="G60" s="81">
        <v>12.932079999999999</v>
      </c>
      <c r="H60" s="80">
        <v>33</v>
      </c>
      <c r="I60" s="81">
        <v>4.8714199999999996</v>
      </c>
      <c r="J60" s="80">
        <v>290</v>
      </c>
      <c r="K60" s="81">
        <v>26.574750000000002</v>
      </c>
      <c r="L60" s="80">
        <v>46</v>
      </c>
      <c r="M60" s="81">
        <v>11.07203</v>
      </c>
      <c r="N60" s="80">
        <v>15</v>
      </c>
      <c r="O60" s="81">
        <v>4.6733400000000005</v>
      </c>
      <c r="P60" s="80">
        <v>21</v>
      </c>
      <c r="Q60" s="81">
        <v>3.8468899999999997</v>
      </c>
      <c r="R60" s="80">
        <v>22</v>
      </c>
      <c r="S60" s="81">
        <v>6.7238800000000012</v>
      </c>
      <c r="T60" s="80">
        <v>17</v>
      </c>
      <c r="U60" s="81">
        <v>4.8327800000000005</v>
      </c>
      <c r="V60" s="80">
        <v>30</v>
      </c>
      <c r="W60" s="81">
        <v>9.1671399999999998</v>
      </c>
      <c r="X60" s="80">
        <v>14</v>
      </c>
      <c r="Y60" s="81">
        <v>4.4355799999999999</v>
      </c>
      <c r="Z60" s="80">
        <v>6</v>
      </c>
      <c r="AA60" s="81">
        <v>0.91371000000000002</v>
      </c>
      <c r="AB60" s="80">
        <v>1</v>
      </c>
      <c r="AC60" s="81">
        <v>5.0000000000000001E-4</v>
      </c>
      <c r="AD60" s="80">
        <v>4</v>
      </c>
      <c r="AE60" s="81">
        <v>2E-3</v>
      </c>
      <c r="AF60" s="80">
        <v>-1</v>
      </c>
      <c r="AG60" s="81">
        <v>-5.0000000000000001E-4</v>
      </c>
      <c r="AH60" s="80">
        <v>0</v>
      </c>
      <c r="AI60" s="81">
        <v>0</v>
      </c>
      <c r="AJ60" s="80">
        <v>6</v>
      </c>
      <c r="AK60" s="81">
        <v>3.5000000000000001E-3</v>
      </c>
      <c r="AM60" s="698"/>
      <c r="AN60" s="698"/>
    </row>
    <row r="61" spans="1:40" s="66" customFormat="1">
      <c r="A61" s="691"/>
      <c r="B61" s="83" t="s">
        <v>302</v>
      </c>
      <c r="C61" s="79" t="s">
        <v>203</v>
      </c>
      <c r="D61" s="80">
        <v>1702.3350415549241</v>
      </c>
      <c r="E61" s="81">
        <v>53.728852256773735</v>
      </c>
      <c r="F61" s="80">
        <v>1461</v>
      </c>
      <c r="G61" s="81">
        <v>48.053420000000003</v>
      </c>
      <c r="H61" s="80">
        <v>1825</v>
      </c>
      <c r="I61" s="81">
        <v>65.04853</v>
      </c>
      <c r="J61" s="80">
        <v>2836</v>
      </c>
      <c r="K61" s="81">
        <v>102.38086000000001</v>
      </c>
      <c r="L61" s="80">
        <v>3192</v>
      </c>
      <c r="M61" s="81">
        <v>191.16894000000002</v>
      </c>
      <c r="N61" s="80">
        <v>4219</v>
      </c>
      <c r="O61" s="81">
        <v>294.62136999999808</v>
      </c>
      <c r="P61" s="80">
        <v>5172</v>
      </c>
      <c r="Q61" s="81">
        <v>375.59502999999751</v>
      </c>
      <c r="R61" s="80">
        <v>7082</v>
      </c>
      <c r="S61" s="81">
        <v>577.2783299999943</v>
      </c>
      <c r="T61" s="80">
        <v>7823</v>
      </c>
      <c r="U61" s="81">
        <v>636.87325000000737</v>
      </c>
      <c r="V61" s="80">
        <v>9267</v>
      </c>
      <c r="W61" s="81">
        <v>781.36711999999761</v>
      </c>
      <c r="X61" s="80">
        <v>7972</v>
      </c>
      <c r="Y61" s="81">
        <v>676.94168999999852</v>
      </c>
      <c r="Z61" s="80">
        <v>8243</v>
      </c>
      <c r="AA61" s="81">
        <v>684.29509999993547</v>
      </c>
      <c r="AB61" s="80">
        <v>10719</v>
      </c>
      <c r="AC61" s="81">
        <v>942.23335000000122</v>
      </c>
      <c r="AD61" s="80">
        <v>11161</v>
      </c>
      <c r="AE61" s="81">
        <v>1018.9938300000014</v>
      </c>
      <c r="AF61" s="80">
        <v>13696</v>
      </c>
      <c r="AG61" s="81">
        <v>1285.0621900000015</v>
      </c>
      <c r="AH61" s="80">
        <v>14902</v>
      </c>
      <c r="AI61" s="81">
        <v>1447.9147300000031</v>
      </c>
      <c r="AJ61" s="80">
        <v>15481</v>
      </c>
      <c r="AK61" s="81">
        <v>1501.1299000000031</v>
      </c>
      <c r="AM61" s="698"/>
      <c r="AN61" s="698"/>
    </row>
    <row r="62" spans="1:40" s="66" customFormat="1">
      <c r="A62" s="690"/>
      <c r="B62" s="82" t="s">
        <v>297</v>
      </c>
      <c r="C62" s="79" t="s">
        <v>203</v>
      </c>
      <c r="D62" s="80">
        <v>599.63516635246015</v>
      </c>
      <c r="E62" s="81">
        <v>2.041138960883023</v>
      </c>
      <c r="F62" s="80">
        <v>511</v>
      </c>
      <c r="G62" s="81">
        <v>1.88269</v>
      </c>
      <c r="H62" s="80">
        <v>577</v>
      </c>
      <c r="I62" s="81">
        <v>2.2612899999999998</v>
      </c>
      <c r="J62" s="80">
        <v>749</v>
      </c>
      <c r="K62" s="81">
        <v>4.8610100000000003</v>
      </c>
      <c r="L62" s="80">
        <v>802</v>
      </c>
      <c r="M62" s="81">
        <v>5.1806299999999998</v>
      </c>
      <c r="N62" s="80">
        <v>844</v>
      </c>
      <c r="O62" s="81">
        <v>6.1448599999999995</v>
      </c>
      <c r="P62" s="80">
        <v>961</v>
      </c>
      <c r="Q62" s="81">
        <v>7.4974400000000063</v>
      </c>
      <c r="R62" s="80">
        <v>810</v>
      </c>
      <c r="S62" s="81">
        <v>6.2893399999999993</v>
      </c>
      <c r="T62" s="80">
        <v>1116</v>
      </c>
      <c r="U62" s="81">
        <v>8.7423100000000122</v>
      </c>
      <c r="V62" s="80">
        <v>924</v>
      </c>
      <c r="W62" s="81">
        <v>7.1955000000000044</v>
      </c>
      <c r="X62" s="80">
        <v>485</v>
      </c>
      <c r="Y62" s="81">
        <v>3.7516799999999977</v>
      </c>
      <c r="Z62" s="80">
        <v>127</v>
      </c>
      <c r="AA62" s="81">
        <v>0.99314000000000269</v>
      </c>
      <c r="AB62" s="80">
        <v>145</v>
      </c>
      <c r="AC62" s="81">
        <v>1.1339000000000006</v>
      </c>
      <c r="AD62" s="80">
        <v>126</v>
      </c>
      <c r="AE62" s="81">
        <v>0.98633999999999999</v>
      </c>
      <c r="AF62" s="80">
        <v>100</v>
      </c>
      <c r="AG62" s="81">
        <v>0.78199999999999992</v>
      </c>
      <c r="AH62" s="80">
        <v>119</v>
      </c>
      <c r="AI62" s="81">
        <v>0.90861999999999987</v>
      </c>
      <c r="AJ62" s="80">
        <v>112</v>
      </c>
      <c r="AK62" s="81">
        <v>0.8758400000000004</v>
      </c>
      <c r="AM62" s="698"/>
      <c r="AN62" s="698"/>
    </row>
    <row r="63" spans="1:40" s="66" customFormat="1">
      <c r="A63" s="690"/>
      <c r="B63" s="82" t="s">
        <v>298</v>
      </c>
      <c r="C63" s="79" t="s">
        <v>203</v>
      </c>
      <c r="D63" s="80">
        <v>162.82228299832718</v>
      </c>
      <c r="E63" s="81">
        <v>2.6886373136363955</v>
      </c>
      <c r="F63" s="80">
        <v>166</v>
      </c>
      <c r="G63" s="81">
        <v>2.72838</v>
      </c>
      <c r="H63" s="80">
        <v>206</v>
      </c>
      <c r="I63" s="81">
        <v>2.80992</v>
      </c>
      <c r="J63" s="80">
        <v>375</v>
      </c>
      <c r="K63" s="81">
        <v>5.8171999999999997</v>
      </c>
      <c r="L63" s="80">
        <v>170</v>
      </c>
      <c r="M63" s="81">
        <v>3.1000300000000003</v>
      </c>
      <c r="N63" s="80">
        <v>188</v>
      </c>
      <c r="O63" s="81">
        <v>4.1978500000000105</v>
      </c>
      <c r="P63" s="80">
        <v>200</v>
      </c>
      <c r="Q63" s="81">
        <v>4.5188500000000005</v>
      </c>
      <c r="R63" s="80">
        <v>148</v>
      </c>
      <c r="S63" s="81">
        <v>3.4187099999999999</v>
      </c>
      <c r="T63" s="80">
        <v>38</v>
      </c>
      <c r="U63" s="81">
        <v>0.81147999999999987</v>
      </c>
      <c r="V63" s="80">
        <v>46</v>
      </c>
      <c r="W63" s="81">
        <v>1.13401</v>
      </c>
      <c r="X63" s="80">
        <v>35</v>
      </c>
      <c r="Y63" s="81">
        <v>0.86168000000000011</v>
      </c>
      <c r="Z63" s="80">
        <v>701</v>
      </c>
      <c r="AA63" s="81">
        <v>13.364339999999997</v>
      </c>
      <c r="AB63" s="80">
        <v>960</v>
      </c>
      <c r="AC63" s="81">
        <v>17.94632</v>
      </c>
      <c r="AD63" s="80">
        <v>972</v>
      </c>
      <c r="AE63" s="81">
        <v>18.503520000000002</v>
      </c>
      <c r="AF63" s="80">
        <v>1067</v>
      </c>
      <c r="AG63" s="81">
        <v>20.944480000000006</v>
      </c>
      <c r="AH63" s="80">
        <v>469</v>
      </c>
      <c r="AI63" s="81">
        <v>13.001680000000016</v>
      </c>
      <c r="AJ63" s="80">
        <v>627</v>
      </c>
      <c r="AK63" s="81">
        <v>19.808930000000021</v>
      </c>
      <c r="AM63" s="698"/>
      <c r="AN63" s="698"/>
    </row>
    <row r="64" spans="1:40" s="66" customFormat="1">
      <c r="A64" s="690"/>
      <c r="B64" s="82" t="s">
        <v>299</v>
      </c>
      <c r="C64" s="79" t="s">
        <v>203</v>
      </c>
      <c r="D64" s="80">
        <v>563.70197286317409</v>
      </c>
      <c r="E64" s="81">
        <v>22.13885104222447</v>
      </c>
      <c r="F64" s="80">
        <v>349</v>
      </c>
      <c r="G64" s="81">
        <v>13.523849999999999</v>
      </c>
      <c r="H64" s="80">
        <v>395</v>
      </c>
      <c r="I64" s="81">
        <v>15.74747</v>
      </c>
      <c r="J64" s="80">
        <v>31</v>
      </c>
      <c r="K64" s="81">
        <v>28.28424</v>
      </c>
      <c r="L64" s="80">
        <v>26</v>
      </c>
      <c r="M64" s="81">
        <v>42.807139999999997</v>
      </c>
      <c r="N64" s="80">
        <v>2049</v>
      </c>
      <c r="O64" s="81">
        <v>172.86176999999938</v>
      </c>
      <c r="P64" s="80">
        <v>3952</v>
      </c>
      <c r="Q64" s="81">
        <v>348.74759999999748</v>
      </c>
      <c r="R64" s="80">
        <v>5885</v>
      </c>
      <c r="S64" s="81">
        <v>527.89435999999432</v>
      </c>
      <c r="T64" s="80">
        <v>6465</v>
      </c>
      <c r="U64" s="81">
        <v>595.18293000000733</v>
      </c>
      <c r="V64" s="80">
        <v>8123</v>
      </c>
      <c r="W64" s="81">
        <v>742.73103999999762</v>
      </c>
      <c r="X64" s="80">
        <v>7314</v>
      </c>
      <c r="Y64" s="81">
        <v>647.52700999999854</v>
      </c>
      <c r="Z64" s="80">
        <v>7048</v>
      </c>
      <c r="AA64" s="81">
        <v>628.5552599999354</v>
      </c>
      <c r="AB64" s="80">
        <v>7189</v>
      </c>
      <c r="AC64" s="81">
        <v>648.42025000000115</v>
      </c>
      <c r="AD64" s="80">
        <v>6188</v>
      </c>
      <c r="AE64" s="81">
        <v>559.20729000000063</v>
      </c>
      <c r="AF64" s="80">
        <v>6768</v>
      </c>
      <c r="AG64" s="81">
        <v>608.55539000000044</v>
      </c>
      <c r="AH64" s="80">
        <v>6825</v>
      </c>
      <c r="AI64" s="81">
        <v>583.47649000000058</v>
      </c>
      <c r="AJ64" s="80">
        <v>6093</v>
      </c>
      <c r="AK64" s="81">
        <v>497.3362600000001</v>
      </c>
      <c r="AM64" s="698"/>
      <c r="AN64" s="698"/>
    </row>
    <row r="65" spans="1:40" s="66" customFormat="1">
      <c r="A65" s="690"/>
      <c r="B65" s="82" t="s">
        <v>300</v>
      </c>
      <c r="C65" s="79" t="s">
        <v>203</v>
      </c>
      <c r="D65" s="80">
        <v>314.41544303125249</v>
      </c>
      <c r="E65" s="81">
        <v>18.388478203832214</v>
      </c>
      <c r="F65" s="80">
        <v>389</v>
      </c>
      <c r="G65" s="81">
        <v>22.755459999999999</v>
      </c>
      <c r="H65" s="80">
        <v>609</v>
      </c>
      <c r="I65" s="81">
        <v>36.286529999999999</v>
      </c>
      <c r="J65" s="80">
        <v>707</v>
      </c>
      <c r="K65" s="81">
        <v>58.518250000000002</v>
      </c>
      <c r="L65" s="80">
        <v>677</v>
      </c>
      <c r="M65" s="81">
        <v>132.49817999999999</v>
      </c>
      <c r="N65" s="80">
        <v>1034</v>
      </c>
      <c r="O65" s="81">
        <v>94.011579999998688</v>
      </c>
      <c r="P65" s="80">
        <v>26</v>
      </c>
      <c r="Q65" s="81">
        <v>2.6947299999999998</v>
      </c>
      <c r="R65" s="80">
        <v>185</v>
      </c>
      <c r="S65" s="81">
        <v>19.811970000000002</v>
      </c>
      <c r="T65" s="80">
        <v>166</v>
      </c>
      <c r="U65" s="81">
        <v>18.042950000000005</v>
      </c>
      <c r="V65" s="80">
        <v>135</v>
      </c>
      <c r="W65" s="81">
        <v>15.094529999999999</v>
      </c>
      <c r="X65" s="80">
        <v>105</v>
      </c>
      <c r="Y65" s="81">
        <v>11.87379</v>
      </c>
      <c r="Z65" s="80">
        <v>366</v>
      </c>
      <c r="AA65" s="81">
        <v>41.032690000000116</v>
      </c>
      <c r="AB65" s="80">
        <v>2425</v>
      </c>
      <c r="AC65" s="81">
        <v>274.73288000000002</v>
      </c>
      <c r="AD65" s="80">
        <v>3875</v>
      </c>
      <c r="AE65" s="81">
        <v>440.29668000000032</v>
      </c>
      <c r="AF65" s="80">
        <v>5761</v>
      </c>
      <c r="AG65" s="81">
        <v>654.78032000000087</v>
      </c>
      <c r="AH65" s="80">
        <v>7484</v>
      </c>
      <c r="AI65" s="81">
        <v>850.5254400000025</v>
      </c>
      <c r="AJ65" s="80">
        <v>8649</v>
      </c>
      <c r="AK65" s="81">
        <v>983.10887000000287</v>
      </c>
      <c r="AM65" s="698"/>
      <c r="AN65" s="698"/>
    </row>
    <row r="66" spans="1:40" s="66" customFormat="1">
      <c r="A66" s="690"/>
      <c r="B66" s="82" t="s">
        <v>301</v>
      </c>
      <c r="C66" s="79" t="s">
        <v>203</v>
      </c>
      <c r="D66" s="80">
        <v>61.76017630971031</v>
      </c>
      <c r="E66" s="81">
        <v>8.4717467361976304</v>
      </c>
      <c r="F66" s="80">
        <v>46</v>
      </c>
      <c r="G66" s="81">
        <v>7.1630399999999996</v>
      </c>
      <c r="H66" s="80">
        <v>38</v>
      </c>
      <c r="I66" s="81">
        <v>7.9433199999999999</v>
      </c>
      <c r="J66" s="80">
        <v>974</v>
      </c>
      <c r="K66" s="81">
        <v>4.9001599999999996</v>
      </c>
      <c r="L66" s="80">
        <v>1517</v>
      </c>
      <c r="M66" s="81">
        <v>7.5829599999999999</v>
      </c>
      <c r="N66" s="80">
        <v>104</v>
      </c>
      <c r="O66" s="81">
        <v>17.40531</v>
      </c>
      <c r="P66" s="80">
        <v>33</v>
      </c>
      <c r="Q66" s="81">
        <v>12.13641</v>
      </c>
      <c r="R66" s="80">
        <v>54</v>
      </c>
      <c r="S66" s="81">
        <v>19.863949999999999</v>
      </c>
      <c r="T66" s="80">
        <v>38</v>
      </c>
      <c r="U66" s="81">
        <v>14.093579999999999</v>
      </c>
      <c r="V66" s="80">
        <v>39</v>
      </c>
      <c r="W66" s="81">
        <v>15.212039999999998</v>
      </c>
      <c r="X66" s="80">
        <v>33</v>
      </c>
      <c r="Y66" s="81">
        <v>12.927529999999999</v>
      </c>
      <c r="Z66" s="80">
        <v>1</v>
      </c>
      <c r="AA66" s="81">
        <v>0.34967000000000004</v>
      </c>
      <c r="AB66" s="80">
        <v>0</v>
      </c>
      <c r="AC66" s="81">
        <v>0</v>
      </c>
      <c r="AD66" s="80">
        <v>0</v>
      </c>
      <c r="AE66" s="81">
        <v>0</v>
      </c>
      <c r="AF66" s="80">
        <v>0</v>
      </c>
      <c r="AG66" s="81">
        <v>0</v>
      </c>
      <c r="AH66" s="80">
        <v>5</v>
      </c>
      <c r="AI66" s="81">
        <v>2.5000000000000001E-3</v>
      </c>
      <c r="AJ66" s="80">
        <v>0</v>
      </c>
      <c r="AK66" s="81">
        <v>0</v>
      </c>
      <c r="AM66" s="698"/>
      <c r="AN66" s="698"/>
    </row>
    <row r="67" spans="1:40" s="66" customFormat="1">
      <c r="A67" s="689"/>
      <c r="B67" s="78" t="s">
        <v>305</v>
      </c>
      <c r="C67" s="79" t="s">
        <v>203</v>
      </c>
      <c r="D67" s="80">
        <v>6043.7336971335026</v>
      </c>
      <c r="E67" s="81">
        <v>704.24048013518757</v>
      </c>
      <c r="F67" s="80">
        <v>7218</v>
      </c>
      <c r="G67" s="81">
        <v>806.44566000000009</v>
      </c>
      <c r="H67" s="80">
        <v>6786</v>
      </c>
      <c r="I67" s="81">
        <v>738.66512000000012</v>
      </c>
      <c r="J67" s="80">
        <v>7081</v>
      </c>
      <c r="K67" s="81">
        <v>899.59877000000017</v>
      </c>
      <c r="L67" s="80">
        <v>7785</v>
      </c>
      <c r="M67" s="81">
        <v>1060.6924899999999</v>
      </c>
      <c r="N67" s="80">
        <v>8592</v>
      </c>
      <c r="O67" s="81">
        <v>1147.1774800000001</v>
      </c>
      <c r="P67" s="80">
        <v>10186</v>
      </c>
      <c r="Q67" s="81">
        <v>1332.99576</v>
      </c>
      <c r="R67" s="80">
        <v>11810</v>
      </c>
      <c r="S67" s="81">
        <v>1460.6355899999999</v>
      </c>
      <c r="T67" s="80">
        <v>13400</v>
      </c>
      <c r="U67" s="81">
        <v>1589.5566899999999</v>
      </c>
      <c r="V67" s="80">
        <v>14178</v>
      </c>
      <c r="W67" s="81">
        <v>1787.3168800000001</v>
      </c>
      <c r="X67" s="80">
        <v>17671</v>
      </c>
      <c r="Y67" s="81">
        <v>1953.7819899999995</v>
      </c>
      <c r="Z67" s="80">
        <v>21510</v>
      </c>
      <c r="AA67" s="81">
        <v>2240.7176900000004</v>
      </c>
      <c r="AB67" s="80">
        <v>22259</v>
      </c>
      <c r="AC67" s="81">
        <v>2585.8846500000009</v>
      </c>
      <c r="AD67" s="80">
        <v>22744</v>
      </c>
      <c r="AE67" s="81">
        <v>2606.900639999998</v>
      </c>
      <c r="AF67" s="80">
        <v>24393</v>
      </c>
      <c r="AG67" s="81">
        <v>2749.9786599999984</v>
      </c>
      <c r="AH67" s="80">
        <v>25868</v>
      </c>
      <c r="AI67" s="81">
        <v>3030.1963399999981</v>
      </c>
      <c r="AJ67" s="80">
        <v>27092</v>
      </c>
      <c r="AK67" s="81">
        <v>3235.0322499999988</v>
      </c>
      <c r="AM67" s="698"/>
      <c r="AN67" s="698"/>
    </row>
    <row r="68" spans="1:40" s="66" customFormat="1">
      <c r="A68" s="689"/>
      <c r="B68" s="78" t="s">
        <v>306</v>
      </c>
      <c r="C68" s="79" t="s">
        <v>203</v>
      </c>
      <c r="D68" s="80">
        <v>8461.1441544303125</v>
      </c>
      <c r="E68" s="81">
        <v>178.70173675117121</v>
      </c>
      <c r="F68" s="80">
        <v>8340</v>
      </c>
      <c r="G68" s="81">
        <v>234.64555000000001</v>
      </c>
      <c r="H68" s="80">
        <v>12337</v>
      </c>
      <c r="I68" s="81">
        <v>148.95747999999998</v>
      </c>
      <c r="J68" s="80">
        <v>10821</v>
      </c>
      <c r="K68" s="81">
        <v>124.95449000000001</v>
      </c>
      <c r="L68" s="80">
        <v>9761</v>
      </c>
      <c r="M68" s="81">
        <v>123.91013000000001</v>
      </c>
      <c r="N68" s="80">
        <v>10541</v>
      </c>
      <c r="O68" s="81">
        <v>148.87882999999999</v>
      </c>
      <c r="P68" s="80">
        <v>11327</v>
      </c>
      <c r="Q68" s="81">
        <v>155.42762999999999</v>
      </c>
      <c r="R68" s="80">
        <v>11184</v>
      </c>
      <c r="S68" s="81">
        <v>123.12884000000003</v>
      </c>
      <c r="T68" s="80">
        <v>13412</v>
      </c>
      <c r="U68" s="81">
        <v>134.46126000000001</v>
      </c>
      <c r="V68" s="80">
        <v>16481</v>
      </c>
      <c r="W68" s="81">
        <v>183.00066999999999</v>
      </c>
      <c r="X68" s="80">
        <v>19074</v>
      </c>
      <c r="Y68" s="81">
        <v>277.43193000000008</v>
      </c>
      <c r="Z68" s="80">
        <v>21423</v>
      </c>
      <c r="AA68" s="81">
        <v>273.0607500000001</v>
      </c>
      <c r="AB68" s="80">
        <v>22343</v>
      </c>
      <c r="AC68" s="81">
        <v>291.20998000000031</v>
      </c>
      <c r="AD68" s="80">
        <v>22711</v>
      </c>
      <c r="AE68" s="81">
        <v>325.95889000000022</v>
      </c>
      <c r="AF68" s="80">
        <v>24837</v>
      </c>
      <c r="AG68" s="81">
        <v>373.04295000000008</v>
      </c>
      <c r="AH68" s="80">
        <v>26947</v>
      </c>
      <c r="AI68" s="81">
        <v>438.82376999999985</v>
      </c>
      <c r="AJ68" s="80">
        <v>28638</v>
      </c>
      <c r="AK68" s="81">
        <v>489.95835000000034</v>
      </c>
      <c r="AM68" s="698"/>
      <c r="AN68" s="698"/>
    </row>
    <row r="69" spans="1:40" s="66" customFormat="1">
      <c r="A69" s="689"/>
      <c r="B69" s="78" t="s">
        <v>60</v>
      </c>
      <c r="C69" s="79" t="s">
        <v>204</v>
      </c>
      <c r="D69" s="80">
        <v>0</v>
      </c>
      <c r="E69" s="81">
        <v>0</v>
      </c>
      <c r="F69" s="80">
        <v>0</v>
      </c>
      <c r="G69" s="81">
        <v>0</v>
      </c>
      <c r="H69" s="80">
        <v>0</v>
      </c>
      <c r="I69" s="81">
        <v>0</v>
      </c>
      <c r="J69" s="80">
        <v>0</v>
      </c>
      <c r="K69" s="81">
        <v>0</v>
      </c>
      <c r="L69" s="80">
        <v>18487.433333333334</v>
      </c>
      <c r="M69" s="81">
        <v>1831.8307</v>
      </c>
      <c r="N69" s="80">
        <v>22513.733336666664</v>
      </c>
      <c r="O69" s="81">
        <v>2208.1862600000009</v>
      </c>
      <c r="P69" s="80">
        <v>26614.270333666653</v>
      </c>
      <c r="Q69" s="81">
        <v>2602.9853700000003</v>
      </c>
      <c r="R69" s="80">
        <v>31231.066702700013</v>
      </c>
      <c r="S69" s="81">
        <v>3070.4369299999998</v>
      </c>
      <c r="T69" s="80">
        <v>69000.51666667001</v>
      </c>
      <c r="U69" s="81">
        <v>6635.9935800000003</v>
      </c>
      <c r="V69" s="80">
        <v>73741.603300033341</v>
      </c>
      <c r="W69" s="81">
        <v>5852.8296160504215</v>
      </c>
      <c r="X69" s="80">
        <v>81665.649999999994</v>
      </c>
      <c r="Y69" s="81">
        <v>7850.3926100000017</v>
      </c>
      <c r="Z69" s="80">
        <v>86166.983333333352</v>
      </c>
      <c r="AA69" s="81">
        <v>10136.781290000001</v>
      </c>
      <c r="AB69" s="80">
        <v>91514.866666666669</v>
      </c>
      <c r="AC69" s="81">
        <v>11864.465059999999</v>
      </c>
      <c r="AD69" s="80">
        <v>94808.833333333343</v>
      </c>
      <c r="AE69" s="81">
        <v>12876.441709999999</v>
      </c>
      <c r="AF69" s="80">
        <v>94240.166666666657</v>
      </c>
      <c r="AG69" s="81">
        <v>13459.63456</v>
      </c>
      <c r="AH69" s="80">
        <v>103570.56666666667</v>
      </c>
      <c r="AI69" s="81">
        <v>15030.645080000009</v>
      </c>
      <c r="AJ69" s="80">
        <v>108679.28333333334</v>
      </c>
      <c r="AK69" s="81">
        <v>16732.853720000014</v>
      </c>
      <c r="AM69" s="698"/>
      <c r="AN69" s="698"/>
    </row>
    <row r="70" spans="1:40" s="66" customFormat="1">
      <c r="A70" s="689"/>
      <c r="B70" s="78" t="s">
        <v>58</v>
      </c>
      <c r="C70" s="79" t="s">
        <v>527</v>
      </c>
      <c r="D70" s="592">
        <v>114251451.05999999</v>
      </c>
      <c r="E70" s="593">
        <v>1142.514146513096</v>
      </c>
      <c r="F70" s="592">
        <v>136694281.83999997</v>
      </c>
      <c r="G70" s="593">
        <v>2453.9960599999999</v>
      </c>
      <c r="H70" s="592">
        <v>160328809.04000002</v>
      </c>
      <c r="I70" s="593">
        <v>3206.5775194000003</v>
      </c>
      <c r="J70" s="592">
        <v>171538315.23000002</v>
      </c>
      <c r="K70" s="593">
        <v>2976.94659</v>
      </c>
      <c r="L70" s="592">
        <v>177061775.85000002</v>
      </c>
      <c r="M70" s="593">
        <v>3186.2039</v>
      </c>
      <c r="N70" s="592">
        <v>196930156.89000002</v>
      </c>
      <c r="O70" s="593">
        <v>3682.3442710000004</v>
      </c>
      <c r="P70" s="592">
        <v>225369954.46999997</v>
      </c>
      <c r="Q70" s="593">
        <v>4320.6480299999994</v>
      </c>
      <c r="R70" s="592">
        <v>239112034.31999999</v>
      </c>
      <c r="S70" s="593">
        <v>4709.3278999999993</v>
      </c>
      <c r="T70" s="592">
        <v>232374099.08000004</v>
      </c>
      <c r="U70" s="593">
        <v>4641.0698200000006</v>
      </c>
      <c r="V70" s="592">
        <v>271793592.86000001</v>
      </c>
      <c r="W70" s="593">
        <v>5572.6270299999996</v>
      </c>
      <c r="X70" s="592">
        <v>286640590.31999999</v>
      </c>
      <c r="Y70" s="593">
        <v>5985.0541200000007</v>
      </c>
      <c r="Z70" s="592">
        <v>293675005.94</v>
      </c>
      <c r="AA70" s="593">
        <v>6375.6832800000011</v>
      </c>
      <c r="AB70" s="80">
        <v>296517438.28999996</v>
      </c>
      <c r="AC70" s="81">
        <v>6589.6173000000008</v>
      </c>
      <c r="AD70" s="80">
        <v>302405938.53999996</v>
      </c>
      <c r="AE70" s="81">
        <v>6796.9029399999999</v>
      </c>
      <c r="AF70" s="80">
        <v>300685827.77999997</v>
      </c>
      <c r="AG70" s="81">
        <v>6843.9458399999994</v>
      </c>
      <c r="AH70" s="80">
        <v>287826071.38999999</v>
      </c>
      <c r="AI70" s="81">
        <v>6579.3184700000011</v>
      </c>
      <c r="AJ70" s="80">
        <v>283702453.21000004</v>
      </c>
      <c r="AK70" s="81">
        <v>6586.8081500000008</v>
      </c>
      <c r="AM70" s="698"/>
      <c r="AN70" s="698"/>
    </row>
    <row r="71" spans="1:40" s="66" customFormat="1">
      <c r="A71" s="689"/>
      <c r="B71" s="78" t="s">
        <v>56</v>
      </c>
      <c r="C71" s="79" t="s">
        <v>202</v>
      </c>
      <c r="D71" s="80">
        <v>65848.194778602512</v>
      </c>
      <c r="E71" s="81">
        <v>1130.3469485714286</v>
      </c>
      <c r="F71" s="80">
        <v>64275</v>
      </c>
      <c r="G71" s="81">
        <v>1198.0566200000001</v>
      </c>
      <c r="H71" s="80">
        <v>65311</v>
      </c>
      <c r="I71" s="81">
        <v>1478.9965499999998</v>
      </c>
      <c r="J71" s="80">
        <v>68113</v>
      </c>
      <c r="K71" s="81">
        <v>1939.2490600000001</v>
      </c>
      <c r="L71" s="80">
        <v>69764</v>
      </c>
      <c r="M71" s="81">
        <v>2597.2621400000003</v>
      </c>
      <c r="N71" s="80">
        <v>73945</v>
      </c>
      <c r="O71" s="81">
        <v>2641.3771299999999</v>
      </c>
      <c r="P71" s="80">
        <v>88377</v>
      </c>
      <c r="Q71" s="81">
        <v>3218.1856299999999</v>
      </c>
      <c r="R71" s="80">
        <v>93747</v>
      </c>
      <c r="S71" s="81">
        <v>3631.1495399999999</v>
      </c>
      <c r="T71" s="80">
        <v>100084</v>
      </c>
      <c r="U71" s="81">
        <v>3892.9637499999999</v>
      </c>
      <c r="V71" s="80">
        <v>114007</v>
      </c>
      <c r="W71" s="81">
        <v>4383.5135500000006</v>
      </c>
      <c r="X71" s="80">
        <v>129687</v>
      </c>
      <c r="Y71" s="81">
        <v>5004.6543699999993</v>
      </c>
      <c r="Z71" s="80">
        <v>142611</v>
      </c>
      <c r="AA71" s="81">
        <v>5491.7705500000011</v>
      </c>
      <c r="AB71" s="80">
        <v>147482</v>
      </c>
      <c r="AC71" s="81">
        <v>5970.2958100000005</v>
      </c>
      <c r="AD71" s="80">
        <v>149893</v>
      </c>
      <c r="AE71" s="81">
        <v>6131.5590900000007</v>
      </c>
      <c r="AF71" s="80">
        <v>160685</v>
      </c>
      <c r="AG71" s="81">
        <v>9499.5819900000006</v>
      </c>
      <c r="AH71" s="80">
        <v>171515</v>
      </c>
      <c r="AI71" s="81">
        <v>9884.87428</v>
      </c>
      <c r="AJ71" s="80">
        <v>180516</v>
      </c>
      <c r="AK71" s="81">
        <v>10374.877259999999</v>
      </c>
      <c r="AM71" s="698"/>
      <c r="AN71" s="698"/>
    </row>
    <row r="72" spans="1:40" s="66" customFormat="1">
      <c r="A72" s="689"/>
      <c r="B72" s="78" t="s">
        <v>52</v>
      </c>
      <c r="C72" s="79" t="s">
        <v>202</v>
      </c>
      <c r="D72" s="80">
        <v>29498.932457412619</v>
      </c>
      <c r="E72" s="81">
        <v>640.8857714285715</v>
      </c>
      <c r="F72" s="80">
        <v>28748</v>
      </c>
      <c r="G72" s="81">
        <v>616.98</v>
      </c>
      <c r="H72" s="80">
        <v>29467.5</v>
      </c>
      <c r="I72" s="81">
        <v>725.6412984000001</v>
      </c>
      <c r="J72" s="80">
        <v>31124</v>
      </c>
      <c r="K72" s="81">
        <v>898.16958</v>
      </c>
      <c r="L72" s="80">
        <v>31952</v>
      </c>
      <c r="M72" s="81">
        <v>1052.62607</v>
      </c>
      <c r="N72" s="80">
        <v>33599</v>
      </c>
      <c r="O72" s="81">
        <v>1069.76313</v>
      </c>
      <c r="P72" s="80">
        <v>39731</v>
      </c>
      <c r="Q72" s="81">
        <v>1424.5426909999999</v>
      </c>
      <c r="R72" s="80">
        <v>42545</v>
      </c>
      <c r="S72" s="81">
        <v>1579.4563799999999</v>
      </c>
      <c r="T72" s="80">
        <v>45840</v>
      </c>
      <c r="U72" s="81">
        <v>1936.5851200000002</v>
      </c>
      <c r="V72" s="80">
        <v>52314</v>
      </c>
      <c r="W72" s="81">
        <v>2203.4270199999996</v>
      </c>
      <c r="X72" s="80">
        <v>59801.5</v>
      </c>
      <c r="Y72" s="81">
        <v>2560.8908500000007</v>
      </c>
      <c r="Z72" s="80">
        <v>65750.5</v>
      </c>
      <c r="AA72" s="81">
        <v>2841.8612200000002</v>
      </c>
      <c r="AB72" s="80">
        <v>69351.5</v>
      </c>
      <c r="AC72" s="81">
        <v>3247.4462000000008</v>
      </c>
      <c r="AD72" s="80">
        <v>70500.5</v>
      </c>
      <c r="AE72" s="81">
        <v>3366.37428</v>
      </c>
      <c r="AF72" s="80">
        <v>76360</v>
      </c>
      <c r="AG72" s="81">
        <v>3468.2491500000001</v>
      </c>
      <c r="AH72" s="80">
        <v>81685.5</v>
      </c>
      <c r="AI72" s="81">
        <v>3710.6796600000002</v>
      </c>
      <c r="AJ72" s="80">
        <v>85459.5</v>
      </c>
      <c r="AK72" s="81">
        <v>3633.3275599999997</v>
      </c>
      <c r="AM72" s="698"/>
      <c r="AN72" s="698"/>
    </row>
    <row r="73" spans="1:40" s="66" customFormat="1">
      <c r="A73" s="689"/>
      <c r="B73" s="78" t="s">
        <v>57</v>
      </c>
      <c r="C73" s="79" t="s">
        <v>526</v>
      </c>
      <c r="D73" s="592">
        <v>102595724.50909092</v>
      </c>
      <c r="E73" s="593">
        <v>5362.173601272726</v>
      </c>
      <c r="F73" s="592">
        <v>102457998</v>
      </c>
      <c r="G73" s="593">
        <v>6772.4735299999993</v>
      </c>
      <c r="H73" s="592">
        <v>106060343</v>
      </c>
      <c r="I73" s="593">
        <v>7010.5886699999992</v>
      </c>
      <c r="J73" s="592">
        <v>113772460</v>
      </c>
      <c r="K73" s="593">
        <v>7520.3595999999998</v>
      </c>
      <c r="L73" s="592">
        <v>127665583.0122117</v>
      </c>
      <c r="M73" s="593">
        <v>9394.4019399999997</v>
      </c>
      <c r="N73" s="592">
        <v>132247365</v>
      </c>
      <c r="O73" s="593">
        <v>9746.6307900000011</v>
      </c>
      <c r="P73" s="592">
        <v>156806227</v>
      </c>
      <c r="Q73" s="593">
        <v>11556.618920000001</v>
      </c>
      <c r="R73" s="592">
        <v>170558322</v>
      </c>
      <c r="S73" s="593">
        <v>14017.739889999999</v>
      </c>
      <c r="T73" s="592">
        <v>177525615</v>
      </c>
      <c r="U73" s="593">
        <v>14457.731189999999</v>
      </c>
      <c r="V73" s="592">
        <v>199024949</v>
      </c>
      <c r="W73" s="593">
        <v>15742.87348</v>
      </c>
      <c r="X73" s="592">
        <v>224650269</v>
      </c>
      <c r="Y73" s="593">
        <v>18388.567689999996</v>
      </c>
      <c r="Z73" s="592">
        <v>241077848</v>
      </c>
      <c r="AA73" s="593">
        <v>19740.952740000001</v>
      </c>
      <c r="AB73" s="80">
        <v>252148020</v>
      </c>
      <c r="AC73" s="81">
        <v>20183.773839999998</v>
      </c>
      <c r="AD73" s="80">
        <v>259021129</v>
      </c>
      <c r="AE73" s="81">
        <v>21661.213159999999</v>
      </c>
      <c r="AF73" s="80">
        <v>274233298</v>
      </c>
      <c r="AG73" s="81">
        <v>22788.787070000002</v>
      </c>
      <c r="AH73" s="80">
        <v>304425562</v>
      </c>
      <c r="AI73" s="81">
        <v>25258.17153</v>
      </c>
      <c r="AJ73" s="80">
        <v>316290904</v>
      </c>
      <c r="AK73" s="81">
        <v>26563.062830000003</v>
      </c>
      <c r="AM73" s="698"/>
      <c r="AN73" s="698"/>
    </row>
    <row r="74" spans="1:40" s="66" customFormat="1">
      <c r="A74" s="689"/>
      <c r="B74" s="78" t="s">
        <v>53</v>
      </c>
      <c r="C74" s="79" t="s">
        <v>206</v>
      </c>
      <c r="D74" s="80">
        <v>1537815.5759862862</v>
      </c>
      <c r="E74" s="81">
        <v>1301.0650971428572</v>
      </c>
      <c r="F74" s="80">
        <v>1902386.2584510006</v>
      </c>
      <c r="G74" s="81">
        <v>1604.1708900000003</v>
      </c>
      <c r="H74" s="80">
        <v>2015024.3413052075</v>
      </c>
      <c r="I74" s="81">
        <v>1711.8285899999998</v>
      </c>
      <c r="J74" s="80">
        <v>2096609.8643626668</v>
      </c>
      <c r="K74" s="81">
        <v>1806.5916800000002</v>
      </c>
      <c r="L74" s="80">
        <v>2332716.2805233328</v>
      </c>
      <c r="M74" s="81">
        <v>2082.7514000000001</v>
      </c>
      <c r="N74" s="80">
        <v>2651201.5878600003</v>
      </c>
      <c r="O74" s="81">
        <v>2380.9623600000004</v>
      </c>
      <c r="P74" s="80">
        <v>3282809.5227312003</v>
      </c>
      <c r="Q74" s="81">
        <v>3086.73981</v>
      </c>
      <c r="R74" s="80">
        <v>3483817.1341663082</v>
      </c>
      <c r="S74" s="81">
        <v>3484.3717299999998</v>
      </c>
      <c r="T74" s="80">
        <v>3823002.1570283999</v>
      </c>
      <c r="U74" s="81">
        <v>3740.5602100000001</v>
      </c>
      <c r="V74" s="80">
        <v>4198307.3622131664</v>
      </c>
      <c r="W74" s="81">
        <v>4890.1586900000002</v>
      </c>
      <c r="X74" s="80">
        <v>4233889.2631086046</v>
      </c>
      <c r="Y74" s="81">
        <v>5856.5821500000002</v>
      </c>
      <c r="Z74" s="80">
        <v>4625340.1728977459</v>
      </c>
      <c r="AA74" s="81">
        <v>6696.5566099999996</v>
      </c>
      <c r="AB74" s="80">
        <v>4942686.0194447646</v>
      </c>
      <c r="AC74" s="81">
        <v>7619.7507499999992</v>
      </c>
      <c r="AD74" s="80">
        <v>5187140.0324454186</v>
      </c>
      <c r="AE74" s="81">
        <v>8515.0060799999992</v>
      </c>
      <c r="AF74" s="80">
        <v>5681459.3598712627</v>
      </c>
      <c r="AG74" s="81">
        <v>8311.5581999999995</v>
      </c>
      <c r="AH74" s="80">
        <v>5023732.4827991901</v>
      </c>
      <c r="AI74" s="81">
        <v>8761.57323</v>
      </c>
      <c r="AJ74" s="80">
        <v>5027052.4082184723</v>
      </c>
      <c r="AK74" s="81">
        <v>9141.6282199999987</v>
      </c>
      <c r="AM74" s="698"/>
      <c r="AN74" s="698"/>
    </row>
    <row r="75" spans="1:40" s="66" customFormat="1" ht="17.25" customHeight="1">
      <c r="A75" s="689"/>
      <c r="B75" s="78" t="s">
        <v>240</v>
      </c>
      <c r="C75" s="79" t="s">
        <v>205</v>
      </c>
      <c r="D75" s="85">
        <v>2073247</v>
      </c>
      <c r="E75" s="81">
        <v>227.74963519999997</v>
      </c>
      <c r="F75" s="85">
        <v>2090898</v>
      </c>
      <c r="G75" s="81">
        <v>263.42589760000004</v>
      </c>
      <c r="H75" s="85">
        <v>2150170</v>
      </c>
      <c r="I75" s="81">
        <v>239.01492999999996</v>
      </c>
      <c r="J75" s="85">
        <v>2386438</v>
      </c>
      <c r="K75" s="81">
        <v>230.2792179999999</v>
      </c>
      <c r="L75" s="85">
        <v>2631825</v>
      </c>
      <c r="M75" s="81">
        <v>210.82640000000001</v>
      </c>
      <c r="N75" s="85">
        <v>2806117</v>
      </c>
      <c r="O75" s="81">
        <v>196.46533000000002</v>
      </c>
      <c r="P75" s="85">
        <v>3506143</v>
      </c>
      <c r="Q75" s="81">
        <v>258.71200000000005</v>
      </c>
      <c r="R75" s="80">
        <v>3848367</v>
      </c>
      <c r="S75" s="81">
        <v>292.26774000000006</v>
      </c>
      <c r="T75" s="80">
        <v>4022889</v>
      </c>
      <c r="U75" s="81">
        <v>267.95691000000005</v>
      </c>
      <c r="V75" s="80">
        <v>4688545</v>
      </c>
      <c r="W75" s="81">
        <v>414.93884999999995</v>
      </c>
      <c r="X75" s="80">
        <v>5354065.9821856059</v>
      </c>
      <c r="Y75" s="81">
        <v>537.3111899999999</v>
      </c>
      <c r="Z75" s="80">
        <v>6062122.0024999995</v>
      </c>
      <c r="AA75" s="81">
        <v>570.44955000000004</v>
      </c>
      <c r="AB75" s="80">
        <v>6865211.4735000003</v>
      </c>
      <c r="AC75" s="81">
        <v>546.16773000000001</v>
      </c>
      <c r="AD75" s="80">
        <v>7196126.5060000001</v>
      </c>
      <c r="AE75" s="81">
        <v>506.07666000000012</v>
      </c>
      <c r="AF75" s="80">
        <v>7892335.974491315</v>
      </c>
      <c r="AG75" s="81">
        <v>538.52178000000004</v>
      </c>
      <c r="AH75" s="80">
        <v>8629059.3409264125</v>
      </c>
      <c r="AI75" s="81">
        <v>561.25062000000003</v>
      </c>
      <c r="AJ75" s="80">
        <v>9360551.1100729797</v>
      </c>
      <c r="AK75" s="81">
        <v>459.95307000000003</v>
      </c>
      <c r="AM75" s="698"/>
      <c r="AN75" s="698"/>
    </row>
    <row r="76" spans="1:40" s="66" customFormat="1" ht="17.25" customHeight="1">
      <c r="A76" s="689"/>
      <c r="B76" s="78" t="s">
        <v>241</v>
      </c>
      <c r="C76" s="79" t="s">
        <v>88</v>
      </c>
      <c r="D76" s="85">
        <v>50382.571428571435</v>
      </c>
      <c r="E76" s="81">
        <v>546.40104674285703</v>
      </c>
      <c r="F76" s="85">
        <v>47262.859908163249</v>
      </c>
      <c r="G76" s="81">
        <v>515.99683030000085</v>
      </c>
      <c r="H76" s="85">
        <v>42054.258314657549</v>
      </c>
      <c r="I76" s="81">
        <v>422.43903255064401</v>
      </c>
      <c r="J76" s="85">
        <v>37444.93</v>
      </c>
      <c r="K76" s="81">
        <v>381.96361620000067</v>
      </c>
      <c r="L76" s="85">
        <v>40346.670308872322</v>
      </c>
      <c r="M76" s="81">
        <v>413.9357104999994</v>
      </c>
      <c r="N76" s="85">
        <v>44672.173513333328</v>
      </c>
      <c r="O76" s="81">
        <v>460.79018000000002</v>
      </c>
      <c r="P76" s="599">
        <v>46039.59</v>
      </c>
      <c r="Q76" s="593">
        <v>637.65315999999996</v>
      </c>
      <c r="R76" s="592">
        <v>48535.729000000021</v>
      </c>
      <c r="S76" s="593">
        <v>977.28536999999994</v>
      </c>
      <c r="T76" s="592">
        <v>45914.288000000008</v>
      </c>
      <c r="U76" s="593">
        <v>1331.4371800000004</v>
      </c>
      <c r="V76" s="592">
        <v>38797.793999999994</v>
      </c>
      <c r="W76" s="593">
        <v>1160.9278299999999</v>
      </c>
      <c r="X76" s="592">
        <v>37652.381000000001</v>
      </c>
      <c r="Y76" s="593">
        <v>1166.9358200000001</v>
      </c>
      <c r="Z76" s="592">
        <v>39198.637000000002</v>
      </c>
      <c r="AA76" s="593">
        <v>1193.5665100000001</v>
      </c>
      <c r="AB76" s="80">
        <v>43542.034999999996</v>
      </c>
      <c r="AC76" s="81">
        <v>1325.5054999999998</v>
      </c>
      <c r="AD76" s="80">
        <v>44033.710000000014</v>
      </c>
      <c r="AE76" s="81">
        <v>1319.27487</v>
      </c>
      <c r="AF76" s="80">
        <v>43265.075000000012</v>
      </c>
      <c r="AG76" s="81">
        <v>1419.7219600000003</v>
      </c>
      <c r="AH76" s="80">
        <v>45958.302000000018</v>
      </c>
      <c r="AI76" s="81">
        <v>1530.32473</v>
      </c>
      <c r="AJ76" s="80">
        <v>43034.703000000001</v>
      </c>
      <c r="AK76" s="81">
        <v>1462.6423000000002</v>
      </c>
      <c r="AM76" s="698"/>
      <c r="AN76" s="698"/>
    </row>
    <row r="77" spans="1:40" s="66" customFormat="1" ht="17.25" customHeight="1">
      <c r="A77" s="689"/>
      <c r="B77" s="78" t="s">
        <v>242</v>
      </c>
      <c r="C77" s="79" t="s">
        <v>88</v>
      </c>
      <c r="D77" s="85">
        <v>15553.737142857142</v>
      </c>
      <c r="E77" s="81">
        <v>121.63899428571429</v>
      </c>
      <c r="F77" s="85">
        <v>15537.07</v>
      </c>
      <c r="G77" s="81">
        <v>121.51403000000001</v>
      </c>
      <c r="H77" s="85">
        <v>16884.661333333333</v>
      </c>
      <c r="I77" s="81">
        <v>131.62096</v>
      </c>
      <c r="J77" s="85">
        <v>15728.965777777779</v>
      </c>
      <c r="K77" s="81">
        <v>122.96071999999999</v>
      </c>
      <c r="L77" s="85">
        <v>8686.7894400000005</v>
      </c>
      <c r="M77" s="81">
        <v>70.136620800000003</v>
      </c>
      <c r="N77" s="85">
        <v>6749.9994399999996</v>
      </c>
      <c r="O77" s="81">
        <v>55.610995800000005</v>
      </c>
      <c r="P77" s="599">
        <v>6333</v>
      </c>
      <c r="Q77" s="593">
        <v>57.006</v>
      </c>
      <c r="R77" s="592">
        <v>7525.5830000000005</v>
      </c>
      <c r="S77" s="593">
        <v>38.551830000000002</v>
      </c>
      <c r="T77" s="592">
        <v>6552.6000000000013</v>
      </c>
      <c r="U77" s="593">
        <v>29.748840000000001</v>
      </c>
      <c r="V77" s="592">
        <v>6997.739999999998</v>
      </c>
      <c r="W77" s="593">
        <v>33.654580000000003</v>
      </c>
      <c r="X77" s="592">
        <v>7120.6859999999988</v>
      </c>
      <c r="Y77" s="593">
        <v>31.22268</v>
      </c>
      <c r="Z77" s="592">
        <v>4895.0730000000003</v>
      </c>
      <c r="AA77" s="593">
        <v>62.736730000000001</v>
      </c>
      <c r="AB77" s="80">
        <v>1723.6530000000002</v>
      </c>
      <c r="AC77" s="81">
        <v>10.786749999999998</v>
      </c>
      <c r="AD77" s="80">
        <v>1697.64</v>
      </c>
      <c r="AE77" s="81">
        <v>15.346679999999996</v>
      </c>
      <c r="AF77" s="80">
        <v>1697.64</v>
      </c>
      <c r="AG77" s="81">
        <v>15.346679999999996</v>
      </c>
      <c r="AH77" s="80">
        <v>1697.64</v>
      </c>
      <c r="AI77" s="81">
        <v>15.346679999999996</v>
      </c>
      <c r="AJ77" s="80">
        <v>1036.1199999999999</v>
      </c>
      <c r="AK77" s="81">
        <v>7.8277699999999992</v>
      </c>
      <c r="AM77" s="698"/>
      <c r="AN77" s="698"/>
    </row>
    <row r="78" spans="1:40" s="66" customFormat="1" ht="17.25" customHeight="1">
      <c r="A78" s="689"/>
      <c r="B78" s="78" t="s">
        <v>243</v>
      </c>
      <c r="C78" s="79" t="s">
        <v>88</v>
      </c>
      <c r="D78" s="85">
        <v>20374.857142857145</v>
      </c>
      <c r="E78" s="81">
        <v>98.54052022857141</v>
      </c>
      <c r="F78" s="85">
        <v>22761</v>
      </c>
      <c r="G78" s="81">
        <v>108.56393999999996</v>
      </c>
      <c r="H78" s="85">
        <v>22505</v>
      </c>
      <c r="I78" s="81">
        <v>109.8596</v>
      </c>
      <c r="J78" s="85">
        <v>19414</v>
      </c>
      <c r="K78" s="81">
        <v>95.297861700000041</v>
      </c>
      <c r="L78" s="85">
        <v>13792</v>
      </c>
      <c r="M78" s="81">
        <v>69.868300000000005</v>
      </c>
      <c r="N78" s="85">
        <v>12417.84</v>
      </c>
      <c r="O78" s="81">
        <v>65.642881900000006</v>
      </c>
      <c r="P78" s="85">
        <v>14528.586000000001</v>
      </c>
      <c r="Q78" s="81">
        <v>71.542390000000012</v>
      </c>
      <c r="R78" s="80">
        <v>24039.529000000002</v>
      </c>
      <c r="S78" s="81">
        <v>76.054349999999999</v>
      </c>
      <c r="T78" s="80">
        <v>25143.962999999996</v>
      </c>
      <c r="U78" s="81">
        <v>81.435000000000002</v>
      </c>
      <c r="V78" s="80">
        <v>23258.569000000003</v>
      </c>
      <c r="W78" s="81">
        <v>67.119969999999981</v>
      </c>
      <c r="X78" s="80">
        <v>23308.519</v>
      </c>
      <c r="Y78" s="81">
        <v>68.71153000000001</v>
      </c>
      <c r="Z78" s="80">
        <v>11786.541000000003</v>
      </c>
      <c r="AA78" s="81">
        <v>49.770279999999993</v>
      </c>
      <c r="AB78" s="80">
        <v>10617.778000000002</v>
      </c>
      <c r="AC78" s="81">
        <v>61.663579999999996</v>
      </c>
      <c r="AD78" s="80">
        <v>10790.519999999999</v>
      </c>
      <c r="AE78" s="81">
        <v>81.261759999999995</v>
      </c>
      <c r="AF78" s="80">
        <v>10605.380000000001</v>
      </c>
      <c r="AG78" s="81">
        <v>88.283749999999998</v>
      </c>
      <c r="AH78" s="80">
        <v>11029.401999999998</v>
      </c>
      <c r="AI78" s="81">
        <v>89.055300000000003</v>
      </c>
      <c r="AJ78" s="80">
        <v>12179.658999999998</v>
      </c>
      <c r="AK78" s="81">
        <v>88.65176000000001</v>
      </c>
      <c r="AM78" s="698"/>
      <c r="AN78" s="698"/>
    </row>
    <row r="79" spans="1:40" s="66" customFormat="1" ht="17.25" customHeight="1">
      <c r="A79" s="689"/>
      <c r="B79" s="78" t="s">
        <v>244</v>
      </c>
      <c r="C79" s="79" t="s">
        <v>88</v>
      </c>
      <c r="D79" s="85">
        <v>20262.196717325227</v>
      </c>
      <c r="E79" s="81">
        <v>95.259611771428538</v>
      </c>
      <c r="F79" s="85">
        <v>20528.646148936168</v>
      </c>
      <c r="G79" s="81">
        <v>96.512643899999958</v>
      </c>
      <c r="H79" s="85">
        <v>16161.993617021277</v>
      </c>
      <c r="I79" s="81">
        <v>75.961370000000002</v>
      </c>
      <c r="J79" s="85">
        <v>15698.351063829787</v>
      </c>
      <c r="K79" s="81">
        <v>73.812370000000001</v>
      </c>
      <c r="L79" s="85">
        <v>15807.491489361702</v>
      </c>
      <c r="M79" s="81">
        <v>74.320009999999996</v>
      </c>
      <c r="N79" s="85">
        <v>14967.574468085106</v>
      </c>
      <c r="O79" s="81">
        <v>70.347729999999999</v>
      </c>
      <c r="P79" s="85">
        <v>13680</v>
      </c>
      <c r="Q79" s="81">
        <v>64.296000000000006</v>
      </c>
      <c r="R79" s="80">
        <v>9562.4459999999999</v>
      </c>
      <c r="S79" s="81">
        <v>29.095390000000002</v>
      </c>
      <c r="T79" s="80">
        <v>6424.44</v>
      </c>
      <c r="U79" s="81">
        <v>18.245400000000004</v>
      </c>
      <c r="V79" s="80">
        <v>6442.5400000000027</v>
      </c>
      <c r="W79" s="81">
        <v>16.619289999999999</v>
      </c>
      <c r="X79" s="80">
        <v>6355.5700000000024</v>
      </c>
      <c r="Y79" s="81">
        <v>14.617770000000004</v>
      </c>
      <c r="Z79" s="80">
        <v>1621.2700000000004</v>
      </c>
      <c r="AA79" s="81">
        <v>3.0763199999999995</v>
      </c>
      <c r="AB79" s="80">
        <v>656.40000000000009</v>
      </c>
      <c r="AC79" s="81">
        <v>2.6124599999999996</v>
      </c>
      <c r="AD79" s="80">
        <v>656.40000000000009</v>
      </c>
      <c r="AE79" s="81">
        <v>3.7151999999999994</v>
      </c>
      <c r="AF79" s="80">
        <v>656.40000000000009</v>
      </c>
      <c r="AG79" s="81">
        <v>15.346679999999996</v>
      </c>
      <c r="AH79" s="80">
        <v>656.40000000000009</v>
      </c>
      <c r="AI79" s="81">
        <v>3.7151999999999994</v>
      </c>
      <c r="AJ79" s="80">
        <v>503.35999999999996</v>
      </c>
      <c r="AK79" s="81">
        <v>2.3429299999999995</v>
      </c>
      <c r="AM79" s="698"/>
      <c r="AN79" s="698"/>
    </row>
    <row r="80" spans="1:40" s="66" customFormat="1" ht="17.25" customHeight="1">
      <c r="A80" s="689"/>
      <c r="B80" s="78" t="s">
        <v>27</v>
      </c>
      <c r="C80" s="79" t="s">
        <v>88</v>
      </c>
      <c r="D80" s="85">
        <v>443878.85714285716</v>
      </c>
      <c r="E80" s="81">
        <v>497.04914285714284</v>
      </c>
      <c r="F80" s="85">
        <v>443815</v>
      </c>
      <c r="G80" s="81">
        <v>489.88900000000001</v>
      </c>
      <c r="H80" s="85">
        <v>440534</v>
      </c>
      <c r="I80" s="81">
        <v>499.12</v>
      </c>
      <c r="J80" s="85">
        <v>411074</v>
      </c>
      <c r="K80" s="81">
        <v>461.56599999999997</v>
      </c>
      <c r="L80" s="85">
        <v>244051</v>
      </c>
      <c r="M80" s="81">
        <v>276.76643999999987</v>
      </c>
      <c r="N80" s="85">
        <v>200222</v>
      </c>
      <c r="O80" s="81">
        <v>237.70412000000005</v>
      </c>
      <c r="P80" s="85">
        <v>180906.44</v>
      </c>
      <c r="Q80" s="81">
        <v>219.34730999999994</v>
      </c>
      <c r="R80" s="80">
        <v>68006.256999999998</v>
      </c>
      <c r="S80" s="81">
        <v>63.413869999999982</v>
      </c>
      <c r="T80" s="80">
        <v>46008.083999999988</v>
      </c>
      <c r="U80" s="81">
        <v>132.13128999999998</v>
      </c>
      <c r="V80" s="80">
        <v>35719.08</v>
      </c>
      <c r="W80" s="81">
        <v>143.73551999999992</v>
      </c>
      <c r="X80" s="80">
        <v>38060.347999999991</v>
      </c>
      <c r="Y80" s="81">
        <v>133.21127000000001</v>
      </c>
      <c r="Z80" s="80">
        <v>26542.775999999998</v>
      </c>
      <c r="AA80" s="81">
        <v>98.983220000000017</v>
      </c>
      <c r="AB80" s="80">
        <v>16827.719999999998</v>
      </c>
      <c r="AC80" s="81">
        <v>64.042920000000009</v>
      </c>
      <c r="AD80" s="80">
        <v>16827.719999999998</v>
      </c>
      <c r="AE80" s="81">
        <v>73.556640000000002</v>
      </c>
      <c r="AF80" s="80">
        <v>20121.72</v>
      </c>
      <c r="AG80" s="81">
        <v>88.658399999999986</v>
      </c>
      <c r="AH80" s="80">
        <v>16185.223999999998</v>
      </c>
      <c r="AI80" s="81">
        <v>69.533300000000011</v>
      </c>
      <c r="AJ80" s="80">
        <v>13245.560000000005</v>
      </c>
      <c r="AK80" s="81">
        <v>60.214399999999998</v>
      </c>
      <c r="AM80" s="698"/>
      <c r="AN80" s="698"/>
    </row>
    <row r="81" spans="1:144" s="66" customFormat="1" ht="17.25" customHeight="1">
      <c r="A81" s="689"/>
      <c r="B81" s="78" t="s">
        <v>245</v>
      </c>
      <c r="C81" s="79" t="s">
        <v>357</v>
      </c>
      <c r="D81" s="85">
        <v>4097686</v>
      </c>
      <c r="E81" s="81">
        <v>60.093987932065673</v>
      </c>
      <c r="F81" s="85">
        <v>4153620</v>
      </c>
      <c r="G81" s="81">
        <v>68.512</v>
      </c>
      <c r="H81" s="85">
        <v>4306154</v>
      </c>
      <c r="I81" s="81">
        <v>78.9328</v>
      </c>
      <c r="J81" s="85">
        <v>4807505</v>
      </c>
      <c r="K81" s="81">
        <v>80.36</v>
      </c>
      <c r="L81" s="85">
        <v>5338703</v>
      </c>
      <c r="M81" s="81">
        <v>116.04031000000001</v>
      </c>
      <c r="N81" s="85">
        <v>5656206.7169992123</v>
      </c>
      <c r="O81" s="81">
        <v>216.04059000000004</v>
      </c>
      <c r="P81" s="85">
        <v>6985936</v>
      </c>
      <c r="Q81" s="81">
        <v>252.09837999999999</v>
      </c>
      <c r="R81" s="80">
        <v>7670684</v>
      </c>
      <c r="S81" s="81">
        <v>294.66043999999999</v>
      </c>
      <c r="T81" s="80">
        <v>8076940</v>
      </c>
      <c r="U81" s="81">
        <v>298.60750000000002</v>
      </c>
      <c r="V81" s="80">
        <v>9433136</v>
      </c>
      <c r="W81" s="81">
        <v>329.92462999999998</v>
      </c>
      <c r="X81" s="80">
        <v>10684786.982185606</v>
      </c>
      <c r="Y81" s="81">
        <v>429.92931000000004</v>
      </c>
      <c r="Z81" s="80">
        <v>12105503.002499999</v>
      </c>
      <c r="AA81" s="81">
        <v>624.11721</v>
      </c>
      <c r="AB81" s="80">
        <v>13673187.4735</v>
      </c>
      <c r="AC81" s="81">
        <v>821.85302999999988</v>
      </c>
      <c r="AD81" s="80">
        <v>14337953.506000001</v>
      </c>
      <c r="AE81" s="81">
        <v>1199.0188899999998</v>
      </c>
      <c r="AF81" s="80">
        <v>15720434.74539593</v>
      </c>
      <c r="AG81" s="81">
        <v>1144.7242399999986</v>
      </c>
      <c r="AH81" s="80">
        <v>17186735.340926412</v>
      </c>
      <c r="AI81" s="81">
        <v>1183.7894500000004</v>
      </c>
      <c r="AJ81" s="80">
        <v>18717955.110072978</v>
      </c>
      <c r="AK81" s="81">
        <v>1243.30952</v>
      </c>
      <c r="AM81" s="698"/>
      <c r="AN81" s="698"/>
    </row>
    <row r="82" spans="1:144" s="66" customFormat="1" ht="17.25" customHeight="1">
      <c r="A82" s="693"/>
      <c r="B82" s="78" t="s">
        <v>247</v>
      </c>
      <c r="C82" s="79" t="s">
        <v>357</v>
      </c>
      <c r="D82" s="85">
        <v>4097686</v>
      </c>
      <c r="E82" s="81">
        <v>2453.6969440233684</v>
      </c>
      <c r="F82" s="85">
        <v>4153620</v>
      </c>
      <c r="G82" s="81">
        <v>3095.1371642509225</v>
      </c>
      <c r="H82" s="85">
        <v>4306154</v>
      </c>
      <c r="I82" s="81">
        <v>3116.8704989493558</v>
      </c>
      <c r="J82" s="85">
        <v>4807505</v>
      </c>
      <c r="K82" s="81">
        <v>2618.8017540999999</v>
      </c>
      <c r="L82" s="85">
        <v>5338703</v>
      </c>
      <c r="M82" s="81">
        <v>3945.9905687000005</v>
      </c>
      <c r="N82" s="85">
        <v>5656206.7169992123</v>
      </c>
      <c r="O82" s="81">
        <v>5176.0059923000008</v>
      </c>
      <c r="P82" s="85">
        <v>6985936</v>
      </c>
      <c r="Q82" s="81">
        <v>7226.9761500000013</v>
      </c>
      <c r="R82" s="80">
        <v>7670684</v>
      </c>
      <c r="S82" s="81">
        <v>9478.5103799999997</v>
      </c>
      <c r="T82" s="80">
        <v>8076940</v>
      </c>
      <c r="U82" s="81">
        <v>12323.70858</v>
      </c>
      <c r="V82" s="80">
        <v>9433136</v>
      </c>
      <c r="W82" s="81">
        <v>14101.216869999997</v>
      </c>
      <c r="X82" s="80">
        <v>10684786.982185606</v>
      </c>
      <c r="Y82" s="81">
        <v>19040.812859999998</v>
      </c>
      <c r="Z82" s="80">
        <v>12105503.002499999</v>
      </c>
      <c r="AA82" s="81">
        <v>21018.696800000002</v>
      </c>
      <c r="AB82" s="80">
        <v>13673187.4735</v>
      </c>
      <c r="AC82" s="81">
        <v>22715.716129999997</v>
      </c>
      <c r="AD82" s="80">
        <v>14337953.506000001</v>
      </c>
      <c r="AE82" s="81">
        <v>25242.694189999995</v>
      </c>
      <c r="AF82" s="80">
        <v>15720434.74539593</v>
      </c>
      <c r="AG82" s="81">
        <v>26040.409920000002</v>
      </c>
      <c r="AH82" s="80">
        <v>17186735.340926412</v>
      </c>
      <c r="AI82" s="81">
        <v>25286.934950000006</v>
      </c>
      <c r="AJ82" s="80">
        <v>18717955.110072978</v>
      </c>
      <c r="AK82" s="81">
        <v>29182.003210000006</v>
      </c>
      <c r="AM82" s="698"/>
      <c r="AN82" s="698"/>
    </row>
    <row r="83" spans="1:144" s="66" customFormat="1" ht="17.25" customHeight="1">
      <c r="A83" s="689"/>
      <c r="B83" s="78" t="s">
        <v>246</v>
      </c>
      <c r="C83" s="79" t="s">
        <v>357</v>
      </c>
      <c r="D83" s="85">
        <v>4097686</v>
      </c>
      <c r="E83" s="81">
        <v>45.327614317650983</v>
      </c>
      <c r="F83" s="85">
        <v>4153620</v>
      </c>
      <c r="G83" s="81">
        <v>153.95801539999999</v>
      </c>
      <c r="H83" s="85">
        <v>4306154</v>
      </c>
      <c r="I83" s="81">
        <v>149.90553849999998</v>
      </c>
      <c r="J83" s="85">
        <v>4807505</v>
      </c>
      <c r="K83" s="81">
        <v>137.90031999999999</v>
      </c>
      <c r="L83" s="85">
        <v>5338703</v>
      </c>
      <c r="M83" s="81">
        <v>30.00919</v>
      </c>
      <c r="N83" s="85">
        <v>5656206.7169992123</v>
      </c>
      <c r="O83" s="81">
        <v>103.04</v>
      </c>
      <c r="P83" s="85">
        <v>6985936</v>
      </c>
      <c r="Q83" s="81">
        <v>111.54</v>
      </c>
      <c r="R83" s="80">
        <v>7670684</v>
      </c>
      <c r="S83" s="81">
        <v>113.04</v>
      </c>
      <c r="T83" s="80">
        <v>8076940</v>
      </c>
      <c r="U83" s="81">
        <v>113.04</v>
      </c>
      <c r="V83" s="80">
        <v>9433136</v>
      </c>
      <c r="W83" s="81">
        <v>86.04</v>
      </c>
      <c r="X83" s="80">
        <v>10684786.982185606</v>
      </c>
      <c r="Y83" s="81">
        <v>59.04</v>
      </c>
      <c r="Z83" s="80">
        <v>12105503.002499999</v>
      </c>
      <c r="AA83" s="81">
        <v>149.52000000000001</v>
      </c>
      <c r="AB83" s="80">
        <v>13673187.4735</v>
      </c>
      <c r="AC83" s="81">
        <v>252</v>
      </c>
      <c r="AD83" s="80">
        <v>14337953.506000001</v>
      </c>
      <c r="AE83" s="81">
        <v>264.60000000000002</v>
      </c>
      <c r="AF83" s="80">
        <v>15720434.74539593</v>
      </c>
      <c r="AG83" s="81">
        <v>277.83600000000001</v>
      </c>
      <c r="AH83" s="80">
        <v>17186735.340926412</v>
      </c>
      <c r="AI83" s="81">
        <v>291.72000000000003</v>
      </c>
      <c r="AJ83" s="80">
        <v>18717955.110072978</v>
      </c>
      <c r="AK83" s="81">
        <v>306.31200000000001</v>
      </c>
      <c r="AM83" s="698"/>
      <c r="AN83" s="698"/>
    </row>
    <row r="84" spans="1:144" s="66" customFormat="1" ht="17.25" customHeight="1">
      <c r="A84" s="689"/>
      <c r="B84" s="78" t="s">
        <v>307</v>
      </c>
      <c r="C84" s="79" t="s">
        <v>357</v>
      </c>
      <c r="D84" s="85">
        <v>4097686</v>
      </c>
      <c r="E84" s="81">
        <v>1981.4633057396995</v>
      </c>
      <c r="F84" s="85">
        <v>4153620</v>
      </c>
      <c r="G84" s="81">
        <v>3154.6760899999999</v>
      </c>
      <c r="H84" s="85">
        <v>4306154</v>
      </c>
      <c r="I84" s="81">
        <v>3407.1095</v>
      </c>
      <c r="J84" s="85">
        <v>4807505</v>
      </c>
      <c r="K84" s="81">
        <v>3385.0543699999998</v>
      </c>
      <c r="L84" s="85">
        <v>5338703</v>
      </c>
      <c r="M84" s="81">
        <v>3693.8678</v>
      </c>
      <c r="N84" s="85">
        <v>5656206.7169992123</v>
      </c>
      <c r="O84" s="81">
        <v>4109.7586199999996</v>
      </c>
      <c r="P84" s="85">
        <v>6985936</v>
      </c>
      <c r="Q84" s="81">
        <v>5314.7683599999982</v>
      </c>
      <c r="R84" s="80">
        <v>7670684</v>
      </c>
      <c r="S84" s="81">
        <v>6066.9903400000012</v>
      </c>
      <c r="T84" s="80">
        <v>8076940</v>
      </c>
      <c r="U84" s="81">
        <v>7482.6385000000009</v>
      </c>
      <c r="V84" s="80">
        <v>9433136</v>
      </c>
      <c r="W84" s="81">
        <v>9323.9445400000004</v>
      </c>
      <c r="X84" s="80">
        <v>10684786.982185606</v>
      </c>
      <c r="Y84" s="81">
        <v>12509.87974</v>
      </c>
      <c r="Z84" s="80">
        <v>12105503.002499999</v>
      </c>
      <c r="AA84" s="81">
        <v>14385.995339999998</v>
      </c>
      <c r="AB84" s="80">
        <v>13673187.4735</v>
      </c>
      <c r="AC84" s="81">
        <v>14657.216009999998</v>
      </c>
      <c r="AD84" s="80">
        <v>14337953.506000001</v>
      </c>
      <c r="AE84" s="81">
        <v>14662.510479999999</v>
      </c>
      <c r="AF84" s="80">
        <v>15720434.74539593</v>
      </c>
      <c r="AG84" s="81">
        <v>14290.652799999998</v>
      </c>
      <c r="AH84" s="80">
        <v>17186735.340926412</v>
      </c>
      <c r="AI84" s="81">
        <v>17541.682119999998</v>
      </c>
      <c r="AJ84" s="80">
        <v>18717955.110072978</v>
      </c>
      <c r="AK84" s="81">
        <v>22689.650120000002</v>
      </c>
      <c r="AM84" s="698"/>
      <c r="AN84" s="698"/>
    </row>
    <row r="85" spans="1:144" s="66" customFormat="1" ht="17.25" customHeight="1">
      <c r="A85" s="689"/>
      <c r="B85" s="78" t="s">
        <v>309</v>
      </c>
      <c r="C85" s="79" t="s">
        <v>357</v>
      </c>
      <c r="D85" s="85">
        <v>4097686</v>
      </c>
      <c r="E85" s="81">
        <v>366.31227144307439</v>
      </c>
      <c r="F85" s="85">
        <v>4153620</v>
      </c>
      <c r="G85" s="81">
        <v>612.35185000000001</v>
      </c>
      <c r="H85" s="85">
        <v>4306154</v>
      </c>
      <c r="I85" s="81">
        <v>656.19826</v>
      </c>
      <c r="J85" s="85">
        <v>4807505</v>
      </c>
      <c r="K85" s="81">
        <v>752.00430999999992</v>
      </c>
      <c r="L85" s="85">
        <v>5338703</v>
      </c>
      <c r="M85" s="81">
        <v>1315.8532299999999</v>
      </c>
      <c r="N85" s="85">
        <v>5656206.7169992123</v>
      </c>
      <c r="O85" s="81">
        <v>1618.1646599999999</v>
      </c>
      <c r="P85" s="85">
        <v>6985936</v>
      </c>
      <c r="Q85" s="81">
        <v>2270.1888300000001</v>
      </c>
      <c r="R85" s="80">
        <v>7670684</v>
      </c>
      <c r="S85" s="81">
        <v>2766.9812200000001</v>
      </c>
      <c r="T85" s="80">
        <v>8076940</v>
      </c>
      <c r="U85" s="81">
        <v>2968.6188999999995</v>
      </c>
      <c r="V85" s="80">
        <v>9433136</v>
      </c>
      <c r="W85" s="81">
        <v>4083.3246999999997</v>
      </c>
      <c r="X85" s="80">
        <v>10684786.982185606</v>
      </c>
      <c r="Y85" s="81">
        <v>5171.3419999999987</v>
      </c>
      <c r="Z85" s="80">
        <v>12105503.002499999</v>
      </c>
      <c r="AA85" s="81">
        <v>6131.8277700000008</v>
      </c>
      <c r="AB85" s="80">
        <v>13673187.4735</v>
      </c>
      <c r="AC85" s="81">
        <v>7290.1139999999996</v>
      </c>
      <c r="AD85" s="80">
        <v>14337953.506000001</v>
      </c>
      <c r="AE85" s="81">
        <v>7548.03233</v>
      </c>
      <c r="AF85" s="80">
        <v>15720434.74539593</v>
      </c>
      <c r="AG85" s="81">
        <v>7941.8551099999995</v>
      </c>
      <c r="AH85" s="80">
        <v>17186735.340926412</v>
      </c>
      <c r="AI85" s="81">
        <v>8229.7854800000005</v>
      </c>
      <c r="AJ85" s="80">
        <v>18717955.110072978</v>
      </c>
      <c r="AK85" s="81">
        <v>10890.049899999998</v>
      </c>
      <c r="AM85" s="698"/>
      <c r="AN85" s="698"/>
    </row>
    <row r="86" spans="1:144" s="66" customFormat="1" ht="17.25" customHeight="1">
      <c r="A86" s="689"/>
      <c r="B86" s="78" t="s">
        <v>308</v>
      </c>
      <c r="C86" s="79" t="s">
        <v>357</v>
      </c>
      <c r="D86" s="85">
        <v>4097686</v>
      </c>
      <c r="E86" s="81">
        <v>298.14559648862803</v>
      </c>
      <c r="F86" s="85">
        <v>4153620</v>
      </c>
      <c r="G86" s="81">
        <v>476.86763000000002</v>
      </c>
      <c r="H86" s="85">
        <v>4306154</v>
      </c>
      <c r="I86" s="81">
        <v>451.78106000000008</v>
      </c>
      <c r="J86" s="85">
        <v>4807505</v>
      </c>
      <c r="K86" s="81">
        <v>417.36720999999994</v>
      </c>
      <c r="L86" s="85">
        <v>5338703</v>
      </c>
      <c r="M86" s="81">
        <v>437.84215999999998</v>
      </c>
      <c r="N86" s="85">
        <v>5656206.7169992123</v>
      </c>
      <c r="O86" s="81">
        <v>473.88400999999993</v>
      </c>
      <c r="P86" s="85">
        <v>6985936</v>
      </c>
      <c r="Q86" s="81">
        <v>559.02641000000006</v>
      </c>
      <c r="R86" s="80">
        <v>7670684</v>
      </c>
      <c r="S86" s="81">
        <v>824.45270000000005</v>
      </c>
      <c r="T86" s="80">
        <v>8076940</v>
      </c>
      <c r="U86" s="81">
        <v>909.74056999999993</v>
      </c>
      <c r="V86" s="80">
        <v>9433136</v>
      </c>
      <c r="W86" s="81">
        <v>1093.2760299999998</v>
      </c>
      <c r="X86" s="80">
        <v>10684786.982185606</v>
      </c>
      <c r="Y86" s="81">
        <v>1448.41777</v>
      </c>
      <c r="Z86" s="80">
        <v>12105503.002499999</v>
      </c>
      <c r="AA86" s="81">
        <v>1646.1691899999998</v>
      </c>
      <c r="AB86" s="80">
        <v>13673187.4735</v>
      </c>
      <c r="AC86" s="81">
        <v>1991.5848700000001</v>
      </c>
      <c r="AD86" s="80">
        <v>14337953.506000001</v>
      </c>
      <c r="AE86" s="81">
        <v>2279.8770500000001</v>
      </c>
      <c r="AF86" s="80">
        <v>15720434.74539593</v>
      </c>
      <c r="AG86" s="81">
        <v>2374.7543600000004</v>
      </c>
      <c r="AH86" s="80">
        <v>17186735.340926412</v>
      </c>
      <c r="AI86" s="81">
        <v>2997.07033</v>
      </c>
      <c r="AJ86" s="80">
        <v>18717955.110072978</v>
      </c>
      <c r="AK86" s="81">
        <v>3595.350899999999</v>
      </c>
      <c r="AM86" s="698"/>
      <c r="AN86" s="698"/>
    </row>
    <row r="87" spans="1:144" s="66" customFormat="1" ht="17.25" customHeight="1">
      <c r="A87" s="689"/>
      <c r="B87" s="78" t="s">
        <v>278</v>
      </c>
      <c r="C87" s="79" t="s">
        <v>357</v>
      </c>
      <c r="D87" s="85">
        <v>4097686</v>
      </c>
      <c r="E87" s="81">
        <v>28.171420011080926</v>
      </c>
      <c r="F87" s="85">
        <v>4153620</v>
      </c>
      <c r="G87" s="81">
        <v>329.89554666666669</v>
      </c>
      <c r="H87" s="85">
        <v>4306154</v>
      </c>
      <c r="I87" s="81">
        <v>261.73508999999996</v>
      </c>
      <c r="J87" s="85">
        <v>4807505</v>
      </c>
      <c r="K87" s="81">
        <v>382.09879000000006</v>
      </c>
      <c r="L87" s="85">
        <v>5338703</v>
      </c>
      <c r="M87" s="81">
        <v>515.76722999999993</v>
      </c>
      <c r="N87" s="85">
        <v>5656206.7169992123</v>
      </c>
      <c r="O87" s="81">
        <v>614.72604999999999</v>
      </c>
      <c r="P87" s="85">
        <v>6985936</v>
      </c>
      <c r="Q87" s="81">
        <v>573.88024000000007</v>
      </c>
      <c r="R87" s="80">
        <v>7670684</v>
      </c>
      <c r="S87" s="81">
        <v>1239.94659</v>
      </c>
      <c r="T87" s="80">
        <v>8076940</v>
      </c>
      <c r="U87" s="81">
        <v>1648.0753200000001</v>
      </c>
      <c r="V87" s="80">
        <v>9433136</v>
      </c>
      <c r="W87" s="81">
        <v>1974.7227</v>
      </c>
      <c r="X87" s="80">
        <v>10684786.982185606</v>
      </c>
      <c r="Y87" s="81">
        <v>2167.22624</v>
      </c>
      <c r="Z87" s="80">
        <v>12105503.002499999</v>
      </c>
      <c r="AA87" s="81">
        <v>2570.3183599999998</v>
      </c>
      <c r="AB87" s="80">
        <v>13673187.4735</v>
      </c>
      <c r="AC87" s="81">
        <v>2626.90897</v>
      </c>
      <c r="AD87" s="80">
        <v>14337953.506000001</v>
      </c>
      <c r="AE87" s="81">
        <v>2698.3314400000004</v>
      </c>
      <c r="AF87" s="80">
        <v>15720434.74539593</v>
      </c>
      <c r="AG87" s="81">
        <v>2955.9046599999992</v>
      </c>
      <c r="AH87" s="80">
        <v>17186735.340926412</v>
      </c>
      <c r="AI87" s="81">
        <v>3758.8846500000004</v>
      </c>
      <c r="AJ87" s="80">
        <v>18717955.110072978</v>
      </c>
      <c r="AK87" s="81">
        <v>4198.6705099999999</v>
      </c>
      <c r="AM87" s="698"/>
      <c r="AN87" s="698"/>
    </row>
    <row r="88" spans="1:144" s="66" customFormat="1">
      <c r="A88" s="693"/>
      <c r="B88" s="86" t="s">
        <v>361</v>
      </c>
      <c r="C88" s="87"/>
      <c r="D88" s="85">
        <v>4097686</v>
      </c>
      <c r="E88" s="89">
        <v>988.46036552822216</v>
      </c>
      <c r="F88" s="88">
        <v>4153620</v>
      </c>
      <c r="G88" s="89">
        <v>1061.9730400000001</v>
      </c>
      <c r="H88" s="85">
        <v>4306154</v>
      </c>
      <c r="I88" s="89">
        <v>1181.5319153</v>
      </c>
      <c r="J88" s="88">
        <v>4807505</v>
      </c>
      <c r="K88" s="89">
        <v>1405.7505700000002</v>
      </c>
      <c r="L88" s="88">
        <v>5338703</v>
      </c>
      <c r="M88" s="89">
        <v>1502.08692</v>
      </c>
      <c r="N88" s="88">
        <v>5656206.7169992123</v>
      </c>
      <c r="O88" s="89">
        <v>1542.74865</v>
      </c>
      <c r="P88" s="85">
        <v>6985936</v>
      </c>
      <c r="Q88" s="89">
        <v>2352.78674</v>
      </c>
      <c r="R88" s="80">
        <v>7670684</v>
      </c>
      <c r="S88" s="89">
        <v>2116.62417</v>
      </c>
      <c r="T88" s="80">
        <v>8076940</v>
      </c>
      <c r="U88" s="89">
        <v>3041.1605099999997</v>
      </c>
      <c r="V88" s="80">
        <v>9433136</v>
      </c>
      <c r="W88" s="89">
        <v>3770.6506399999998</v>
      </c>
      <c r="X88" s="80">
        <v>10684786.982185606</v>
      </c>
      <c r="Y88" s="89">
        <v>4011.2877799999992</v>
      </c>
      <c r="Z88" s="80">
        <v>12105503.002499999</v>
      </c>
      <c r="AA88" s="89">
        <v>5034.6831399999992</v>
      </c>
      <c r="AB88" s="80">
        <v>13673187.4735</v>
      </c>
      <c r="AC88" s="81">
        <v>6199.9621299999999</v>
      </c>
      <c r="AD88" s="80">
        <v>14337953.506000001</v>
      </c>
      <c r="AE88" s="81">
        <v>7423.9305600000007</v>
      </c>
      <c r="AF88" s="80">
        <v>15720434.74539593</v>
      </c>
      <c r="AG88" s="81">
        <v>6185.5360499999997</v>
      </c>
      <c r="AH88" s="80">
        <v>17186735.340926412</v>
      </c>
      <c r="AI88" s="81">
        <v>6792.0492899999999</v>
      </c>
      <c r="AJ88" s="80">
        <v>18717955.110072978</v>
      </c>
      <c r="AK88" s="81">
        <v>7075.7506399999984</v>
      </c>
      <c r="AM88" s="698"/>
      <c r="AN88" s="698"/>
    </row>
    <row r="89" spans="1:144">
      <c r="B89" s="90"/>
      <c r="C89" s="91"/>
      <c r="D89" s="111"/>
      <c r="E89" s="92">
        <v>56165.247888816913</v>
      </c>
      <c r="F89" s="111"/>
      <c r="G89" s="92">
        <v>63840.064148117592</v>
      </c>
      <c r="H89" s="111"/>
      <c r="I89" s="92">
        <v>69740.094603099991</v>
      </c>
      <c r="J89" s="111"/>
      <c r="K89" s="92">
        <v>75532.414909999992</v>
      </c>
      <c r="L89" s="111"/>
      <c r="M89" s="92">
        <v>89652.95031</v>
      </c>
      <c r="N89" s="111"/>
      <c r="O89" s="92">
        <v>100007.94946100023</v>
      </c>
      <c r="P89" s="111"/>
      <c r="Q89" s="92">
        <v>121294.76119099998</v>
      </c>
      <c r="R89" s="111"/>
      <c r="S89" s="92">
        <f>+SUM(S67:S88,S10,S6)</f>
        <v>137079.47838109243</v>
      </c>
      <c r="T89" s="111"/>
      <c r="U89" s="92">
        <f>+SUM(U67:U88,U10,U6)</f>
        <v>153313.86828689073</v>
      </c>
      <c r="V89" s="111"/>
      <c r="W89" s="92">
        <f>+SUM(W67:W88,W10,W6)</f>
        <v>173237.4076331933</v>
      </c>
      <c r="X89" s="111"/>
      <c r="Y89" s="92">
        <f>+SUM(Y67:Y88,Y10,Y6)</f>
        <v>203161.71297739103</v>
      </c>
      <c r="Z89" s="111"/>
      <c r="AA89" s="92">
        <f>+SUM(AA67:AA88,AA10,AA6)</f>
        <v>231194.98971198034</v>
      </c>
      <c r="AB89" s="111"/>
      <c r="AC89" s="92">
        <f>+SUM(AC67:AC88,AC10,AC6)</f>
        <v>257345.84808694915</v>
      </c>
      <c r="AD89" s="111"/>
      <c r="AE89" s="92">
        <f>+SUM(AE67:AE88,AE10,AE6)</f>
        <v>271916.05940999999</v>
      </c>
      <c r="AF89" s="111"/>
      <c r="AG89" s="92">
        <f>+SUM(AG67:AG88,AG10,AG6)</f>
        <v>291760.51747000002</v>
      </c>
      <c r="AH89" s="111"/>
      <c r="AI89" s="92">
        <f>+SUM(AI67:AI88,AI10,AI6)</f>
        <v>316278.70561949152</v>
      </c>
      <c r="AJ89" s="111"/>
      <c r="AK89" s="92">
        <f>+SUM(AK67:AK88,AK10,AK6)</f>
        <v>346704.26318593218</v>
      </c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1" spans="1:144">
      <c r="D91" s="338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</row>
    <row r="93" spans="1:144">
      <c r="E93" s="94"/>
    </row>
  </sheetData>
  <mergeCells count="19">
    <mergeCell ref="T4:U4"/>
    <mergeCell ref="V4:W4"/>
    <mergeCell ref="X4:Y4"/>
    <mergeCell ref="AF4:AG4"/>
    <mergeCell ref="AH4:AI4"/>
    <mergeCell ref="AJ4:AK4"/>
    <mergeCell ref="Z4:AA4"/>
    <mergeCell ref="B4:B5"/>
    <mergeCell ref="C4:C5"/>
    <mergeCell ref="D4:E4"/>
    <mergeCell ref="F4:G4"/>
    <mergeCell ref="L4:M4"/>
    <mergeCell ref="J4:K4"/>
    <mergeCell ref="H4:I4"/>
    <mergeCell ref="N4:O4"/>
    <mergeCell ref="P4:Q4"/>
    <mergeCell ref="AB4:AC4"/>
    <mergeCell ref="AD4:AE4"/>
    <mergeCell ref="R4:S4"/>
  </mergeCells>
  <phoneticPr fontId="0" type="noConversion"/>
  <pageMargins left="0.75" right="0.75" top="0.84" bottom="1" header="0" footer="0"/>
  <pageSetup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Y744"/>
  <sheetViews>
    <sheetView showGridLines="0" zoomScale="70" zoomScaleNormal="70" workbookViewId="0">
      <selection activeCell="Q289" sqref="Q289"/>
    </sheetView>
  </sheetViews>
  <sheetFormatPr baseColWidth="10" defaultColWidth="11.42578125" defaultRowHeight="15" customHeight="1"/>
  <cols>
    <col min="1" max="1" width="8.28515625" style="2" customWidth="1"/>
    <col min="2" max="2" width="27.28515625" style="2" customWidth="1"/>
    <col min="3" max="20" width="11.42578125" style="2" customWidth="1"/>
    <col min="21" max="16384" width="11.42578125" style="2"/>
  </cols>
  <sheetData>
    <row r="1" spans="1:20" ht="15" customHeight="1">
      <c r="D1" s="3"/>
      <c r="E1" s="3"/>
    </row>
    <row r="2" spans="1:20" ht="15" customHeight="1">
      <c r="B2" s="4"/>
      <c r="D2" s="3"/>
      <c r="E2" s="3"/>
    </row>
    <row r="3" spans="1:20" ht="20.25" customHeight="1" thickBot="1">
      <c r="B3" s="341" t="s">
        <v>397</v>
      </c>
      <c r="C3" s="342">
        <v>2001</v>
      </c>
      <c r="D3" s="342">
        <f>C3+1</f>
        <v>2002</v>
      </c>
      <c r="E3" s="342">
        <f>D3+1</f>
        <v>2003</v>
      </c>
      <c r="F3" s="342">
        <f>E3+1</f>
        <v>2004</v>
      </c>
      <c r="G3" s="343">
        <f>F3+1</f>
        <v>2005</v>
      </c>
      <c r="H3" s="342">
        <f>F3+1</f>
        <v>2005</v>
      </c>
      <c r="I3" s="342">
        <f t="shared" ref="I3:O3" si="0">H3+1</f>
        <v>2006</v>
      </c>
      <c r="J3" s="342">
        <f t="shared" si="0"/>
        <v>2007</v>
      </c>
      <c r="K3" s="342">
        <f t="shared" si="0"/>
        <v>2008</v>
      </c>
      <c r="L3" s="342">
        <f t="shared" si="0"/>
        <v>2009</v>
      </c>
      <c r="M3" s="342">
        <f t="shared" si="0"/>
        <v>2010</v>
      </c>
      <c r="N3" s="342">
        <f t="shared" si="0"/>
        <v>2011</v>
      </c>
      <c r="O3" s="342">
        <f t="shared" si="0"/>
        <v>2012</v>
      </c>
      <c r="P3" s="342">
        <f t="shared" ref="P3:T3" si="1">O3+1</f>
        <v>2013</v>
      </c>
      <c r="Q3" s="342">
        <f t="shared" si="1"/>
        <v>2014</v>
      </c>
      <c r="R3" s="342">
        <f t="shared" si="1"/>
        <v>2015</v>
      </c>
      <c r="S3" s="342">
        <f t="shared" si="1"/>
        <v>2016</v>
      </c>
      <c r="T3" s="342">
        <f t="shared" si="1"/>
        <v>2017</v>
      </c>
    </row>
    <row r="4" spans="1:20" ht="15" customHeight="1">
      <c r="A4" s="8"/>
      <c r="B4" s="344" t="s">
        <v>61</v>
      </c>
      <c r="C4" s="340">
        <f>+'INDICE OUTPUT'!C369</f>
        <v>9622521.7963562012</v>
      </c>
      <c r="D4" s="340">
        <f>+'INDICE OUTPUT'!D369</f>
        <v>10116188.558155678</v>
      </c>
      <c r="E4" s="340">
        <f>+'INDICE OUTPUT'!E369</f>
        <v>11472654.524200318</v>
      </c>
      <c r="F4" s="340">
        <f>+'INDICE OUTPUT'!F369</f>
        <v>12825123.400174797</v>
      </c>
      <c r="G4" s="340">
        <f>+'INDICE OUTPUT'!G369</f>
        <v>14407908.130410958</v>
      </c>
      <c r="H4" s="340">
        <f>+'INDICE OUTPUT'!H369</f>
        <v>14407908.130410958</v>
      </c>
      <c r="I4" s="340">
        <f>+'INDICE OUTPUT'!I369</f>
        <v>15871958.549187835</v>
      </c>
      <c r="J4" s="340">
        <f>+'INDICE OUTPUT'!J369</f>
        <v>19122628.449925438</v>
      </c>
      <c r="K4" s="340">
        <f>+'INDICE OUTPUT'!K369</f>
        <v>20966031.517089073</v>
      </c>
      <c r="L4" s="340">
        <f>+'INDICE OUTPUT'!L369</f>
        <v>22135304.429006718</v>
      </c>
      <c r="M4" s="340">
        <f>+'INDICE OUTPUT'!M369</f>
        <v>23151985.555544164</v>
      </c>
      <c r="N4" s="340">
        <f>+'INDICE OUTPUT'!N369</f>
        <v>25652123.860130273</v>
      </c>
      <c r="O4" s="340">
        <f>+'INDICE OUTPUT'!O369</f>
        <v>28170111.568190083</v>
      </c>
      <c r="P4" s="340">
        <f>+'INDICE OUTPUT'!P369</f>
        <v>31265742.309170157</v>
      </c>
      <c r="Q4" s="340">
        <f>+'INDICE OUTPUT'!Q369</f>
        <v>31802230.227802306</v>
      </c>
      <c r="R4" s="340">
        <f>+'INDICE OUTPUT'!R369</f>
        <v>33972829.048205517</v>
      </c>
      <c r="S4" s="340">
        <f>+'INDICE OUTPUT'!S369</f>
        <v>36728101.224722154</v>
      </c>
      <c r="T4" s="340">
        <f>+'INDICE OUTPUT'!T369</f>
        <v>39492181.020383246</v>
      </c>
    </row>
    <row r="5" spans="1:20" ht="15" customHeight="1">
      <c r="B5" s="345" t="s">
        <v>62</v>
      </c>
      <c r="C5" s="340">
        <f>+'INDICE OUTPUT'!C370</f>
        <v>1522104.8673850477</v>
      </c>
      <c r="D5" s="340">
        <f>+'INDICE OUTPUT'!D370</f>
        <v>1687389.6865923996</v>
      </c>
      <c r="E5" s="340">
        <f>+'INDICE OUTPUT'!E370</f>
        <v>2177737.9511751002</v>
      </c>
      <c r="F5" s="340">
        <f>+'INDICE OUTPUT'!F370</f>
        <v>2430382.0003880002</v>
      </c>
      <c r="G5" s="340">
        <f>+'INDICE OUTPUT'!G370</f>
        <v>2621103.0546617</v>
      </c>
      <c r="H5" s="340">
        <f>+'INDICE OUTPUT'!H370</f>
        <v>2621103.0546617</v>
      </c>
      <c r="I5" s="340">
        <f>+'INDICE OUTPUT'!I370</f>
        <v>3501306.2912272005</v>
      </c>
      <c r="J5" s="340">
        <f>+'INDICE OUTPUT'!J370</f>
        <v>4552811.8303599004</v>
      </c>
      <c r="K5" s="340">
        <f>+'INDICE OUTPUT'!K370</f>
        <v>5002999.951829832</v>
      </c>
      <c r="L5" s="340">
        <f>+'INDICE OUTPUT'!L370</f>
        <v>5161356.5609847046</v>
      </c>
      <c r="M5" s="340">
        <f>+'INDICE OUTPUT'!M370</f>
        <v>7670908.4289829675</v>
      </c>
      <c r="N5" s="340">
        <f>+'INDICE OUTPUT'!N370</f>
        <v>9784789.0241230428</v>
      </c>
      <c r="O5" s="340">
        <f>+'INDICE OUTPUT'!O370</f>
        <v>13474575.556952635</v>
      </c>
      <c r="P5" s="340">
        <f>+'INDICE OUTPUT'!P370</f>
        <v>16696047.871230446</v>
      </c>
      <c r="Q5" s="340">
        <f>+'INDICE OUTPUT'!Q370</f>
        <v>19055354.8594983</v>
      </c>
      <c r="R5" s="340">
        <f>+'INDICE OUTPUT'!R370</f>
        <v>22583829.751063902</v>
      </c>
      <c r="S5" s="340">
        <f>+'INDICE OUTPUT'!S370</f>
        <v>24964314.794476405</v>
      </c>
      <c r="T5" s="340">
        <f>+'INDICE OUTPUT'!T370</f>
        <v>27821062.406823635</v>
      </c>
    </row>
    <row r="6" spans="1:20" ht="15" customHeight="1">
      <c r="B6" s="345" t="s">
        <v>588</v>
      </c>
      <c r="C6" s="340">
        <f>+'INDICE OUTPUT'!C371</f>
        <v>0</v>
      </c>
      <c r="D6" s="340">
        <f>+'INDICE OUTPUT'!D371</f>
        <v>0</v>
      </c>
      <c r="E6" s="340">
        <f>+'INDICE OUTPUT'!E371</f>
        <v>0</v>
      </c>
      <c r="F6" s="340">
        <f>+'INDICE OUTPUT'!F371</f>
        <v>0</v>
      </c>
      <c r="G6" s="340">
        <f>+'INDICE OUTPUT'!G371</f>
        <v>0</v>
      </c>
      <c r="H6" s="340">
        <f>+'INDICE OUTPUT'!H371</f>
        <v>0</v>
      </c>
      <c r="I6" s="340">
        <f>+'INDICE OUTPUT'!I371</f>
        <v>0</v>
      </c>
      <c r="J6" s="340">
        <f>+'INDICE OUTPUT'!J371</f>
        <v>0</v>
      </c>
      <c r="K6" s="340">
        <f>+'INDICE OUTPUT'!K371</f>
        <v>0</v>
      </c>
      <c r="L6" s="340">
        <f>+'INDICE OUTPUT'!L371</f>
        <v>0</v>
      </c>
      <c r="M6" s="340">
        <f>+'INDICE OUTPUT'!M371</f>
        <v>0</v>
      </c>
      <c r="N6" s="340">
        <f>+'INDICE OUTPUT'!N371</f>
        <v>0</v>
      </c>
      <c r="O6" s="340">
        <f>+'INDICE OUTPUT'!O371</f>
        <v>0</v>
      </c>
      <c r="P6" s="340">
        <f>+'INDICE OUTPUT'!P371</f>
        <v>0</v>
      </c>
      <c r="Q6" s="340">
        <f>+'INDICE OUTPUT'!Q371</f>
        <v>0</v>
      </c>
      <c r="R6" s="340">
        <f>+'INDICE OUTPUT'!R371</f>
        <v>0</v>
      </c>
      <c r="S6" s="340">
        <f>+'INDICE OUTPUT'!S371</f>
        <v>0</v>
      </c>
      <c r="T6" s="340">
        <f>+'INDICE OUTPUT'!T371</f>
        <v>0</v>
      </c>
    </row>
    <row r="7" spans="1:20" ht="15" customHeight="1">
      <c r="B7" s="345" t="s">
        <v>310</v>
      </c>
      <c r="C7" s="340">
        <f>+'INDICE OUTPUT'!C372</f>
        <v>1351.7391923325758</v>
      </c>
      <c r="D7" s="340">
        <f>+'INDICE OUTPUT'!D372</f>
        <v>1082.1649085999998</v>
      </c>
      <c r="E7" s="340">
        <f>+'INDICE OUTPUT'!E372</f>
        <v>1195.2167314499998</v>
      </c>
      <c r="F7" s="340">
        <f>+'INDICE OUTPUT'!F372</f>
        <v>1188.8964566999998</v>
      </c>
      <c r="G7" s="340">
        <f>+'INDICE OUTPUT'!G372</f>
        <v>1202.4020214000002</v>
      </c>
      <c r="H7" s="340">
        <f>+'INDICE OUTPUT'!H372</f>
        <v>1202.4020214000002</v>
      </c>
      <c r="I7" s="340">
        <f>+'INDICE OUTPUT'!I372</f>
        <v>1331.8247718000002</v>
      </c>
      <c r="J7" s="340">
        <f>+'INDICE OUTPUT'!J372</f>
        <v>1680.6009600000007</v>
      </c>
      <c r="K7" s="340">
        <f>+'INDICE OUTPUT'!K372</f>
        <v>2026.3495949999997</v>
      </c>
      <c r="L7" s="340">
        <f>+'INDICE OUTPUT'!L372</f>
        <v>2235.0654053999997</v>
      </c>
      <c r="M7" s="340">
        <f>+'INDICE OUTPUT'!M372</f>
        <v>2478.4564828499988</v>
      </c>
      <c r="N7" s="340">
        <f>+'INDICE OUTPUT'!N372</f>
        <v>2255.7614089499993</v>
      </c>
      <c r="O7" s="340">
        <f>+'INDICE OUTPUT'!O372</f>
        <v>2553.2571275999908</v>
      </c>
      <c r="P7" s="340">
        <f>+'INDICE OUTPUT'!P372</f>
        <v>1978.8973326000023</v>
      </c>
      <c r="Q7" s="340">
        <f>+'INDICE OUTPUT'!Q372</f>
        <v>2482.6991764500008</v>
      </c>
      <c r="R7" s="340">
        <f>+'INDICE OUTPUT'!R372</f>
        <v>1865.4284488500007</v>
      </c>
      <c r="S7" s="340">
        <f>+'INDICE OUTPUT'!S372</f>
        <v>1674.8007241500018</v>
      </c>
      <c r="T7" s="340">
        <f>+'INDICE OUTPUT'!T372</f>
        <v>1821.3590137500014</v>
      </c>
    </row>
    <row r="8" spans="1:20" ht="15" customHeight="1">
      <c r="B8" s="345" t="s">
        <v>311</v>
      </c>
      <c r="C8" s="340">
        <f>+'INDICE OUTPUT'!C373</f>
        <v>2518.4640153952569</v>
      </c>
      <c r="D8" s="340">
        <f>+'INDICE OUTPUT'!D373</f>
        <v>3769.5071155499991</v>
      </c>
      <c r="E8" s="340">
        <f>+'INDICE OUTPUT'!E373</f>
        <v>3336.7497939000004</v>
      </c>
      <c r="F8" s="340">
        <f>+'INDICE OUTPUT'!F373</f>
        <v>2756.4301471500003</v>
      </c>
      <c r="G8" s="340">
        <f>+'INDICE OUTPUT'!G373</f>
        <v>2025.7291525499995</v>
      </c>
      <c r="H8" s="340">
        <f>+'INDICE OUTPUT'!H373</f>
        <v>2025.7291525499995</v>
      </c>
      <c r="I8" s="340">
        <f>+'INDICE OUTPUT'!I373</f>
        <v>1724.06539935</v>
      </c>
      <c r="J8" s="340">
        <f>+'INDICE OUTPUT'!J373</f>
        <v>2121.3081832500002</v>
      </c>
      <c r="K8" s="340">
        <f>+'INDICE OUTPUT'!K373</f>
        <v>2446.4328992999999</v>
      </c>
      <c r="L8" s="340">
        <f>+'INDICE OUTPUT'!L373</f>
        <v>2061.3234982499998</v>
      </c>
      <c r="M8" s="340">
        <f>+'INDICE OUTPUT'!M373</f>
        <v>3177.4943169000016</v>
      </c>
      <c r="N8" s="340">
        <f>+'INDICE OUTPUT'!N373</f>
        <v>3130.6135823999994</v>
      </c>
      <c r="O8" s="340">
        <f>+'INDICE OUTPUT'!O373</f>
        <v>3944.4229718999959</v>
      </c>
      <c r="P8" s="340">
        <f>+'INDICE OUTPUT'!P373</f>
        <v>3948.0915631499993</v>
      </c>
      <c r="Q8" s="340">
        <f>+'INDICE OUTPUT'!Q373</f>
        <v>4148.5820057999972</v>
      </c>
      <c r="R8" s="340">
        <f>+'INDICE OUTPUT'!R373</f>
        <v>3956.7005239499995</v>
      </c>
      <c r="S8" s="340">
        <f>+'INDICE OUTPUT'!S373</f>
        <v>4261.2837034499989</v>
      </c>
      <c r="T8" s="340">
        <f>+'INDICE OUTPUT'!T373</f>
        <v>3295.6744441499977</v>
      </c>
    </row>
    <row r="9" spans="1:20" ht="15" customHeight="1">
      <c r="B9" s="345" t="s">
        <v>312</v>
      </c>
      <c r="C9" s="340">
        <f>+'INDICE OUTPUT'!C374</f>
        <v>13652.290843781739</v>
      </c>
      <c r="D9" s="340">
        <f>+'INDICE OUTPUT'!D374</f>
        <v>11942.237660849998</v>
      </c>
      <c r="E9" s="340">
        <f>+'INDICE OUTPUT'!E374</f>
        <v>10348.550132849999</v>
      </c>
      <c r="F9" s="340">
        <f>+'INDICE OUTPUT'!F374</f>
        <v>7809.5297137499983</v>
      </c>
      <c r="G9" s="340">
        <f>+'INDICE OUTPUT'!G374</f>
        <v>2175.9199910999996</v>
      </c>
      <c r="H9" s="340">
        <f>+'INDICE OUTPUT'!H374</f>
        <v>2175.9199910999996</v>
      </c>
      <c r="I9" s="340">
        <f>+'INDICE OUTPUT'!I374</f>
        <v>14305.778419049973</v>
      </c>
      <c r="J9" s="340">
        <f>+'INDICE OUTPUT'!J374</f>
        <v>36176.560141950002</v>
      </c>
      <c r="K9" s="340">
        <f>+'INDICE OUTPUT'!K374</f>
        <v>56958.967382850009</v>
      </c>
      <c r="L9" s="340">
        <f>+'INDICE OUTPUT'!L374</f>
        <v>95827.704548849957</v>
      </c>
      <c r="M9" s="340">
        <f>+'INDICE OUTPUT'!M374</f>
        <v>88361.310403349926</v>
      </c>
      <c r="N9" s="340">
        <f>+'INDICE OUTPUT'!N374</f>
        <v>150677.21136735025</v>
      </c>
      <c r="O9" s="340">
        <f>+'INDICE OUTPUT'!O374</f>
        <v>160088.84706060105</v>
      </c>
      <c r="P9" s="340">
        <f>+'INDICE OUTPUT'!P374</f>
        <v>148728.83928840008</v>
      </c>
      <c r="Q9" s="340">
        <f>+'INDICE OUTPUT'!Q374</f>
        <v>135302.38743690006</v>
      </c>
      <c r="R9" s="340">
        <f>+'INDICE OUTPUT'!R374</f>
        <v>143667.9571594501</v>
      </c>
      <c r="S9" s="340">
        <f>+'INDICE OUTPUT'!S374</f>
        <v>178406.85689010005</v>
      </c>
      <c r="T9" s="340">
        <f>+'INDICE OUTPUT'!T374</f>
        <v>166930.79033744987</v>
      </c>
    </row>
    <row r="10" spans="1:20" ht="15" customHeight="1">
      <c r="B10" s="345" t="s">
        <v>313</v>
      </c>
      <c r="C10" s="340">
        <f>+'INDICE OUTPUT'!C375</f>
        <v>209629.4570521916</v>
      </c>
      <c r="D10" s="340">
        <f>+'INDICE OUTPUT'!D375</f>
        <v>153027.45766574977</v>
      </c>
      <c r="E10" s="340">
        <f>+'INDICE OUTPUT'!E375</f>
        <v>123445.73221739969</v>
      </c>
      <c r="F10" s="340">
        <f>+'INDICE OUTPUT'!F375</f>
        <v>145651.95962640003</v>
      </c>
      <c r="G10" s="340">
        <f>+'INDICE OUTPUT'!G375</f>
        <v>133138.12712985021</v>
      </c>
      <c r="H10" s="340">
        <f>+'INDICE OUTPUT'!H375</f>
        <v>133138.12712985021</v>
      </c>
      <c r="I10" s="340">
        <f>+'INDICE OUTPUT'!I375</f>
        <v>122107.69787220168</v>
      </c>
      <c r="J10" s="340">
        <f>+'INDICE OUTPUT'!J375</f>
        <v>201113.91522764962</v>
      </c>
      <c r="K10" s="340">
        <f>+'INDICE OUTPUT'!K375</f>
        <v>260061.9052549497</v>
      </c>
      <c r="L10" s="340">
        <f>+'INDICE OUTPUT'!L375</f>
        <v>293910.68374919845</v>
      </c>
      <c r="M10" s="340">
        <f>+'INDICE OUTPUT'!M375</f>
        <v>340486.47979560192</v>
      </c>
      <c r="N10" s="340">
        <f>+'INDICE OUTPUT'!N375</f>
        <v>395166.09093525377</v>
      </c>
      <c r="O10" s="340">
        <f>+'INDICE OUTPUT'!O375</f>
        <v>426009.37669152743</v>
      </c>
      <c r="P10" s="340">
        <f>+'INDICE OUTPUT'!P375</f>
        <v>344013.12874484947</v>
      </c>
      <c r="Q10" s="340">
        <f>+'INDICE OUTPUT'!Q375</f>
        <v>385273.22875019931</v>
      </c>
      <c r="R10" s="340">
        <f>+'INDICE OUTPUT'!R375</f>
        <v>377969.06872034934</v>
      </c>
      <c r="S10" s="340">
        <f>+'INDICE OUTPUT'!S375</f>
        <v>407177.20800584927</v>
      </c>
      <c r="T10" s="340">
        <f>+'INDICE OUTPUT'!T375</f>
        <v>538782.81396524957</v>
      </c>
    </row>
    <row r="11" spans="1:20" ht="15" customHeight="1">
      <c r="B11" s="345" t="s">
        <v>314</v>
      </c>
      <c r="C11" s="340">
        <f>+'INDICE OUTPUT'!C376</f>
        <v>318685.47588871967</v>
      </c>
      <c r="D11" s="340">
        <f>+'INDICE OUTPUT'!D376</f>
        <v>298045.16034345003</v>
      </c>
      <c r="E11" s="340">
        <f>+'INDICE OUTPUT'!E376</f>
        <v>351349.67793015006</v>
      </c>
      <c r="F11" s="340">
        <f>+'INDICE OUTPUT'!F376</f>
        <v>389741.74280639994</v>
      </c>
      <c r="G11" s="340">
        <f>+'INDICE OUTPUT'!G376</f>
        <v>490824.48420539987</v>
      </c>
      <c r="H11" s="340">
        <f>+'INDICE OUTPUT'!H376</f>
        <v>490824.48420539987</v>
      </c>
      <c r="I11" s="340">
        <f>+'INDICE OUTPUT'!I376</f>
        <v>408619.55906505347</v>
      </c>
      <c r="J11" s="340">
        <f>+'INDICE OUTPUT'!J376</f>
        <v>472139.14670099993</v>
      </c>
      <c r="K11" s="340">
        <f>+'INDICE OUTPUT'!K376</f>
        <v>563162.29166069999</v>
      </c>
      <c r="L11" s="340">
        <f>+'INDICE OUTPUT'!L376</f>
        <v>545175.69850305002</v>
      </c>
      <c r="M11" s="340">
        <f>+'INDICE OUTPUT'!M376</f>
        <v>611876.70906659984</v>
      </c>
      <c r="N11" s="340">
        <f>+'INDICE OUTPUT'!N376</f>
        <v>640652.45660235034</v>
      </c>
      <c r="O11" s="340">
        <f>+'INDICE OUTPUT'!O376</f>
        <v>766886.37995653227</v>
      </c>
      <c r="P11" s="340">
        <f>+'INDICE OUTPUT'!P376</f>
        <v>897097.91351760039</v>
      </c>
      <c r="Q11" s="340">
        <f>+'INDICE OUTPUT'!Q376</f>
        <v>778480.86091140006</v>
      </c>
      <c r="R11" s="340">
        <f>+'INDICE OUTPUT'!R376</f>
        <v>957069.6825019503</v>
      </c>
      <c r="S11" s="340">
        <f>+'INDICE OUTPUT'!S376</f>
        <v>1005902.0689302003</v>
      </c>
      <c r="T11" s="340">
        <f>+'INDICE OUTPUT'!T376</f>
        <v>990668.79083519988</v>
      </c>
    </row>
    <row r="12" spans="1:20" ht="15" customHeight="1">
      <c r="B12" s="345" t="s">
        <v>315</v>
      </c>
      <c r="C12" s="340">
        <f>+'INDICE OUTPUT'!C377</f>
        <v>356.39313818682922</v>
      </c>
      <c r="D12" s="340">
        <f>+'INDICE OUTPUT'!D377</f>
        <v>442.3136800499999</v>
      </c>
      <c r="E12" s="340">
        <f>+'INDICE OUTPUT'!E377</f>
        <v>345.71001824999996</v>
      </c>
      <c r="F12" s="340">
        <f>+'INDICE OUTPUT'!F377</f>
        <v>464.0034212999999</v>
      </c>
      <c r="G12" s="340">
        <f>+'INDICE OUTPUT'!G377</f>
        <v>387.29253464999988</v>
      </c>
      <c r="H12" s="340">
        <f>+'INDICE OUTPUT'!H377</f>
        <v>387.29253464999988</v>
      </c>
      <c r="I12" s="340">
        <f>+'INDICE OUTPUT'!I377</f>
        <v>342.5923593</v>
      </c>
      <c r="J12" s="340">
        <f>+'INDICE OUTPUT'!J377</f>
        <v>513.37107449999985</v>
      </c>
      <c r="K12" s="340">
        <f>+'INDICE OUTPUT'!K377</f>
        <v>563.70157199999994</v>
      </c>
      <c r="L12" s="340">
        <f>+'INDICE OUTPUT'!L377</f>
        <v>409.76233424999987</v>
      </c>
      <c r="M12" s="340">
        <f>+'INDICE OUTPUT'!M377</f>
        <v>569.05127909999987</v>
      </c>
      <c r="N12" s="340">
        <f>+'INDICE OUTPUT'!N377</f>
        <v>620.99080785000001</v>
      </c>
      <c r="O12" s="340">
        <f>+'INDICE OUTPUT'!O377</f>
        <v>620.99080784999956</v>
      </c>
      <c r="P12" s="340">
        <f>+'INDICE OUTPUT'!P377</f>
        <v>631.42762814999969</v>
      </c>
      <c r="Q12" s="340">
        <f>+'INDICE OUTPUT'!Q377</f>
        <v>547.93306574999974</v>
      </c>
      <c r="R12" s="340">
        <f>+'INDICE OUTPUT'!R377</f>
        <v>407.03599169999984</v>
      </c>
      <c r="S12" s="340">
        <f>+'INDICE OUTPUT'!S377</f>
        <v>409.04921159999981</v>
      </c>
      <c r="T12" s="340">
        <f>+'INDICE OUTPUT'!T377</f>
        <v>354.85189019999984</v>
      </c>
    </row>
    <row r="13" spans="1:20" ht="15" customHeight="1">
      <c r="B13" s="345" t="s">
        <v>316</v>
      </c>
      <c r="C13" s="340">
        <f>+'INDICE OUTPUT'!C378</f>
        <v>1458.1414377873161</v>
      </c>
      <c r="D13" s="340">
        <f>+'INDICE OUTPUT'!D378</f>
        <v>1525.4568796499998</v>
      </c>
      <c r="E13" s="340">
        <f>+'INDICE OUTPUT'!E378</f>
        <v>3201.9773363999993</v>
      </c>
      <c r="F13" s="340">
        <f>+'INDICE OUTPUT'!F378</f>
        <v>2009.9323273499995</v>
      </c>
      <c r="G13" s="340">
        <f>+'INDICE OUTPUT'!G378</f>
        <v>915.74473725000007</v>
      </c>
      <c r="H13" s="340">
        <f>+'INDICE OUTPUT'!H378</f>
        <v>915.74473725000007</v>
      </c>
      <c r="I13" s="340">
        <f>+'INDICE OUTPUT'!I378</f>
        <v>1426.6623609000007</v>
      </c>
      <c r="J13" s="340">
        <f>+'INDICE OUTPUT'!J378</f>
        <v>1453.2358337999995</v>
      </c>
      <c r="K13" s="340">
        <f>+'INDICE OUTPUT'!K378</f>
        <v>1728.6221758499996</v>
      </c>
      <c r="L13" s="340">
        <f>+'INDICE OUTPUT'!L378</f>
        <v>1712.2589716500006</v>
      </c>
      <c r="M13" s="340">
        <f>+'INDICE OUTPUT'!M378</f>
        <v>2024.7637338000004</v>
      </c>
      <c r="N13" s="340">
        <f>+'INDICE OUTPUT'!N378</f>
        <v>2480.7992323500011</v>
      </c>
      <c r="O13" s="340">
        <f>+'INDICE OUTPUT'!O378</f>
        <v>3028.1453235000008</v>
      </c>
      <c r="P13" s="340">
        <f>+'INDICE OUTPUT'!P378</f>
        <v>3516.0782575499998</v>
      </c>
      <c r="Q13" s="340">
        <f>+'INDICE OUTPUT'!Q378</f>
        <v>3327.7160488500012</v>
      </c>
      <c r="R13" s="340">
        <f>+'INDICE OUTPUT'!R378</f>
        <v>3491.9994267000002</v>
      </c>
      <c r="S13" s="340">
        <f>+'INDICE OUTPUT'!S378</f>
        <v>2688.7530055500001</v>
      </c>
      <c r="T13" s="340">
        <f>+'INDICE OUTPUT'!T378</f>
        <v>2530.0767798000006</v>
      </c>
    </row>
    <row r="14" spans="1:20" ht="15" customHeight="1">
      <c r="B14" s="345" t="s">
        <v>317</v>
      </c>
      <c r="C14" s="340">
        <f>+'INDICE OUTPUT'!C379</f>
        <v>17376.131962405969</v>
      </c>
      <c r="D14" s="340">
        <f>+'INDICE OUTPUT'!D379</f>
        <v>30459.113455049999</v>
      </c>
      <c r="E14" s="340">
        <f>+'INDICE OUTPUT'!E379</f>
        <v>13219.669453050003</v>
      </c>
      <c r="F14" s="340">
        <f>+'INDICE OUTPUT'!F379</f>
        <v>14726.927545649996</v>
      </c>
      <c r="G14" s="340">
        <f>+'INDICE OUTPUT'!G379</f>
        <v>22212.681555149997</v>
      </c>
      <c r="H14" s="340">
        <f>+'INDICE OUTPUT'!H379</f>
        <v>22212.681555149997</v>
      </c>
      <c r="I14" s="340">
        <f>+'INDICE OUTPUT'!I379</f>
        <v>43117.058513699725</v>
      </c>
      <c r="J14" s="340">
        <f>+'INDICE OUTPUT'!J379</f>
        <v>89996.425980750006</v>
      </c>
      <c r="K14" s="340">
        <f>+'INDICE OUTPUT'!K379</f>
        <v>88982.391316949972</v>
      </c>
      <c r="L14" s="340">
        <f>+'INDICE OUTPUT'!L379</f>
        <v>120687.54886979988</v>
      </c>
      <c r="M14" s="340">
        <f>+'INDICE OUTPUT'!M379</f>
        <v>78776.053802099894</v>
      </c>
      <c r="N14" s="340">
        <f>+'INDICE OUTPUT'!N379</f>
        <v>140247.44248589955</v>
      </c>
      <c r="O14" s="340">
        <f>+'INDICE OUTPUT'!O379</f>
        <v>161976.7556068488</v>
      </c>
      <c r="P14" s="340">
        <f>+'INDICE OUTPUT'!P379</f>
        <v>146662.01161604997</v>
      </c>
      <c r="Q14" s="340">
        <f>+'INDICE OUTPUT'!Q379</f>
        <v>125698.85224065004</v>
      </c>
      <c r="R14" s="340">
        <f>+'INDICE OUTPUT'!R379</f>
        <v>122828.87082735001</v>
      </c>
      <c r="S14" s="340">
        <f>+'INDICE OUTPUT'!S379</f>
        <v>155791.93554359995</v>
      </c>
      <c r="T14" s="340">
        <f>+'INDICE OUTPUT'!T379</f>
        <v>176975.90549550002</v>
      </c>
    </row>
    <row r="15" spans="1:20" ht="15" customHeight="1">
      <c r="B15" s="345" t="s">
        <v>318</v>
      </c>
      <c r="C15" s="340">
        <f>+'INDICE OUTPUT'!C380</f>
        <v>139992.18512327725</v>
      </c>
      <c r="D15" s="340">
        <f>+'INDICE OUTPUT'!D380</f>
        <v>175788.37864620052</v>
      </c>
      <c r="E15" s="340">
        <f>+'INDICE OUTPUT'!E380</f>
        <v>184690.47662100021</v>
      </c>
      <c r="F15" s="340">
        <f>+'INDICE OUTPUT'!F380</f>
        <v>208223.94113190018</v>
      </c>
      <c r="G15" s="340">
        <f>+'INDICE OUTPUT'!G380</f>
        <v>235955.98604204995</v>
      </c>
      <c r="H15" s="340">
        <f>+'INDICE OUTPUT'!H380</f>
        <v>235955.98604204995</v>
      </c>
      <c r="I15" s="340">
        <f>+'INDICE OUTPUT'!I380</f>
        <v>229406.62900769862</v>
      </c>
      <c r="J15" s="340">
        <f>+'INDICE OUTPUT'!J380</f>
        <v>280447.41468825005</v>
      </c>
      <c r="K15" s="340">
        <f>+'INDICE OUTPUT'!K380</f>
        <v>285083.1366974999</v>
      </c>
      <c r="L15" s="340">
        <f>+'INDICE OUTPUT'!L380</f>
        <v>279355.61618775001</v>
      </c>
      <c r="M15" s="340">
        <f>+'INDICE OUTPUT'!M380</f>
        <v>370932.76991520007</v>
      </c>
      <c r="N15" s="340">
        <f>+'INDICE OUTPUT'!N380</f>
        <v>420956.58091005101</v>
      </c>
      <c r="O15" s="340">
        <f>+'INDICE OUTPUT'!O380</f>
        <v>437001.40802747849</v>
      </c>
      <c r="P15" s="340">
        <f>+'INDICE OUTPUT'!P380</f>
        <v>504012.79428299982</v>
      </c>
      <c r="Q15" s="340">
        <f>+'INDICE OUTPUT'!Q380</f>
        <v>639363.30591374985</v>
      </c>
      <c r="R15" s="340">
        <f>+'INDICE OUTPUT'!R380</f>
        <v>710757.4204026002</v>
      </c>
      <c r="S15" s="340">
        <f>+'INDICE OUTPUT'!S380</f>
        <v>739604.72992500011</v>
      </c>
      <c r="T15" s="340">
        <f>+'INDICE OUTPUT'!T380</f>
        <v>818746.22433015052</v>
      </c>
    </row>
    <row r="16" spans="1:20" ht="15" customHeight="1">
      <c r="B16" s="345" t="s">
        <v>319</v>
      </c>
      <c r="C16" s="340">
        <f>+'INDICE OUTPUT'!C381</f>
        <v>701335.50026155682</v>
      </c>
      <c r="D16" s="340">
        <f>+'INDICE OUTPUT'!D381</f>
        <v>766826.71192889987</v>
      </c>
      <c r="E16" s="340">
        <f>+'INDICE OUTPUT'!E381</f>
        <v>751479.53759144992</v>
      </c>
      <c r="F16" s="340">
        <f>+'INDICE OUTPUT'!F381</f>
        <v>867165.55570260016</v>
      </c>
      <c r="G16" s="340">
        <f>+'INDICE OUTPUT'!G381</f>
        <v>995716.71060839994</v>
      </c>
      <c r="H16" s="340">
        <f>+'INDICE OUTPUT'!H381</f>
        <v>995716.71060839994</v>
      </c>
      <c r="I16" s="340">
        <f>+'INDICE OUTPUT'!I381</f>
        <v>1021129.5184704261</v>
      </c>
      <c r="J16" s="340">
        <f>+'INDICE OUTPUT'!J381</f>
        <v>1021246.2852245998</v>
      </c>
      <c r="K16" s="340">
        <f>+'INDICE OUTPUT'!K381</f>
        <v>1041813.0333634461</v>
      </c>
      <c r="L16" s="340">
        <f>+'INDICE OUTPUT'!L381</f>
        <v>1169796.653341196</v>
      </c>
      <c r="M16" s="340">
        <f>+'INDICE OUTPUT'!M381</f>
        <v>1296178.2033817521</v>
      </c>
      <c r="N16" s="340">
        <f>+'INDICE OUTPUT'!N381</f>
        <v>1269574.4395030569</v>
      </c>
      <c r="O16" s="340">
        <f>+'INDICE OUTPUT'!O381</f>
        <v>1289880.1538584949</v>
      </c>
      <c r="P16" s="340">
        <f>+'INDICE OUTPUT'!P381</f>
        <v>1482545.3188841976</v>
      </c>
      <c r="Q16" s="340">
        <f>+'INDICE OUTPUT'!Q381</f>
        <v>1454497.8188921986</v>
      </c>
      <c r="R16" s="340">
        <f>+'INDICE OUTPUT'!R381</f>
        <v>1442760.6773650488</v>
      </c>
      <c r="S16" s="340">
        <f>+'INDICE OUTPUT'!S381</f>
        <v>1586417.1190096484</v>
      </c>
      <c r="T16" s="340">
        <f>+'INDICE OUTPUT'!T381</f>
        <v>1513252.0017490489</v>
      </c>
    </row>
    <row r="17" spans="2:20" ht="15" customHeight="1">
      <c r="B17" s="345" t="s">
        <v>320</v>
      </c>
      <c r="C17" s="340">
        <f>+'INDICE OUTPUT'!C382</f>
        <v>1573.4532918149753</v>
      </c>
      <c r="D17" s="340">
        <f>+'INDICE OUTPUT'!D382</f>
        <v>1372.49335845</v>
      </c>
      <c r="E17" s="340">
        <f>+'INDICE OUTPUT'!E382</f>
        <v>1385.2034180999999</v>
      </c>
      <c r="F17" s="340">
        <f>+'INDICE OUTPUT'!F382</f>
        <v>1438.7262336000003</v>
      </c>
      <c r="G17" s="340">
        <f>+'INDICE OUTPUT'!G382</f>
        <v>1376.65881855</v>
      </c>
      <c r="H17" s="340">
        <f>+'INDICE OUTPUT'!H382</f>
        <v>1376.65881855</v>
      </c>
      <c r="I17" s="340">
        <f>+'INDICE OUTPUT'!I382</f>
        <v>1524.5815666500002</v>
      </c>
      <c r="J17" s="340">
        <f>+'INDICE OUTPUT'!J382</f>
        <v>1938.818295</v>
      </c>
      <c r="K17" s="340">
        <f>+'INDICE OUTPUT'!K382</f>
        <v>2288.9434949999995</v>
      </c>
      <c r="L17" s="340">
        <f>+'INDICE OUTPUT'!L382</f>
        <v>2428.6537476000003</v>
      </c>
      <c r="M17" s="340">
        <f>+'INDICE OUTPUT'!M382</f>
        <v>2761.772130899999</v>
      </c>
      <c r="N17" s="340">
        <f>+'INDICE OUTPUT'!N382</f>
        <v>2432.7728675999997</v>
      </c>
      <c r="O17" s="340">
        <f>+'INDICE OUTPUT'!O382</f>
        <v>2772.0390374999806</v>
      </c>
      <c r="P17" s="340">
        <f>+'INDICE OUTPUT'!P382</f>
        <v>2251.2226536000016</v>
      </c>
      <c r="Q17" s="340">
        <f>+'INDICE OUTPUT'!Q382</f>
        <v>2478.5465886000002</v>
      </c>
      <c r="R17" s="340">
        <f>+'INDICE OUTPUT'!R382</f>
        <v>2113.0261776000016</v>
      </c>
      <c r="S17" s="340">
        <f>+'INDICE OUTPUT'!S382</f>
        <v>1892.6609809500014</v>
      </c>
      <c r="T17" s="340">
        <f>+'INDICE OUTPUT'!T382</f>
        <v>2069.9453313000013</v>
      </c>
    </row>
    <row r="18" spans="2:20" ht="15" customHeight="1">
      <c r="B18" s="345" t="s">
        <v>321</v>
      </c>
      <c r="C18" s="340">
        <f>+'INDICE OUTPUT'!C383</f>
        <v>3576.9366545334669</v>
      </c>
      <c r="D18" s="340">
        <f>+'INDICE OUTPUT'!D383</f>
        <v>4406.6680438500007</v>
      </c>
      <c r="E18" s="340">
        <f>+'INDICE OUTPUT'!E383</f>
        <v>5456.7192631499984</v>
      </c>
      <c r="F18" s="340">
        <f>+'INDICE OUTPUT'!F383</f>
        <v>3953.3563133999996</v>
      </c>
      <c r="G18" s="340">
        <f>+'INDICE OUTPUT'!G383</f>
        <v>2301.9650630999995</v>
      </c>
      <c r="H18" s="340">
        <f>+'INDICE OUTPUT'!H383</f>
        <v>2301.9650630999995</v>
      </c>
      <c r="I18" s="340">
        <f>+'INDICE OUTPUT'!I383</f>
        <v>2081.4608461500002</v>
      </c>
      <c r="J18" s="340">
        <f>+'INDICE OUTPUT'!J383</f>
        <v>2520.3427843500003</v>
      </c>
      <c r="K18" s="340">
        <f>+'INDICE OUTPUT'!K383</f>
        <v>3156.03627615</v>
      </c>
      <c r="L18" s="340">
        <f>+'INDICE OUTPUT'!L383</f>
        <v>2787.9826063500004</v>
      </c>
      <c r="M18" s="340">
        <f>+'INDICE OUTPUT'!M383</f>
        <v>3796.9687737000004</v>
      </c>
      <c r="N18" s="340">
        <f>+'INDICE OUTPUT'!N383</f>
        <v>4059.1610595000002</v>
      </c>
      <c r="O18" s="340">
        <f>+'INDICE OUTPUT'!O383</f>
        <v>4984.0193497500059</v>
      </c>
      <c r="P18" s="340">
        <f>+'INDICE OUTPUT'!P383</f>
        <v>5532.5059222500022</v>
      </c>
      <c r="Q18" s="340">
        <f>+'INDICE OUTPUT'!Q383</f>
        <v>5639.4331285499993</v>
      </c>
      <c r="R18" s="340">
        <f>+'INDICE OUTPUT'!R383</f>
        <v>5600.237127299999</v>
      </c>
      <c r="S18" s="340">
        <f>+'INDICE OUTPUT'!S383</f>
        <v>5087.5663031999975</v>
      </c>
      <c r="T18" s="340">
        <f>+'INDICE OUTPUT'!T383</f>
        <v>4343.9055272999994</v>
      </c>
    </row>
    <row r="19" spans="2:20" ht="15" customHeight="1">
      <c r="B19" s="345" t="s">
        <v>322</v>
      </c>
      <c r="C19" s="340">
        <f>+'INDICE OUTPUT'!C384</f>
        <v>24379.614948680857</v>
      </c>
      <c r="D19" s="340">
        <f>+'INDICE OUTPUT'!D384</f>
        <v>20238.315254550005</v>
      </c>
      <c r="E19" s="340">
        <f>+'INDICE OUTPUT'!E384</f>
        <v>13903.502585399998</v>
      </c>
      <c r="F19" s="340">
        <f>+'INDICE OUTPUT'!F384</f>
        <v>11671.220160449993</v>
      </c>
      <c r="G19" s="340">
        <f>+'INDICE OUTPUT'!G384</f>
        <v>19353.837212550003</v>
      </c>
      <c r="H19" s="340">
        <f>+'INDICE OUTPUT'!H384</f>
        <v>19353.837212550003</v>
      </c>
      <c r="I19" s="340">
        <f>+'INDICE OUTPUT'!I384</f>
        <v>30548.822739749841</v>
      </c>
      <c r="J19" s="340">
        <f>+'INDICE OUTPUT'!J384</f>
        <v>59710.593606300012</v>
      </c>
      <c r="K19" s="340">
        <f>+'INDICE OUTPUT'!K384</f>
        <v>72259.44892065</v>
      </c>
      <c r="L19" s="340">
        <f>+'INDICE OUTPUT'!L384</f>
        <v>118316.8897573498</v>
      </c>
      <c r="M19" s="340">
        <f>+'INDICE OUTPUT'!M384</f>
        <v>81415.835619749909</v>
      </c>
      <c r="N19" s="340">
        <f>+'INDICE OUTPUT'!N384</f>
        <v>141186.94424775016</v>
      </c>
      <c r="O19" s="340">
        <f>+'INDICE OUTPUT'!O384</f>
        <v>189277.05237975728</v>
      </c>
      <c r="P19" s="340">
        <f>+'INDICE OUTPUT'!P384</f>
        <v>134464.96519200009</v>
      </c>
      <c r="Q19" s="340">
        <f>+'INDICE OUTPUT'!Q384</f>
        <v>116028.3813444</v>
      </c>
      <c r="R19" s="340">
        <f>+'INDICE OUTPUT'!R384</f>
        <v>129016.62318915006</v>
      </c>
      <c r="S19" s="340">
        <f>+'INDICE OUTPUT'!S384</f>
        <v>163074.17155725003</v>
      </c>
      <c r="T19" s="340">
        <f>+'INDICE OUTPUT'!T384</f>
        <v>166408.82059994992</v>
      </c>
    </row>
    <row r="20" spans="2:20" ht="15" customHeight="1">
      <c r="B20" s="345" t="s">
        <v>323</v>
      </c>
      <c r="C20" s="340">
        <f>+'INDICE OUTPUT'!C385</f>
        <v>202689.42607590149</v>
      </c>
      <c r="D20" s="340">
        <f>+'INDICE OUTPUT'!D385</f>
        <v>197210.37452174979</v>
      </c>
      <c r="E20" s="340">
        <f>+'INDICE OUTPUT'!E385</f>
        <v>178408.66415399994</v>
      </c>
      <c r="F20" s="340">
        <f>+'INDICE OUTPUT'!F385</f>
        <v>200372.31401175028</v>
      </c>
      <c r="G20" s="340">
        <f>+'INDICE OUTPUT'!G385</f>
        <v>224090.26875855017</v>
      </c>
      <c r="H20" s="340">
        <f>+'INDICE OUTPUT'!H385</f>
        <v>224090.26875855017</v>
      </c>
      <c r="I20" s="340">
        <f>+'INDICE OUTPUT'!I385</f>
        <v>191203.32280545239</v>
      </c>
      <c r="J20" s="340">
        <f>+'INDICE OUTPUT'!J385</f>
        <v>220340.71363049967</v>
      </c>
      <c r="K20" s="340">
        <f>+'INDICE OUTPUT'!K385</f>
        <v>257788.24369514978</v>
      </c>
      <c r="L20" s="340">
        <f>+'INDICE OUTPUT'!L385</f>
        <v>289988.81295929861</v>
      </c>
      <c r="M20" s="340">
        <f>+'INDICE OUTPUT'!M385</f>
        <v>344210.63282550173</v>
      </c>
      <c r="N20" s="340">
        <f>+'INDICE OUTPUT'!N385</f>
        <v>411517.81823715265</v>
      </c>
      <c r="O20" s="340">
        <f>+'INDICE OUTPUT'!O385</f>
        <v>424709.50084423437</v>
      </c>
      <c r="P20" s="340">
        <f>+'INDICE OUTPUT'!P385</f>
        <v>373342.3959028495</v>
      </c>
      <c r="Q20" s="340">
        <f>+'INDICE OUTPUT'!Q385</f>
        <v>483434.68252184917</v>
      </c>
      <c r="R20" s="340">
        <f>+'INDICE OUTPUT'!R385</f>
        <v>531854.71671914915</v>
      </c>
      <c r="S20" s="340">
        <f>+'INDICE OUTPUT'!S385</f>
        <v>577093.41037124884</v>
      </c>
      <c r="T20" s="340">
        <f>+'INDICE OUTPUT'!T385</f>
        <v>631255.04989424907</v>
      </c>
    </row>
    <row r="21" spans="2:20" ht="15" customHeight="1">
      <c r="B21" s="345" t="s">
        <v>324</v>
      </c>
      <c r="C21" s="340">
        <f>+'INDICE OUTPUT'!C386</f>
        <v>357654.30661981879</v>
      </c>
      <c r="D21" s="340">
        <f>+'INDICE OUTPUT'!D386</f>
        <v>368916.24957029987</v>
      </c>
      <c r="E21" s="340">
        <f>+'INDICE OUTPUT'!E386</f>
        <v>424119.33135179989</v>
      </c>
      <c r="F21" s="340">
        <f>+'INDICE OUTPUT'!F386</f>
        <v>477806.53578209993</v>
      </c>
      <c r="G21" s="340">
        <f>+'INDICE OUTPUT'!G386</f>
        <v>518694.23902049987</v>
      </c>
      <c r="H21" s="340">
        <f>+'INDICE OUTPUT'!H386</f>
        <v>518694.23902049987</v>
      </c>
      <c r="I21" s="340">
        <f>+'INDICE OUTPUT'!I386</f>
        <v>492214.24440000695</v>
      </c>
      <c r="J21" s="340">
        <f>+'INDICE OUTPUT'!J386</f>
        <v>539257.41897165007</v>
      </c>
      <c r="K21" s="340">
        <f>+'INDICE OUTPUT'!K386</f>
        <v>554169.54215249978</v>
      </c>
      <c r="L21" s="340">
        <f>+'INDICE OUTPUT'!L386</f>
        <v>557867.93523570034</v>
      </c>
      <c r="M21" s="340">
        <f>+'INDICE OUTPUT'!M386</f>
        <v>649495.54560870025</v>
      </c>
      <c r="N21" s="340">
        <f>+'INDICE OUTPUT'!N386</f>
        <v>645081.39106425084</v>
      </c>
      <c r="O21" s="340">
        <f>+'INDICE OUTPUT'!O386</f>
        <v>801949.42096332088</v>
      </c>
      <c r="P21" s="340">
        <f>+'INDICE OUTPUT'!P386</f>
        <v>925853.31517500011</v>
      </c>
      <c r="Q21" s="340">
        <f>+'INDICE OUTPUT'!Q386</f>
        <v>817152.64492905</v>
      </c>
      <c r="R21" s="340">
        <f>+'INDICE OUTPUT'!R386</f>
        <v>867777.50761650037</v>
      </c>
      <c r="S21" s="340">
        <f>+'INDICE OUTPUT'!S386</f>
        <v>992068.43691779999</v>
      </c>
      <c r="T21" s="340">
        <f>+'INDICE OUTPUT'!T386</f>
        <v>1015080.5289636003</v>
      </c>
    </row>
    <row r="22" spans="2:20" ht="15" customHeight="1">
      <c r="B22" s="345" t="s">
        <v>325</v>
      </c>
      <c r="C22" s="340">
        <f>+'INDICE OUTPUT'!C387</f>
        <v>160.68958403478121</v>
      </c>
      <c r="D22" s="340">
        <f>+'INDICE OUTPUT'!D387</f>
        <v>103.97173770000001</v>
      </c>
      <c r="E22" s="340">
        <f>+'INDICE OUTPUT'!E387</f>
        <v>122.25805604999999</v>
      </c>
      <c r="F22" s="340">
        <f>+'INDICE OUTPUT'!F387</f>
        <v>157.67991360000002</v>
      </c>
      <c r="G22" s="340">
        <f>+'INDICE OUTPUT'!G387</f>
        <v>167.75631089999996</v>
      </c>
      <c r="H22" s="340">
        <f>+'INDICE OUTPUT'!H387</f>
        <v>167.75631089999996</v>
      </c>
      <c r="I22" s="340">
        <f>+'INDICE OUTPUT'!I387</f>
        <v>115.84252664999997</v>
      </c>
      <c r="J22" s="340">
        <f>+'INDICE OUTPUT'!J387</f>
        <v>206.35503975000006</v>
      </c>
      <c r="K22" s="340">
        <f>+'INDICE OUTPUT'!K387</f>
        <v>236.55333825000002</v>
      </c>
      <c r="L22" s="340">
        <f>+'INDICE OUTPUT'!L387</f>
        <v>136.58744474999997</v>
      </c>
      <c r="M22" s="340">
        <f>+'INDICE OUTPUT'!M387</f>
        <v>268.95021704999999</v>
      </c>
      <c r="N22" s="340">
        <f>+'INDICE OUTPUT'!N387</f>
        <v>333.97824960000003</v>
      </c>
      <c r="O22" s="340">
        <f>+'INDICE OUTPUT'!O387</f>
        <v>333.9782495999998</v>
      </c>
      <c r="P22" s="340">
        <f>+'INDICE OUTPUT'!P387</f>
        <v>287.01255824999976</v>
      </c>
      <c r="Q22" s="340">
        <f>+'INDICE OUTPUT'!Q387</f>
        <v>511.40419469999983</v>
      </c>
      <c r="R22" s="340">
        <f>+'INDICE OUTPUT'!R387</f>
        <v>151.33389434999992</v>
      </c>
      <c r="S22" s="340">
        <f>+'INDICE OUTPUT'!S387</f>
        <v>161.77071464999995</v>
      </c>
      <c r="T22" s="340">
        <f>+'INDICE OUTPUT'!T387</f>
        <v>158.07380444999995</v>
      </c>
    </row>
    <row r="23" spans="2:20" ht="15" customHeight="1">
      <c r="B23" s="345" t="s">
        <v>326</v>
      </c>
      <c r="C23" s="340">
        <f>+'INDICE OUTPUT'!C388</f>
        <v>461.59336339974743</v>
      </c>
      <c r="D23" s="340">
        <f>+'INDICE OUTPUT'!D388</f>
        <v>824.44959134999999</v>
      </c>
      <c r="E23" s="340">
        <f>+'INDICE OUTPUT'!E388</f>
        <v>814.54053329999988</v>
      </c>
      <c r="F23" s="340">
        <f>+'INDICE OUTPUT'!F388</f>
        <v>674.41579425000009</v>
      </c>
      <c r="G23" s="340">
        <f>+'INDICE OUTPUT'!G388</f>
        <v>575.31234149999977</v>
      </c>
      <c r="H23" s="340">
        <f>+'INDICE OUTPUT'!H388</f>
        <v>575.31234149999977</v>
      </c>
      <c r="I23" s="340">
        <f>+'INDICE OUTPUT'!I388</f>
        <v>967.46028885000032</v>
      </c>
      <c r="J23" s="340">
        <f>+'INDICE OUTPUT'!J388</f>
        <v>1016.8099208999997</v>
      </c>
      <c r="K23" s="340">
        <f>+'INDICE OUTPUT'!K388</f>
        <v>876.79073429999971</v>
      </c>
      <c r="L23" s="340">
        <f>+'INDICE OUTPUT'!L388</f>
        <v>890.13410865000014</v>
      </c>
      <c r="M23" s="340">
        <f>+'INDICE OUTPUT'!M388</f>
        <v>1237.3913713500001</v>
      </c>
      <c r="N23" s="340">
        <f>+'INDICE OUTPUT'!N388</f>
        <v>1391.6215219500004</v>
      </c>
      <c r="O23" s="340">
        <f>+'INDICE OUTPUT'!O388</f>
        <v>1711.1854260000009</v>
      </c>
      <c r="P23" s="340">
        <f>+'INDICE OUTPUT'!P388</f>
        <v>1745.7654383999998</v>
      </c>
      <c r="Q23" s="340">
        <f>+'INDICE OUTPUT'!Q388</f>
        <v>1501.7796630000003</v>
      </c>
      <c r="R23" s="340">
        <f>+'INDICE OUTPUT'!R388</f>
        <v>1589.1951127499988</v>
      </c>
      <c r="S23" s="340">
        <f>+'INDICE OUTPUT'!S388</f>
        <v>1655.7472197000006</v>
      </c>
      <c r="T23" s="340">
        <f>+'INDICE OUTPUT'!T388</f>
        <v>1331.49781665</v>
      </c>
    </row>
    <row r="24" spans="2:20" ht="15" customHeight="1">
      <c r="B24" s="345" t="s">
        <v>327</v>
      </c>
      <c r="C24" s="340">
        <f>+'INDICE OUTPUT'!C389</f>
        <v>5477.0814575355198</v>
      </c>
      <c r="D24" s="340">
        <f>+'INDICE OUTPUT'!D389</f>
        <v>21524.399773200006</v>
      </c>
      <c r="E24" s="340">
        <f>+'INDICE OUTPUT'!E389</f>
        <v>8931.8097022500006</v>
      </c>
      <c r="F24" s="340">
        <f>+'INDICE OUTPUT'!F389</f>
        <v>10143.860762250002</v>
      </c>
      <c r="G24" s="340">
        <f>+'INDICE OUTPUT'!G389</f>
        <v>2251.4028650999999</v>
      </c>
      <c r="H24" s="340">
        <f>+'INDICE OUTPUT'!H389</f>
        <v>2251.4028650999999</v>
      </c>
      <c r="I24" s="340">
        <f>+'INDICE OUTPUT'!I389</f>
        <v>24450.645791250005</v>
      </c>
      <c r="J24" s="340">
        <f>+'INDICE OUTPUT'!J389</f>
        <v>62615.458817099978</v>
      </c>
      <c r="K24" s="340">
        <f>+'INDICE OUTPUT'!K389</f>
        <v>70747.237586250005</v>
      </c>
      <c r="L24" s="340">
        <f>+'INDICE OUTPUT'!L389</f>
        <v>95059.051012349955</v>
      </c>
      <c r="M24" s="340">
        <f>+'INDICE OUTPUT'!M389</f>
        <v>86280.524063099903</v>
      </c>
      <c r="N24" s="340">
        <f>+'INDICE OUTPUT'!N389</f>
        <v>151338.40221194952</v>
      </c>
      <c r="O24" s="340">
        <f>+'INDICE OUTPUT'!O389</f>
        <v>127852.07845500216</v>
      </c>
      <c r="P24" s="340">
        <f>+'INDICE OUTPUT'!P389</f>
        <v>163462.37802165002</v>
      </c>
      <c r="Q24" s="340">
        <f>+'INDICE OUTPUT'!Q389</f>
        <v>147965.67705375003</v>
      </c>
      <c r="R24" s="340">
        <f>+'INDICE OUTPUT'!R389</f>
        <v>139753.06055459991</v>
      </c>
      <c r="S24" s="340">
        <f>+'INDICE OUTPUT'!S389</f>
        <v>173481.50410695007</v>
      </c>
      <c r="T24" s="340">
        <f>+'INDICE OUTPUT'!T389</f>
        <v>177777.86469164991</v>
      </c>
    </row>
    <row r="25" spans="2:20" ht="15" customHeight="1">
      <c r="B25" s="345" t="s">
        <v>328</v>
      </c>
      <c r="C25" s="340">
        <f>+'INDICE OUTPUT'!C390</f>
        <v>148953.56265578227</v>
      </c>
      <c r="D25" s="340">
        <f>+'INDICE OUTPUT'!D390</f>
        <v>124682.91248384997</v>
      </c>
      <c r="E25" s="340">
        <f>+'INDICE OUTPUT'!E390</f>
        <v>121657.13307989994</v>
      </c>
      <c r="F25" s="340">
        <f>+'INDICE OUTPUT'!F390</f>
        <v>144873.78577379999</v>
      </c>
      <c r="G25" s="340">
        <f>+'INDICE OUTPUT'!G390</f>
        <v>131291.74446210027</v>
      </c>
      <c r="H25" s="340">
        <f>+'INDICE OUTPUT'!H390</f>
        <v>131291.74446210027</v>
      </c>
      <c r="I25" s="340">
        <f>+'INDICE OUTPUT'!I390</f>
        <v>150007.72821930022</v>
      </c>
      <c r="J25" s="340">
        <f>+'INDICE OUTPUT'!J390</f>
        <v>259211.71116359998</v>
      </c>
      <c r="K25" s="340">
        <f>+'INDICE OUTPUT'!K390</f>
        <v>310943.93490180012</v>
      </c>
      <c r="L25" s="340">
        <f>+'INDICE OUTPUT'!L390</f>
        <v>284450.29054740013</v>
      </c>
      <c r="M25" s="340">
        <f>+'INDICE OUTPUT'!M390</f>
        <v>366727.53971159924</v>
      </c>
      <c r="N25" s="340">
        <f>+'INDICE OUTPUT'!N390</f>
        <v>402445.14750314993</v>
      </c>
      <c r="O25" s="340">
        <f>+'INDICE OUTPUT'!O390</f>
        <v>438704.55859502708</v>
      </c>
      <c r="P25" s="340">
        <f>+'INDICE OUTPUT'!P390</f>
        <v>469914.33532994962</v>
      </c>
      <c r="Q25" s="340">
        <f>+'INDICE OUTPUT'!Q390</f>
        <v>526032.01364400005</v>
      </c>
      <c r="R25" s="340">
        <f>+'INDICE OUTPUT'!R390</f>
        <v>534158.7027255001</v>
      </c>
      <c r="S25" s="340">
        <f>+'INDICE OUTPUT'!S390</f>
        <v>544270.14343889989</v>
      </c>
      <c r="T25" s="340">
        <f>+'INDICE OUTPUT'!T390</f>
        <v>711890.86063185008</v>
      </c>
    </row>
    <row r="26" spans="2:20" ht="15" customHeight="1">
      <c r="B26" s="345" t="s">
        <v>329</v>
      </c>
      <c r="C26" s="340">
        <f>+'INDICE OUTPUT'!C391</f>
        <v>658690.66881745821</v>
      </c>
      <c r="D26" s="340">
        <f>+'INDICE OUTPUT'!D391</f>
        <v>680251.90506074997</v>
      </c>
      <c r="E26" s="340">
        <f>+'INDICE OUTPUT'!E391</f>
        <v>699448.02374295006</v>
      </c>
      <c r="F26" s="340">
        <f>+'INDICE OUTPUT'!F391</f>
        <v>676346.2172635498</v>
      </c>
      <c r="G26" s="340">
        <f>+'INDICE OUTPUT'!G391</f>
        <v>910485.91853279993</v>
      </c>
      <c r="H26" s="340">
        <f>+'INDICE OUTPUT'!H391</f>
        <v>910485.91853279993</v>
      </c>
      <c r="I26" s="340">
        <f>+'INDICE OUTPUT'!I391</f>
        <v>1110638.989808118</v>
      </c>
      <c r="J26" s="340">
        <f>+'INDICE OUTPUT'!J391</f>
        <v>1001454.2199841477</v>
      </c>
      <c r="K26" s="340">
        <f>+'INDICE OUTPUT'!K391</f>
        <v>1016784.5265251966</v>
      </c>
      <c r="L26" s="340">
        <f>+'INDICE OUTPUT'!L391</f>
        <v>1149533.502367496</v>
      </c>
      <c r="M26" s="340">
        <f>+'INDICE OUTPUT'!M391</f>
        <v>1242247.0389205525</v>
      </c>
      <c r="N26" s="340">
        <f>+'INDICE OUTPUT'!N391</f>
        <v>1259599.6377234063</v>
      </c>
      <c r="O26" s="340">
        <f>+'INDICE OUTPUT'!O391</f>
        <v>1250058.5818541185</v>
      </c>
      <c r="P26" s="340">
        <f>+'INDICE OUTPUT'!P391</f>
        <v>1450901.1732219006</v>
      </c>
      <c r="Q26" s="340">
        <f>+'INDICE OUTPUT'!Q391</f>
        <v>1412564.7293378981</v>
      </c>
      <c r="R26" s="340">
        <f>+'INDICE OUTPUT'!R391</f>
        <v>1545963.3238720503</v>
      </c>
      <c r="S26" s="340">
        <f>+'INDICE OUTPUT'!S391</f>
        <v>1602263.7031792486</v>
      </c>
      <c r="T26" s="340">
        <f>+'INDICE OUTPUT'!T391</f>
        <v>1485182.6704210481</v>
      </c>
    </row>
    <row r="27" spans="2:20" ht="15" customHeight="1">
      <c r="B27" s="345" t="s">
        <v>330</v>
      </c>
      <c r="C27" s="340">
        <f>+'INDICE OUTPUT'!C392</f>
        <v>3149.8057932878164</v>
      </c>
      <c r="D27" s="340">
        <f>+'INDICE OUTPUT'!D392</f>
        <v>3782.7011717999994</v>
      </c>
      <c r="E27" s="340">
        <f>+'INDICE OUTPUT'!E392</f>
        <v>3519.2062143000003</v>
      </c>
      <c r="F27" s="340">
        <f>+'INDICE OUTPUT'!F392</f>
        <v>6809.0212102500518</v>
      </c>
      <c r="G27" s="340">
        <f>+'INDICE OUTPUT'!G392</f>
        <v>6328.3147573500501</v>
      </c>
      <c r="H27" s="340">
        <f>+'INDICE OUTPUT'!H392</f>
        <v>6328.3147573500501</v>
      </c>
      <c r="I27" s="340">
        <f>+'INDICE OUTPUT'!I392</f>
        <v>8228.5652168995366</v>
      </c>
      <c r="J27" s="340">
        <f>+'INDICE OUTPUT'!J392</f>
        <v>7707.1953262500538</v>
      </c>
      <c r="K27" s="340">
        <f>+'INDICE OUTPUT'!K392</f>
        <v>9033.6163275000399</v>
      </c>
      <c r="L27" s="340">
        <f>+'INDICE OUTPUT'!L392</f>
        <v>10136.443771800048</v>
      </c>
      <c r="M27" s="340">
        <f>+'INDICE OUTPUT'!M392</f>
        <v>10359.627991200075</v>
      </c>
      <c r="N27" s="340">
        <f>+'INDICE OUTPUT'!N392</f>
        <v>7801.5103020000097</v>
      </c>
      <c r="O27" s="340">
        <f>+'INDICE OUTPUT'!O392</f>
        <v>5504.7662234996769</v>
      </c>
      <c r="P27" s="340">
        <f>+'INDICE OUTPUT'!P392</f>
        <v>4674.4752050999978</v>
      </c>
      <c r="Q27" s="340">
        <f>+'INDICE OUTPUT'!Q392</f>
        <v>3668.2050824999988</v>
      </c>
      <c r="R27" s="340">
        <f>+'INDICE OUTPUT'!R392</f>
        <v>3311.9012025000011</v>
      </c>
      <c r="S27" s="340">
        <f>+'INDICE OUTPUT'!S392</f>
        <v>3318.9551955000006</v>
      </c>
      <c r="T27" s="340">
        <f>+'INDICE OUTPUT'!T392</f>
        <v>3644.1082305000018</v>
      </c>
    </row>
    <row r="28" spans="2:20" ht="15" customHeight="1">
      <c r="B28" s="345" t="s">
        <v>331</v>
      </c>
      <c r="C28" s="340">
        <f>+'INDICE OUTPUT'!C393</f>
        <v>8912.0303831771162</v>
      </c>
      <c r="D28" s="340">
        <f>+'INDICE OUTPUT'!D393</f>
        <v>9089.2115752500031</v>
      </c>
      <c r="E28" s="340">
        <f>+'INDICE OUTPUT'!E393</f>
        <v>12080.436711299997</v>
      </c>
      <c r="F28" s="340">
        <f>+'INDICE OUTPUT'!F393</f>
        <v>10074.968480249976</v>
      </c>
      <c r="G28" s="340">
        <f>+'INDICE OUTPUT'!G393</f>
        <v>9252.4008118500024</v>
      </c>
      <c r="H28" s="340">
        <f>+'INDICE OUTPUT'!H393</f>
        <v>9252.4008118500024</v>
      </c>
      <c r="I28" s="340">
        <f>+'INDICE OUTPUT'!I393</f>
        <v>11570.111211150019</v>
      </c>
      <c r="J28" s="340">
        <f>+'INDICE OUTPUT'!J393</f>
        <v>19006.973840700048</v>
      </c>
      <c r="K28" s="340">
        <f>+'INDICE OUTPUT'!K393</f>
        <v>14122.930682250015</v>
      </c>
      <c r="L28" s="340">
        <f>+'INDICE OUTPUT'!L393</f>
        <v>10900.0822797</v>
      </c>
      <c r="M28" s="340">
        <f>+'INDICE OUTPUT'!M393</f>
        <v>13302.695465549987</v>
      </c>
      <c r="N28" s="340">
        <f>+'INDICE OUTPUT'!N393</f>
        <v>15583.882142699971</v>
      </c>
      <c r="O28" s="340">
        <f>+'INDICE OUTPUT'!O393</f>
        <v>32384.565205648571</v>
      </c>
      <c r="P28" s="340">
        <f>+'INDICE OUTPUT'!P393</f>
        <v>27658.948551299967</v>
      </c>
      <c r="Q28" s="340">
        <f>+'INDICE OUTPUT'!Q393</f>
        <v>27087.82226549997</v>
      </c>
      <c r="R28" s="340">
        <f>+'INDICE OUTPUT'!R393</f>
        <v>29950.633835549932</v>
      </c>
      <c r="S28" s="340">
        <f>+'INDICE OUTPUT'!S393</f>
        <v>32041.669061249995</v>
      </c>
      <c r="T28" s="340">
        <f>+'INDICE OUTPUT'!T393</f>
        <v>31501.940767649983</v>
      </c>
    </row>
    <row r="29" spans="2:20" ht="15" customHeight="1">
      <c r="B29" s="345" t="s">
        <v>332</v>
      </c>
      <c r="C29" s="340">
        <f>+'INDICE OUTPUT'!C394</f>
        <v>49109.114773323177</v>
      </c>
      <c r="D29" s="340">
        <f>+'INDICE OUTPUT'!D394</f>
        <v>30995.229795299994</v>
      </c>
      <c r="E29" s="340">
        <f>+'INDICE OUTPUT'!E394</f>
        <v>32485.470773399997</v>
      </c>
      <c r="F29" s="340">
        <f>+'INDICE OUTPUT'!F394</f>
        <v>25866.799247250005</v>
      </c>
      <c r="G29" s="340">
        <f>+'INDICE OUTPUT'!G394</f>
        <v>55464.447668849985</v>
      </c>
      <c r="H29" s="340">
        <f>+'INDICE OUTPUT'!H394</f>
        <v>55464.447668849985</v>
      </c>
      <c r="I29" s="340">
        <f>+'INDICE OUTPUT'!I394</f>
        <v>107299.08560249943</v>
      </c>
      <c r="J29" s="340">
        <f>+'INDICE OUTPUT'!J394</f>
        <v>169195.28942970064</v>
      </c>
      <c r="K29" s="340">
        <f>+'INDICE OUTPUT'!K394</f>
        <v>206916.97782375175</v>
      </c>
      <c r="L29" s="340">
        <f>+'INDICE OUTPUT'!L394</f>
        <v>233331.12831105082</v>
      </c>
      <c r="M29" s="340">
        <f>+'INDICE OUTPUT'!M394</f>
        <v>294795.69212789822</v>
      </c>
      <c r="N29" s="340">
        <f>+'INDICE OUTPUT'!N394</f>
        <v>348811.47618614964</v>
      </c>
      <c r="O29" s="340">
        <f>+'INDICE OUTPUT'!O394</f>
        <v>381709.70595359756</v>
      </c>
      <c r="P29" s="340">
        <f>+'INDICE OUTPUT'!P394</f>
        <v>327723.88849335001</v>
      </c>
      <c r="Q29" s="340">
        <f>+'INDICE OUTPUT'!Q394</f>
        <v>285744.44854125008</v>
      </c>
      <c r="R29" s="340">
        <f>+'INDICE OUTPUT'!R394</f>
        <v>312877.89263519982</v>
      </c>
      <c r="S29" s="340">
        <f>+'INDICE OUTPUT'!S394</f>
        <v>274638.37936815026</v>
      </c>
      <c r="T29" s="340">
        <f>+'INDICE OUTPUT'!T394</f>
        <v>251237.30852294981</v>
      </c>
    </row>
    <row r="30" spans="2:20" ht="15" customHeight="1">
      <c r="B30" s="345" t="s">
        <v>333</v>
      </c>
      <c r="C30" s="340">
        <f>+'INDICE OUTPUT'!C395</f>
        <v>28633.332219272561</v>
      </c>
      <c r="D30" s="340">
        <f>+'INDICE OUTPUT'!D395</f>
        <v>47947.993343099981</v>
      </c>
      <c r="E30" s="340">
        <f>+'INDICE OUTPUT'!E395</f>
        <v>48172.943635200005</v>
      </c>
      <c r="F30" s="340">
        <f>+'INDICE OUTPUT'!F395</f>
        <v>55087.985845349729</v>
      </c>
      <c r="G30" s="340">
        <f>+'INDICE OUTPUT'!G395</f>
        <v>83372.474257650494</v>
      </c>
      <c r="H30" s="340">
        <f>+'INDICE OUTPUT'!H395</f>
        <v>83372.474257650494</v>
      </c>
      <c r="I30" s="340">
        <f>+'INDICE OUTPUT'!I395</f>
        <v>51869.920770900295</v>
      </c>
      <c r="J30" s="340">
        <f>+'INDICE OUTPUT'!J395</f>
        <v>12316.341288149997</v>
      </c>
      <c r="K30" s="340">
        <f>+'INDICE OUTPUT'!K395</f>
        <v>17653.073160150001</v>
      </c>
      <c r="L30" s="340">
        <f>+'INDICE OUTPUT'!L395</f>
        <v>16328.940844950004</v>
      </c>
      <c r="M30" s="340">
        <f>+'INDICE OUTPUT'!M395</f>
        <v>24447.046710150011</v>
      </c>
      <c r="N30" s="340">
        <f>+'INDICE OUTPUT'!N395</f>
        <v>24802.246151100015</v>
      </c>
      <c r="O30" s="340">
        <f>+'INDICE OUTPUT'!O395</f>
        <v>44822.618766450119</v>
      </c>
      <c r="P30" s="340">
        <f>+'INDICE OUTPUT'!P395</f>
        <v>134817.90941475012</v>
      </c>
      <c r="Q30" s="340">
        <f>+'INDICE OUTPUT'!Q395</f>
        <v>184101.62524695019</v>
      </c>
      <c r="R30" s="340">
        <f>+'INDICE OUTPUT'!R395</f>
        <v>219402.15926625021</v>
      </c>
      <c r="S30" s="340">
        <f>+'INDICE OUTPUT'!S395</f>
        <v>307525.46176710108</v>
      </c>
      <c r="T30" s="340">
        <f>+'INDICE OUTPUT'!T395</f>
        <v>357509.754954451</v>
      </c>
    </row>
    <row r="31" spans="2:20" ht="15" customHeight="1">
      <c r="B31" s="345" t="s">
        <v>334</v>
      </c>
      <c r="C31" s="340">
        <f>+'INDICE OUTPUT'!C396</f>
        <v>3913.7005394911939</v>
      </c>
      <c r="D31" s="340">
        <f>+'INDICE OUTPUT'!D396</f>
        <v>1948.3720789500003</v>
      </c>
      <c r="E31" s="340">
        <f>+'INDICE OUTPUT'!E396</f>
        <v>790.82469990000027</v>
      </c>
      <c r="F31" s="340">
        <f>+'INDICE OUTPUT'!F396</f>
        <v>5204.4180142500009</v>
      </c>
      <c r="G31" s="340">
        <f>+'INDICE OUTPUT'!G396</f>
        <v>835.60725765000007</v>
      </c>
      <c r="H31" s="340">
        <f>+'INDICE OUTPUT'!H396</f>
        <v>835.60725765000007</v>
      </c>
      <c r="I31" s="340">
        <f>+'INDICE OUTPUT'!I396</f>
        <v>873.32295015</v>
      </c>
      <c r="J31" s="340">
        <f>+'INDICE OUTPUT'!J396</f>
        <v>498.17924504999996</v>
      </c>
      <c r="K31" s="340">
        <f>+'INDICE OUTPUT'!K396</f>
        <v>989.07537104999983</v>
      </c>
      <c r="L31" s="340">
        <f>+'INDICE OUTPUT'!L396</f>
        <v>558.04293089999987</v>
      </c>
      <c r="M31" s="340">
        <f>+'INDICE OUTPUT'!M396</f>
        <v>525.57396749999998</v>
      </c>
      <c r="N31" s="340">
        <f>+'INDICE OUTPUT'!N396</f>
        <v>528.38526690000003</v>
      </c>
      <c r="O31" s="340">
        <f>+'INDICE OUTPUT'!O396</f>
        <v>72.589192199999985</v>
      </c>
      <c r="P31" s="340">
        <f>+'INDICE OUTPUT'!P396</f>
        <v>0.12872249999999996</v>
      </c>
      <c r="Q31" s="340">
        <f>+'INDICE OUTPUT'!Q396</f>
        <v>0.51488999999999985</v>
      </c>
      <c r="R31" s="340">
        <f>+'INDICE OUTPUT'!R396</f>
        <v>0</v>
      </c>
      <c r="S31" s="340">
        <f>+'INDICE OUTPUT'!S396</f>
        <v>0.12872249999999996</v>
      </c>
      <c r="T31" s="340">
        <f>+'INDICE OUTPUT'!T396</f>
        <v>0.90105749999999984</v>
      </c>
    </row>
    <row r="32" spans="2:20" ht="15" customHeight="1">
      <c r="B32" s="345" t="s">
        <v>335</v>
      </c>
      <c r="C32" s="340">
        <f>+'INDICE OUTPUT'!C397</f>
        <v>702.90834077976524</v>
      </c>
      <c r="D32" s="340">
        <f>+'INDICE OUTPUT'!D397</f>
        <v>821.70522764999987</v>
      </c>
      <c r="E32" s="340">
        <f>+'INDICE OUTPUT'!E397</f>
        <v>831.5936901</v>
      </c>
      <c r="F32" s="340">
        <f>+'INDICE OUTPUT'!F397</f>
        <v>1446.9284312999998</v>
      </c>
      <c r="G32" s="340">
        <f>+'INDICE OUTPUT'!G397</f>
        <v>1856.6907655500027</v>
      </c>
      <c r="H32" s="340">
        <f>+'INDICE OUTPUT'!H397</f>
        <v>1856.6907655500027</v>
      </c>
      <c r="I32" s="340">
        <f>+'INDICE OUTPUT'!I397</f>
        <v>2013.9278737499862</v>
      </c>
      <c r="J32" s="340">
        <f>+'INDICE OUTPUT'!J397</f>
        <v>2061.0480321000014</v>
      </c>
      <c r="K32" s="340">
        <f>+'INDICE OUTPUT'!K397</f>
        <v>2025.8141094000021</v>
      </c>
      <c r="L32" s="340">
        <f>+'INDICE OUTPUT'!L397</f>
        <v>1993.6823989500026</v>
      </c>
      <c r="M32" s="340">
        <f>+'INDICE OUTPUT'!M397</f>
        <v>1821.4310983500009</v>
      </c>
      <c r="N32" s="340">
        <f>+'INDICE OUTPUT'!N397</f>
        <v>1464.6303495000002</v>
      </c>
      <c r="O32" s="340">
        <f>+'INDICE OUTPUT'!O397</f>
        <v>813.34083960000453</v>
      </c>
      <c r="P32" s="340">
        <f>+'INDICE OUTPUT'!P397</f>
        <v>843.53913809999949</v>
      </c>
      <c r="Q32" s="340">
        <f>+'INDICE OUTPUT'!Q397</f>
        <v>696.57408539999983</v>
      </c>
      <c r="R32" s="340">
        <f>+'INDICE OUTPUT'!R397</f>
        <v>557.66191230000004</v>
      </c>
      <c r="S32" s="340">
        <f>+'INDICE OUTPUT'!S397</f>
        <v>564.08773950000023</v>
      </c>
      <c r="T32" s="340">
        <f>+'INDICE OUTPUT'!T397</f>
        <v>579.80733119999991</v>
      </c>
    </row>
    <row r="33" spans="2:20" ht="15" customHeight="1">
      <c r="B33" s="345" t="s">
        <v>336</v>
      </c>
      <c r="C33" s="340">
        <f>+'INDICE OUTPUT'!C398</f>
        <v>2836.8181960421616</v>
      </c>
      <c r="D33" s="340">
        <f>+'INDICE OUTPUT'!D398</f>
        <v>2779.7829830999999</v>
      </c>
      <c r="E33" s="340">
        <f>+'INDICE OUTPUT'!E398</f>
        <v>3707.8516125000006</v>
      </c>
      <c r="F33" s="340">
        <f>+'INDICE OUTPUT'!F398</f>
        <v>3856.7243326500011</v>
      </c>
      <c r="G33" s="340">
        <f>+'INDICE OUTPUT'!G398</f>
        <v>2545.2969282000004</v>
      </c>
      <c r="H33" s="340">
        <f>+'INDICE OUTPUT'!H398</f>
        <v>2545.2969282000004</v>
      </c>
      <c r="I33" s="340">
        <f>+'INDICE OUTPUT'!I398</f>
        <v>3379.7843001000001</v>
      </c>
      <c r="J33" s="340">
        <f>+'INDICE OUTPUT'!J398</f>
        <v>4497.226897049999</v>
      </c>
      <c r="K33" s="340">
        <f>+'INDICE OUTPUT'!K398</f>
        <v>2669.9981372999991</v>
      </c>
      <c r="L33" s="340">
        <f>+'INDICE OUTPUT'!L398</f>
        <v>1916.2532407499993</v>
      </c>
      <c r="M33" s="340">
        <f>+'INDICE OUTPUT'!M398</f>
        <v>2829.588292800001</v>
      </c>
      <c r="N33" s="340">
        <f>+'INDICE OUTPUT'!N398</f>
        <v>3162.6294426000004</v>
      </c>
      <c r="O33" s="340">
        <f>+'INDICE OUTPUT'!O398</f>
        <v>5526.8704512000077</v>
      </c>
      <c r="P33" s="340">
        <f>+'INDICE OUTPUT'!P398</f>
        <v>4820.5211791499987</v>
      </c>
      <c r="Q33" s="340">
        <f>+'INDICE OUTPUT'!Q398</f>
        <v>4998.2380370999981</v>
      </c>
      <c r="R33" s="340">
        <f>+'INDICE OUTPUT'!R398</f>
        <v>5885.8852270500029</v>
      </c>
      <c r="S33" s="340">
        <f>+'INDICE OUTPUT'!S398</f>
        <v>6245.3942973000012</v>
      </c>
      <c r="T33" s="340">
        <f>+'INDICE OUTPUT'!T398</f>
        <v>8728.7036184000062</v>
      </c>
    </row>
    <row r="34" spans="2:20" ht="15" customHeight="1">
      <c r="B34" s="345" t="s">
        <v>337</v>
      </c>
      <c r="C34" s="340">
        <f>+'INDICE OUTPUT'!C399</f>
        <v>26982.794066264105</v>
      </c>
      <c r="D34" s="340">
        <f>+'INDICE OUTPUT'!D399</f>
        <v>19600.201779750001</v>
      </c>
      <c r="E34" s="340">
        <f>+'INDICE OUTPUT'!E399</f>
        <v>19399.958484299998</v>
      </c>
      <c r="F34" s="340">
        <f>+'INDICE OUTPUT'!F399</f>
        <v>14963.249183400003</v>
      </c>
      <c r="G34" s="340">
        <f>+'INDICE OUTPUT'!G399</f>
        <v>23380.763583599997</v>
      </c>
      <c r="H34" s="340">
        <f>+'INDICE OUTPUT'!H399</f>
        <v>23380.763583599997</v>
      </c>
      <c r="I34" s="340">
        <f>+'INDICE OUTPUT'!I399</f>
        <v>74291.701729501365</v>
      </c>
      <c r="J34" s="340">
        <f>+'INDICE OUTPUT'!J399</f>
        <v>125998.04709629848</v>
      </c>
      <c r="K34" s="340">
        <f>+'INDICE OUTPUT'!K399</f>
        <v>137449.8185642985</v>
      </c>
      <c r="L34" s="340">
        <f>+'INDICE OUTPUT'!L399</f>
        <v>153733.45423815172</v>
      </c>
      <c r="M34" s="340">
        <f>+'INDICE OUTPUT'!M399</f>
        <v>206263.33784099971</v>
      </c>
      <c r="N34" s="340">
        <f>+'INDICE OUTPUT'!N399</f>
        <v>234162.49544954917</v>
      </c>
      <c r="O34" s="340">
        <f>+'INDICE OUTPUT'!O399</f>
        <v>232947.70517471631</v>
      </c>
      <c r="P34" s="340">
        <f>+'INDICE OUTPUT'!P399</f>
        <v>230186.23425450036</v>
      </c>
      <c r="Q34" s="340">
        <f>+'INDICE OUTPUT'!Q399</f>
        <v>199467.86081220023</v>
      </c>
      <c r="R34" s="340">
        <f>+'INDICE OUTPUT'!R399</f>
        <v>200217.33469620021</v>
      </c>
      <c r="S34" s="340">
        <f>+'INDICE OUTPUT'!S399</f>
        <v>178078.83849225019</v>
      </c>
      <c r="T34" s="340">
        <f>+'INDICE OUTPUT'!T399</f>
        <v>146494.18322055007</v>
      </c>
    </row>
    <row r="35" spans="2:20" ht="15" customHeight="1">
      <c r="B35" s="345" t="s">
        <v>338</v>
      </c>
      <c r="C35" s="340">
        <f>+'INDICE OUTPUT'!C400</f>
        <v>9237.8642064694359</v>
      </c>
      <c r="D35" s="340">
        <f>+'INDICE OUTPUT'!D400</f>
        <v>19113.548347350021</v>
      </c>
      <c r="E35" s="340">
        <f>+'INDICE OUTPUT'!E400</f>
        <v>18798.644197799993</v>
      </c>
      <c r="F35" s="340">
        <f>+'INDICE OUTPUT'!F400</f>
        <v>31268.118920849985</v>
      </c>
      <c r="G35" s="340">
        <f>+'INDICE OUTPUT'!G400</f>
        <v>52533.652597650012</v>
      </c>
      <c r="H35" s="340">
        <f>+'INDICE OUTPUT'!H400</f>
        <v>52533.652597650012</v>
      </c>
      <c r="I35" s="340">
        <f>+'INDICE OUTPUT'!I400</f>
        <v>33523.867457549437</v>
      </c>
      <c r="J35" s="340">
        <f>+'INDICE OUTPUT'!J400</f>
        <v>1847.1266837999992</v>
      </c>
      <c r="K35" s="340">
        <f>+'INDICE OUTPUT'!K400</f>
        <v>3140.1210262500008</v>
      </c>
      <c r="L35" s="340">
        <f>+'INDICE OUTPUT'!L400</f>
        <v>2067.8265589499997</v>
      </c>
      <c r="M35" s="340">
        <f>+'INDICE OUTPUT'!M400</f>
        <v>3417.8938834500004</v>
      </c>
      <c r="N35" s="340">
        <f>+'INDICE OUTPUT'!N400</f>
        <v>7291.4602680000025</v>
      </c>
      <c r="O35" s="340">
        <f>+'INDICE OUTPUT'!O400</f>
        <v>16201.109104650037</v>
      </c>
      <c r="P35" s="340">
        <f>+'INDICE OUTPUT'!P400</f>
        <v>95455.874160900014</v>
      </c>
      <c r="Q35" s="340">
        <f>+'INDICE OUTPUT'!Q400</f>
        <v>143575.78412610019</v>
      </c>
      <c r="R35" s="340">
        <f>+'INDICE OUTPUT'!R400</f>
        <v>176273.90189505043</v>
      </c>
      <c r="S35" s="340">
        <f>+'INDICE OUTPUT'!S400</f>
        <v>250548.64829685085</v>
      </c>
      <c r="T35" s="340">
        <f>+'INDICE OUTPUT'!T400</f>
        <v>299330.26399665128</v>
      </c>
    </row>
    <row r="36" spans="2:20" ht="15" customHeight="1">
      <c r="B36" s="345" t="s">
        <v>339</v>
      </c>
      <c r="C36" s="340">
        <f>+'INDICE OUTPUT'!C401</f>
        <v>5019.3239342547804</v>
      </c>
      <c r="D36" s="340">
        <f>+'INDICE OUTPUT'!D401</f>
        <v>3357.8705816999991</v>
      </c>
      <c r="E36" s="340">
        <f>+'INDICE OUTPUT'!E401</f>
        <v>1668.3002379</v>
      </c>
      <c r="F36" s="340">
        <f>+'INDICE OUTPUT'!F401</f>
        <v>3015.7673679</v>
      </c>
      <c r="G36" s="340">
        <f>+'INDICE OUTPUT'!G401</f>
        <v>3652.7377868999993</v>
      </c>
      <c r="H36" s="340">
        <f>+'INDICE OUTPUT'!H401</f>
        <v>3652.7377868999993</v>
      </c>
      <c r="I36" s="340">
        <f>+'INDICE OUTPUT'!I401</f>
        <v>3059.0026811999996</v>
      </c>
      <c r="J36" s="340">
        <f>+'INDICE OUTPUT'!J401</f>
        <v>757.44438119999995</v>
      </c>
      <c r="K36" s="340">
        <f>+'INDICE OUTPUT'!K401</f>
        <v>1420.2082147499996</v>
      </c>
      <c r="L36" s="340">
        <f>+'INDICE OUTPUT'!L401</f>
        <v>1022.8470061499997</v>
      </c>
      <c r="M36" s="340">
        <f>+'INDICE OUTPUT'!M401</f>
        <v>2211.3753164999998</v>
      </c>
      <c r="N36" s="340">
        <f>+'INDICE OUTPUT'!N401</f>
        <v>2116.7076410999998</v>
      </c>
      <c r="O36" s="340">
        <f>+'INDICE OUTPUT'!O401</f>
        <v>360.08317260000013</v>
      </c>
      <c r="P36" s="340">
        <f>+'INDICE OUTPUT'!P401</f>
        <v>0</v>
      </c>
      <c r="Q36" s="340">
        <f>+'INDICE OUTPUT'!Q401</f>
        <v>72.203024700000014</v>
      </c>
      <c r="R36" s="340">
        <f>+'INDICE OUTPUT'!R401</f>
        <v>0</v>
      </c>
      <c r="S36" s="340">
        <f>+'INDICE OUTPUT'!S401</f>
        <v>0.51488999999999985</v>
      </c>
      <c r="T36" s="340">
        <f>+'INDICE OUTPUT'!T401</f>
        <v>0</v>
      </c>
    </row>
    <row r="37" spans="2:20" ht="15" customHeight="1">
      <c r="B37" s="345" t="s">
        <v>340</v>
      </c>
      <c r="C37" s="340">
        <f>+'INDICE OUTPUT'!C402</f>
        <v>3282.9606468792972</v>
      </c>
      <c r="D37" s="340">
        <f>+'INDICE OUTPUT'!D402</f>
        <v>4064.0422166999997</v>
      </c>
      <c r="E37" s="340">
        <f>+'INDICE OUTPUT'!E402</f>
        <v>3739.9086638999997</v>
      </c>
      <c r="F37" s="340">
        <f>+'INDICE OUTPUT'!F402</f>
        <v>6973.2530991000494</v>
      </c>
      <c r="G37" s="340">
        <f>+'INDICE OUTPUT'!G402</f>
        <v>6783.4672195500534</v>
      </c>
      <c r="H37" s="340">
        <f>+'INDICE OUTPUT'!H402</f>
        <v>6783.4672195500534</v>
      </c>
      <c r="I37" s="340">
        <f>+'INDICE OUTPUT'!I402</f>
        <v>8607.9027010495047</v>
      </c>
      <c r="J37" s="340">
        <f>+'INDICE OUTPUT'!J402</f>
        <v>9113.4912132000609</v>
      </c>
      <c r="K37" s="340">
        <f>+'INDICE OUTPUT'!K402</f>
        <v>9393.1897590000517</v>
      </c>
      <c r="L37" s="340">
        <f>+'INDICE OUTPUT'!L402</f>
        <v>9912.1370922000388</v>
      </c>
      <c r="M37" s="340">
        <f>+'INDICE OUTPUT'!M402</f>
        <v>10386.842502150073</v>
      </c>
      <c r="N37" s="340">
        <f>+'INDICE OUTPUT'!N402</f>
        <v>8259.1960230000223</v>
      </c>
      <c r="O37" s="340">
        <f>+'INDICE OUTPUT'!O402</f>
        <v>6271.1593928995899</v>
      </c>
      <c r="P37" s="340">
        <f>+'INDICE OUTPUT'!P402</f>
        <v>5184.1699649999937</v>
      </c>
      <c r="Q37" s="340">
        <f>+'INDICE OUTPUT'!Q402</f>
        <v>4066.1893080000009</v>
      </c>
      <c r="R37" s="340">
        <f>+'INDICE OUTPUT'!R402</f>
        <v>3632.0083154999993</v>
      </c>
      <c r="S37" s="340">
        <f>+'INDICE OUTPUT'!S402</f>
        <v>3595.5541035000006</v>
      </c>
      <c r="T37" s="340">
        <f>+'INDICE OUTPUT'!T402</f>
        <v>3957.4702845000011</v>
      </c>
    </row>
    <row r="38" spans="2:20" ht="15" customHeight="1">
      <c r="B38" s="345" t="s">
        <v>341</v>
      </c>
      <c r="C38" s="340">
        <f>+'INDICE OUTPUT'!C403</f>
        <v>10713.097809558192</v>
      </c>
      <c r="D38" s="340">
        <f>+'INDICE OUTPUT'!D403</f>
        <v>10841.5701801</v>
      </c>
      <c r="E38" s="340">
        <f>+'INDICE OUTPUT'!E403</f>
        <v>14666.386779450026</v>
      </c>
      <c r="F38" s="340">
        <f>+'INDICE OUTPUT'!F403</f>
        <v>12129.897044700003</v>
      </c>
      <c r="G38" s="340">
        <f>+'INDICE OUTPUT'!G403</f>
        <v>10797.166066499998</v>
      </c>
      <c r="H38" s="340">
        <f>+'INDICE OUTPUT'!H403</f>
        <v>10797.166066499998</v>
      </c>
      <c r="I38" s="340">
        <f>+'INDICE OUTPUT'!I403</f>
        <v>13559.260003650023</v>
      </c>
      <c r="J38" s="340">
        <f>+'INDICE OUTPUT'!J403</f>
        <v>21884.022119250054</v>
      </c>
      <c r="K38" s="340">
        <f>+'INDICE OUTPUT'!K403</f>
        <v>15718.518154350022</v>
      </c>
      <c r="L38" s="340">
        <f>+'INDICE OUTPUT'!L403</f>
        <v>12413.210118299998</v>
      </c>
      <c r="M38" s="340">
        <f>+'INDICE OUTPUT'!M403</f>
        <v>15528.577807799971</v>
      </c>
      <c r="N38" s="340">
        <f>+'INDICE OUTPUT'!N403</f>
        <v>18207.493839899944</v>
      </c>
      <c r="O38" s="340">
        <f>+'INDICE OUTPUT'!O403</f>
        <v>33940.722401548759</v>
      </c>
      <c r="P38" s="340">
        <f>+'INDICE OUTPUT'!P403</f>
        <v>27906.319728449977</v>
      </c>
      <c r="Q38" s="340">
        <f>+'INDICE OUTPUT'!Q403</f>
        <v>27378.660456449958</v>
      </c>
      <c r="R38" s="340">
        <f>+'INDICE OUTPUT'!R403</f>
        <v>30558.574756349961</v>
      </c>
      <c r="S38" s="340">
        <f>+'INDICE OUTPUT'!S403</f>
        <v>34713.608333849974</v>
      </c>
      <c r="T38" s="340">
        <f>+'INDICE OUTPUT'!T403</f>
        <v>34791.796954799982</v>
      </c>
    </row>
    <row r="39" spans="2:20" ht="15" customHeight="1">
      <c r="B39" s="345" t="s">
        <v>342</v>
      </c>
      <c r="C39" s="340">
        <f>+'INDICE OUTPUT'!C404</f>
        <v>67436.188642778929</v>
      </c>
      <c r="D39" s="340">
        <f>+'INDICE OUTPUT'!D404</f>
        <v>44943.211153349737</v>
      </c>
      <c r="E39" s="340">
        <f>+'INDICE OUTPUT'!E404</f>
        <v>45866.57626259976</v>
      </c>
      <c r="F39" s="340">
        <f>+'INDICE OUTPUT'!F404</f>
        <v>32497.086691799996</v>
      </c>
      <c r="G39" s="340">
        <f>+'INDICE OUTPUT'!G404</f>
        <v>66155.137057799991</v>
      </c>
      <c r="H39" s="340">
        <f>+'INDICE OUTPUT'!H404</f>
        <v>66155.137057799991</v>
      </c>
      <c r="I39" s="340">
        <f>+'INDICE OUTPUT'!I404</f>
        <v>154453.27818150097</v>
      </c>
      <c r="J39" s="340">
        <f>+'INDICE OUTPUT'!J404</f>
        <v>200766.41854110151</v>
      </c>
      <c r="K39" s="340">
        <f>+'INDICE OUTPUT'!K404</f>
        <v>208233.04438710154</v>
      </c>
      <c r="L39" s="340">
        <f>+'INDICE OUTPUT'!L404</f>
        <v>233659.68476895092</v>
      </c>
      <c r="M39" s="340">
        <f>+'INDICE OUTPUT'!M404</f>
        <v>308893.44983804808</v>
      </c>
      <c r="N39" s="340">
        <f>+'INDICE OUTPUT'!N404</f>
        <v>408619.32221564953</v>
      </c>
      <c r="O39" s="340">
        <f>+'INDICE OUTPUT'!O404</f>
        <v>442958.8372200015</v>
      </c>
      <c r="P39" s="340">
        <f>+'INDICE OUTPUT'!P404</f>
        <v>383698.31411160016</v>
      </c>
      <c r="Q39" s="340">
        <f>+'INDICE OUTPUT'!Q404</f>
        <v>334732.14638910023</v>
      </c>
      <c r="R39" s="340">
        <f>+'INDICE OUTPUT'!R404</f>
        <v>351441.30518009991</v>
      </c>
      <c r="S39" s="340">
        <f>+'INDICE OUTPUT'!S404</f>
        <v>299570.09203530021</v>
      </c>
      <c r="T39" s="340">
        <f>+'INDICE OUTPUT'!T404</f>
        <v>268667.51412104978</v>
      </c>
    </row>
    <row r="40" spans="2:20" ht="15" customHeight="1">
      <c r="B40" s="345" t="s">
        <v>343</v>
      </c>
      <c r="C40" s="340">
        <f>+'INDICE OUTPUT'!C405</f>
        <v>32446.803930441427</v>
      </c>
      <c r="D40" s="340">
        <f>+'INDICE OUTPUT'!D405</f>
        <v>58966.83500129974</v>
      </c>
      <c r="E40" s="340">
        <f>+'INDICE OUTPUT'!E405</f>
        <v>55122.607048949751</v>
      </c>
      <c r="F40" s="340">
        <f>+'INDICE OUTPUT'!F405</f>
        <v>66576.942669149721</v>
      </c>
      <c r="G40" s="340">
        <f>+'INDICE OUTPUT'!G405</f>
        <v>95394.630569850735</v>
      </c>
      <c r="H40" s="340">
        <f>+'INDICE OUTPUT'!H405</f>
        <v>95394.630569850735</v>
      </c>
      <c r="I40" s="340">
        <f>+'INDICE OUTPUT'!I405</f>
        <v>80426.639249551023</v>
      </c>
      <c r="J40" s="340">
        <f>+'INDICE OUTPUT'!J405</f>
        <v>13266.709803450001</v>
      </c>
      <c r="K40" s="340">
        <f>+'INDICE OUTPUT'!K405</f>
        <v>15922.082490300003</v>
      </c>
      <c r="L40" s="340">
        <f>+'INDICE OUTPUT'!L405</f>
        <v>13915.169992800002</v>
      </c>
      <c r="M40" s="340">
        <f>+'INDICE OUTPUT'!M405</f>
        <v>24039.318191400031</v>
      </c>
      <c r="N40" s="340">
        <f>+'INDICE OUTPUT'!N405</f>
        <v>28383.07182615003</v>
      </c>
      <c r="O40" s="340">
        <f>+'INDICE OUTPUT'!O405</f>
        <v>49808.707974000426</v>
      </c>
      <c r="P40" s="340">
        <f>+'INDICE OUTPUT'!P405</f>
        <v>156348.9332478001</v>
      </c>
      <c r="Q40" s="340">
        <f>+'INDICE OUTPUT'!Q405</f>
        <v>211157.69167170033</v>
      </c>
      <c r="R40" s="340">
        <f>+'INDICE OUTPUT'!R405</f>
        <v>227204.46507330041</v>
      </c>
      <c r="S40" s="340">
        <f>+'INDICE OUTPUT'!S405</f>
        <v>336101.84904375102</v>
      </c>
      <c r="T40" s="340">
        <f>+'INDICE OUTPUT'!T405</f>
        <v>400232.15285760094</v>
      </c>
    </row>
    <row r="41" spans="2:20" ht="15" customHeight="1">
      <c r="B41" s="345" t="s">
        <v>344</v>
      </c>
      <c r="C41" s="340">
        <f>+'INDICE OUTPUT'!C406</f>
        <v>5928.9169191140609</v>
      </c>
      <c r="D41" s="340">
        <f>+'INDICE OUTPUT'!D406</f>
        <v>3329.2993356000006</v>
      </c>
      <c r="E41" s="340">
        <f>+'INDICE OUTPUT'!E406</f>
        <v>1254.1227218999998</v>
      </c>
      <c r="F41" s="340">
        <f>+'INDICE OUTPUT'!F406</f>
        <v>6841.5365137499975</v>
      </c>
      <c r="G41" s="340">
        <f>+'INDICE OUTPUT'!G406</f>
        <v>2850.4387633499991</v>
      </c>
      <c r="H41" s="340">
        <f>+'INDICE OUTPUT'!H406</f>
        <v>2850.4387633499991</v>
      </c>
      <c r="I41" s="340">
        <f>+'INDICE OUTPUT'!I406</f>
        <v>1203.1280163000001</v>
      </c>
      <c r="J41" s="340">
        <f>+'INDICE OUTPUT'!J406</f>
        <v>990.36259604999987</v>
      </c>
      <c r="K41" s="340">
        <f>+'INDICE OUTPUT'!K406</f>
        <v>1731.0292866</v>
      </c>
      <c r="L41" s="340">
        <f>+'INDICE OUTPUT'!L406</f>
        <v>1244.1750471</v>
      </c>
      <c r="M41" s="340">
        <f>+'INDICE OUTPUT'!M406</f>
        <v>2360.0343573</v>
      </c>
      <c r="N41" s="340">
        <f>+'INDICE OUTPUT'!N406</f>
        <v>1141.9178931000001</v>
      </c>
      <c r="O41" s="340">
        <f>+'INDICE OUTPUT'!O406</f>
        <v>235.23007094999991</v>
      </c>
      <c r="P41" s="340">
        <f>+'INDICE OUTPUT'!P406</f>
        <v>0.12872249999999996</v>
      </c>
      <c r="Q41" s="340">
        <f>+'INDICE OUTPUT'!Q406</f>
        <v>0.51488999999999985</v>
      </c>
      <c r="R41" s="340">
        <f>+'INDICE OUTPUT'!R406</f>
        <v>-0.12872249999999996</v>
      </c>
      <c r="S41" s="340">
        <f>+'INDICE OUTPUT'!S406</f>
        <v>0</v>
      </c>
      <c r="T41" s="340">
        <f>+'INDICE OUTPUT'!T406</f>
        <v>0.90105749999999984</v>
      </c>
    </row>
    <row r="42" spans="2:20" ht="15" customHeight="1">
      <c r="B42" s="345" t="s">
        <v>345</v>
      </c>
      <c r="C42" s="340">
        <f>+'INDICE OUTPUT'!C407</f>
        <v>525.48101978452974</v>
      </c>
      <c r="D42" s="340">
        <f>+'INDICE OUTPUT'!D407</f>
        <v>484.68912705000002</v>
      </c>
      <c r="E42" s="340">
        <f>+'INDICE OUTPUT'!E407</f>
        <v>582.15780404999987</v>
      </c>
      <c r="F42" s="340">
        <f>+'INDICE OUTPUT'!F407</f>
        <v>1251.4427194500004</v>
      </c>
      <c r="G42" s="340">
        <f>+'INDICE OUTPUT'!G407</f>
        <v>1333.7272903499997</v>
      </c>
      <c r="H42" s="340">
        <f>+'INDICE OUTPUT'!H407</f>
        <v>1333.7272903499997</v>
      </c>
      <c r="I42" s="340">
        <f>+'INDICE OUTPUT'!I407</f>
        <v>1581.9634827</v>
      </c>
      <c r="J42" s="340">
        <f>+'INDICE OUTPUT'!J407</f>
        <v>1930.1784408000012</v>
      </c>
      <c r="K42" s="340">
        <f>+'INDICE OUTPUT'!K407</f>
        <v>1619.1591362999998</v>
      </c>
      <c r="L42" s="340">
        <f>+'INDICE OUTPUT'!L407</f>
        <v>2250.6639979500032</v>
      </c>
      <c r="M42" s="340">
        <f>+'INDICE OUTPUT'!M407</f>
        <v>1852.4454975000017</v>
      </c>
      <c r="N42" s="340">
        <f>+'INDICE OUTPUT'!N407</f>
        <v>965.85125759999937</v>
      </c>
      <c r="O42" s="340">
        <f>+'INDICE OUTPUT'!O407</f>
        <v>255.67892730000062</v>
      </c>
      <c r="P42" s="340">
        <f>+'INDICE OUTPUT'!P407</f>
        <v>291.91688550000015</v>
      </c>
      <c r="Q42" s="340">
        <f>+'INDICE OUTPUT'!Q407</f>
        <v>253.92830130000004</v>
      </c>
      <c r="R42" s="340">
        <f>+'INDICE OUTPUT'!R407</f>
        <v>201.32198999999991</v>
      </c>
      <c r="S42" s="340">
        <f>+'INDICE OUTPUT'!S407</f>
        <v>233.91967590000002</v>
      </c>
      <c r="T42" s="340">
        <f>+'INDICE OUTPUT'!T407</f>
        <v>225.48062880000009</v>
      </c>
    </row>
    <row r="43" spans="2:20" ht="15" customHeight="1">
      <c r="B43" s="345" t="s">
        <v>346</v>
      </c>
      <c r="C43" s="340">
        <f>+'INDICE OUTPUT'!C408</f>
        <v>692.17623320912162</v>
      </c>
      <c r="D43" s="340">
        <f>+'INDICE OUTPUT'!D408</f>
        <v>702.40778909999995</v>
      </c>
      <c r="E43" s="340">
        <f>+'INDICE OUTPUT'!E408</f>
        <v>723.39985440000009</v>
      </c>
      <c r="F43" s="340">
        <f>+'INDICE OUTPUT'!F408</f>
        <v>1497.6090540000005</v>
      </c>
      <c r="G43" s="340">
        <f>+'INDICE OUTPUT'!G408</f>
        <v>798.08722334999993</v>
      </c>
      <c r="H43" s="340">
        <f>+'INDICE OUTPUT'!H408</f>
        <v>798.08722334999993</v>
      </c>
      <c r="I43" s="340">
        <f>+'INDICE OUTPUT'!I408</f>
        <v>1080.7154932500025</v>
      </c>
      <c r="J43" s="340">
        <f>+'INDICE OUTPUT'!J408</f>
        <v>1163.3553382499999</v>
      </c>
      <c r="K43" s="340">
        <f>+'INDICE OUTPUT'!K408</f>
        <v>880.12979594999979</v>
      </c>
      <c r="L43" s="340">
        <f>+'INDICE OUTPUT'!L408</f>
        <v>208.91146860000003</v>
      </c>
      <c r="M43" s="340">
        <f>+'INDICE OUTPUT'!M408</f>
        <v>291.94520445000001</v>
      </c>
      <c r="N43" s="340">
        <f>+'INDICE OUTPUT'!N408</f>
        <v>221.83520759999999</v>
      </c>
      <c r="O43" s="340">
        <f>+'INDICE OUTPUT'!O408</f>
        <v>3440.5825112999992</v>
      </c>
      <c r="P43" s="340">
        <f>+'INDICE OUTPUT'!P408</f>
        <v>4620.190352399999</v>
      </c>
      <c r="Q43" s="340">
        <f>+'INDICE OUTPUT'!Q408</f>
        <v>4763.6387063999991</v>
      </c>
      <c r="R43" s="340">
        <f>+'INDICE OUTPUT'!R408</f>
        <v>5392.0516536000014</v>
      </c>
      <c r="S43" s="340">
        <f>+'INDICE OUTPUT'!S408</f>
        <v>3347.2175076000058</v>
      </c>
      <c r="T43" s="340">
        <f>+'INDICE OUTPUT'!T408</f>
        <v>5099.7099838500071</v>
      </c>
    </row>
    <row r="44" spans="2:20" ht="15" customHeight="1">
      <c r="B44" s="345" t="s">
        <v>347</v>
      </c>
      <c r="C44" s="340">
        <f>+'INDICE OUTPUT'!C409</f>
        <v>5699.5365065654769</v>
      </c>
      <c r="D44" s="340">
        <f>+'INDICE OUTPUT'!D409</f>
        <v>3481.6475632500005</v>
      </c>
      <c r="E44" s="340">
        <f>+'INDICE OUTPUT'!E409</f>
        <v>4054.1074141499994</v>
      </c>
      <c r="F44" s="340">
        <f>+'INDICE OUTPUT'!F409</f>
        <v>7281.636166799999</v>
      </c>
      <c r="G44" s="340">
        <f>+'INDICE OUTPUT'!G409</f>
        <v>11020.484157300001</v>
      </c>
      <c r="H44" s="340">
        <f>+'INDICE OUTPUT'!H409</f>
        <v>11020.484157300001</v>
      </c>
      <c r="I44" s="340">
        <f>+'INDICE OUTPUT'!I409</f>
        <v>44502.39837764985</v>
      </c>
      <c r="J44" s="340">
        <f>+'INDICE OUTPUT'!J409</f>
        <v>89783.325881999335</v>
      </c>
      <c r="K44" s="340">
        <f>+'INDICE OUTPUT'!K409</f>
        <v>135903.76351019851</v>
      </c>
      <c r="L44" s="340">
        <f>+'INDICE OUTPUT'!L409</f>
        <v>153226.86941385188</v>
      </c>
      <c r="M44" s="340">
        <f>+'INDICE OUTPUT'!M409</f>
        <v>191212.39259279938</v>
      </c>
      <c r="N44" s="340">
        <f>+'INDICE OUTPUT'!N409</f>
        <v>166702.59108944959</v>
      </c>
      <c r="O44" s="340">
        <f>+'INDICE OUTPUT'!O409</f>
        <v>161818.40891068336</v>
      </c>
      <c r="P44" s="340">
        <f>+'INDICE OUTPUT'!P409</f>
        <v>166932.55126125028</v>
      </c>
      <c r="Q44" s="340">
        <f>+'INDICE OUTPUT'!Q409</f>
        <v>143965.12077405013</v>
      </c>
      <c r="R44" s="340">
        <f>+'INDICE OUTPUT'!R409</f>
        <v>156669.5423785501</v>
      </c>
      <c r="S44" s="340">
        <f>+'INDICE OUTPUT'!S409</f>
        <v>150213.10496805015</v>
      </c>
      <c r="T44" s="340">
        <f>+'INDICE OUTPUT'!T409</f>
        <v>128036.73345570004</v>
      </c>
    </row>
    <row r="45" spans="2:20" ht="15" customHeight="1">
      <c r="B45" s="345" t="s">
        <v>348</v>
      </c>
      <c r="C45" s="340">
        <f>+'INDICE OUTPUT'!C410</f>
        <v>4734.0217711855857</v>
      </c>
      <c r="D45" s="340">
        <f>+'INDICE OUTPUT'!D410</f>
        <v>5858.2793997000008</v>
      </c>
      <c r="E45" s="340">
        <f>+'INDICE OUTPUT'!E410</f>
        <v>9341.7857158499974</v>
      </c>
      <c r="F45" s="340">
        <f>+'INDICE OUTPUT'!F410</f>
        <v>15065.230871249994</v>
      </c>
      <c r="G45" s="340">
        <f>+'INDICE OUTPUT'!G410</f>
        <v>34110.993950100004</v>
      </c>
      <c r="H45" s="340">
        <f>+'INDICE OUTPUT'!H410</f>
        <v>34110.993950100004</v>
      </c>
      <c r="I45" s="340">
        <f>+'INDICE OUTPUT'!I410</f>
        <v>24202.81121309966</v>
      </c>
      <c r="J45" s="340">
        <f>+'INDICE OUTPUT'!J410</f>
        <v>693.74476484999991</v>
      </c>
      <c r="K45" s="340">
        <f>+'INDICE OUTPUT'!K410</f>
        <v>5100.4926166500009</v>
      </c>
      <c r="L45" s="340">
        <f>+'INDICE OUTPUT'!L410</f>
        <v>4645.0672627500007</v>
      </c>
      <c r="M45" s="340">
        <f>+'INDICE OUTPUT'!M410</f>
        <v>3886.0112758499999</v>
      </c>
      <c r="N45" s="340">
        <f>+'INDICE OUTPUT'!N410</f>
        <v>3056.8478665499988</v>
      </c>
      <c r="O45" s="340">
        <f>+'INDICE OUTPUT'!O410</f>
        <v>10563.660877050032</v>
      </c>
      <c r="P45" s="340">
        <f>+'INDICE OUTPUT'!P410</f>
        <v>70728.606291600008</v>
      </c>
      <c r="Q45" s="340">
        <f>+'INDICE OUTPUT'!Q410</f>
        <v>113352.17878260009</v>
      </c>
      <c r="R45" s="340">
        <f>+'INDICE OUTPUT'!R410</f>
        <v>168569.91948240023</v>
      </c>
      <c r="S45" s="340">
        <f>+'INDICE OUTPUT'!S410</f>
        <v>218963.52190080076</v>
      </c>
      <c r="T45" s="340">
        <f>+'INDICE OUTPUT'!T410</f>
        <v>253096.46303715068</v>
      </c>
    </row>
    <row r="46" spans="2:20" ht="15" customHeight="1">
      <c r="B46" s="345" t="s">
        <v>349</v>
      </c>
      <c r="C46" s="340">
        <f>+'INDICE OUTPUT'!C411</f>
        <v>2181.0088385003992</v>
      </c>
      <c r="D46" s="340">
        <f>+'INDICE OUTPUT'!D411</f>
        <v>1844.0888328000001</v>
      </c>
      <c r="E46" s="340">
        <f>+'INDICE OUTPUT'!E411</f>
        <v>2044.9680173999996</v>
      </c>
      <c r="F46" s="340">
        <f>+'INDICE OUTPUT'!F411</f>
        <v>1261.5216912000001</v>
      </c>
      <c r="G46" s="340">
        <f>+'INDICE OUTPUT'!G411</f>
        <v>1952.1951372000003</v>
      </c>
      <c r="H46" s="340">
        <f>+'INDICE OUTPUT'!H411</f>
        <v>1952.1951372000003</v>
      </c>
      <c r="I46" s="340">
        <f>+'INDICE OUTPUT'!I411</f>
        <v>4480.9100329500016</v>
      </c>
      <c r="J46" s="340">
        <f>+'INDICE OUTPUT'!J411</f>
        <v>3124.4580724499992</v>
      </c>
      <c r="K46" s="340">
        <f>+'INDICE OUTPUT'!K411</f>
        <v>5113.8746077500018</v>
      </c>
      <c r="L46" s="340">
        <f>+'INDICE OUTPUT'!L411</f>
        <v>3628.3217031000004</v>
      </c>
      <c r="M46" s="340">
        <f>+'INDICE OUTPUT'!M411</f>
        <v>3916.2636378000007</v>
      </c>
      <c r="N46" s="340">
        <f>+'INDICE OUTPUT'!N411</f>
        <v>3328.1279608500008</v>
      </c>
      <c r="O46" s="340">
        <f>+'INDICE OUTPUT'!O411</f>
        <v>90.020793150000031</v>
      </c>
      <c r="P46" s="340">
        <f>+'INDICE OUTPUT'!P411</f>
        <v>0</v>
      </c>
      <c r="Q46" s="340">
        <f>+'INDICE OUTPUT'!Q411</f>
        <v>0</v>
      </c>
      <c r="R46" s="340">
        <f>+'INDICE OUTPUT'!R411</f>
        <v>0</v>
      </c>
      <c r="S46" s="340">
        <f>+'INDICE OUTPUT'!S411</f>
        <v>0.64361250000000014</v>
      </c>
      <c r="T46" s="340">
        <f>+'INDICE OUTPUT'!T411</f>
        <v>0</v>
      </c>
    </row>
    <row r="47" spans="2:20" ht="15" customHeight="1">
      <c r="B47" s="345" t="s">
        <v>305</v>
      </c>
      <c r="C47" s="340">
        <f>+'INDICE OUTPUT'!C412</f>
        <v>369648.78561815858</v>
      </c>
      <c r="D47" s="340">
        <f>+'INDICE OUTPUT'!D412</f>
        <v>423295.26247740001</v>
      </c>
      <c r="E47" s="340">
        <f>+'INDICE OUTPUT'!E412</f>
        <v>387717.93483680004</v>
      </c>
      <c r="F47" s="340">
        <f>+'INDICE OUTPUT'!F412</f>
        <v>472190.39838530007</v>
      </c>
      <c r="G47" s="340">
        <f>+'INDICE OUTPUT'!G412</f>
        <v>556746.88107610005</v>
      </c>
      <c r="H47" s="340">
        <f>+'INDICE OUTPUT'!H412</f>
        <v>556746.88107610005</v>
      </c>
      <c r="I47" s="340">
        <f>+'INDICE OUTPUT'!I412</f>
        <v>602141.98747719999</v>
      </c>
      <c r="J47" s="340">
        <f>+'INDICE OUTPUT'!J412</f>
        <v>699676.14446640003</v>
      </c>
      <c r="K47" s="340">
        <f>+'INDICE OUTPUT'!K412</f>
        <v>766673.01483509992</v>
      </c>
      <c r="L47" s="340">
        <f>+'INDICE OUTPUT'!L412</f>
        <v>834342.41101409995</v>
      </c>
      <c r="M47" s="340">
        <f>+'INDICE OUTPUT'!M412</f>
        <v>938144.75714320003</v>
      </c>
      <c r="N47" s="340">
        <f>+'INDICE OUTPUT'!N412</f>
        <v>1025520.6287310997</v>
      </c>
      <c r="O47" s="340">
        <f>+'INDICE OUTPUT'!O412</f>
        <v>1176130.3083041001</v>
      </c>
      <c r="P47" s="340">
        <f>+'INDICE OUTPUT'!P412</f>
        <v>1357304.9939385003</v>
      </c>
      <c r="Q47" s="340">
        <f>+'INDICE OUTPUT'!Q412</f>
        <v>1368336.0769295986</v>
      </c>
      <c r="R47" s="340">
        <f>+'INDICE OUTPUT'!R412</f>
        <v>1443436.298847399</v>
      </c>
      <c r="S47" s="340">
        <f>+'INDICE OUTPUT'!S412</f>
        <v>1590519.7569025988</v>
      </c>
      <c r="T47" s="340">
        <f>+'INDICE OUTPUT'!T412</f>
        <v>1698036.0777024995</v>
      </c>
    </row>
    <row r="48" spans="2:20" ht="15" customHeight="1">
      <c r="B48" s="345" t="s">
        <v>306</v>
      </c>
      <c r="C48" s="340">
        <f>+'INDICE OUTPUT'!C413</f>
        <v>93798.754603322246</v>
      </c>
      <c r="D48" s="340">
        <f>+'INDICE OUTPUT'!D413</f>
        <v>123163.10273950001</v>
      </c>
      <c r="E48" s="340">
        <f>+'INDICE OUTPUT'!E413</f>
        <v>78186.291677199988</v>
      </c>
      <c r="F48" s="340">
        <f>+'INDICE OUTPUT'!F413</f>
        <v>65587.362256099994</v>
      </c>
      <c r="G48" s="340">
        <f>+'INDICE OUTPUT'!G413</f>
        <v>65039.188135699995</v>
      </c>
      <c r="H48" s="340">
        <f>+'INDICE OUTPUT'!H413</f>
        <v>65039.188135699995</v>
      </c>
      <c r="I48" s="340">
        <f>+'INDICE OUTPUT'!I413</f>
        <v>78145.009078699994</v>
      </c>
      <c r="J48" s="340">
        <f>+'INDICE OUTPUT'!J413</f>
        <v>81582.408710699994</v>
      </c>
      <c r="K48" s="340">
        <f>+'INDICE OUTPUT'!K413</f>
        <v>64629.096827600013</v>
      </c>
      <c r="L48" s="340">
        <f>+'INDICE OUTPUT'!L413</f>
        <v>70577.370761400001</v>
      </c>
      <c r="M48" s="340">
        <f>+'INDICE OUTPUT'!M413</f>
        <v>96055.221676299989</v>
      </c>
      <c r="N48" s="340">
        <f>+'INDICE OUTPUT'!N413</f>
        <v>145621.24573770002</v>
      </c>
      <c r="O48" s="340">
        <f>+'INDICE OUTPUT'!O413</f>
        <v>143326.85706750007</v>
      </c>
      <c r="P48" s="340">
        <f>+'INDICE OUTPUT'!P413</f>
        <v>152853.20640220019</v>
      </c>
      <c r="Q48" s="340">
        <f>+'INDICE OUTPUT'!Q413</f>
        <v>171092.56177210013</v>
      </c>
      <c r="R48" s="340">
        <f>+'INDICE OUTPUT'!R413</f>
        <v>195806.51402550004</v>
      </c>
      <c r="S48" s="340">
        <f>+'INDICE OUTPUT'!S413</f>
        <v>230334.2086352999</v>
      </c>
      <c r="T48" s="340">
        <f>+'INDICE OUTPUT'!T413</f>
        <v>257174.23833150015</v>
      </c>
    </row>
    <row r="49" spans="2:20" ht="15" customHeight="1">
      <c r="B49" s="345" t="s">
        <v>60</v>
      </c>
      <c r="C49" s="340">
        <f>+'INDICE OUTPUT'!C414</f>
        <v>0</v>
      </c>
      <c r="D49" s="340">
        <f>+'INDICE OUTPUT'!D414</f>
        <v>0</v>
      </c>
      <c r="E49" s="340">
        <f>+'INDICE OUTPUT'!E414</f>
        <v>0</v>
      </c>
      <c r="F49" s="340">
        <f>+'INDICE OUTPUT'!F414</f>
        <v>0</v>
      </c>
      <c r="G49" s="340">
        <f>+'INDICE OUTPUT'!G414</f>
        <v>0</v>
      </c>
      <c r="H49" s="340">
        <f>+'INDICE OUTPUT'!H414</f>
        <v>961509.61612299993</v>
      </c>
      <c r="I49" s="340">
        <f>+'INDICE OUTPUT'!I414</f>
        <v>1159054.8860114003</v>
      </c>
      <c r="J49" s="340">
        <f>+'INDICE OUTPUT'!J414</f>
        <v>1366280.9908592999</v>
      </c>
      <c r="K49" s="340">
        <f>+'INDICE OUTPUT'!K414</f>
        <v>1611641.6401876998</v>
      </c>
      <c r="L49" s="340">
        <f>+'INDICE OUTPUT'!L414</f>
        <v>3483166.6702061999</v>
      </c>
      <c r="M49" s="340">
        <f>+'INDICE OUTPUT'!M414</f>
        <v>3072091.7371687056</v>
      </c>
      <c r="N49" s="340">
        <f>+'INDICE OUTPUT'!N414</f>
        <v>4120592.5770629006</v>
      </c>
      <c r="O49" s="340">
        <f>+'INDICE OUTPUT'!O414</f>
        <v>5320695.1313081002</v>
      </c>
      <c r="P49" s="340">
        <f>+'INDICE OUTPUT'!P414</f>
        <v>6227539.0653433986</v>
      </c>
      <c r="Q49" s="340">
        <f>+'INDICE OUTPUT'!Q414</f>
        <v>6758715.4891618993</v>
      </c>
      <c r="R49" s="340">
        <f>+'INDICE OUTPUT'!R414</f>
        <v>7064827.5841984004</v>
      </c>
      <c r="S49" s="340">
        <f>+'INDICE OUTPUT'!S414</f>
        <v>7889435.2960412046</v>
      </c>
      <c r="T49" s="340">
        <f>+'INDICE OUTPUT'!T414</f>
        <v>8782907.5890908055</v>
      </c>
    </row>
    <row r="50" spans="2:20" ht="15" customHeight="1">
      <c r="B50" s="345" t="s">
        <v>58</v>
      </c>
      <c r="C50" s="340">
        <f>+'INDICE OUTPUT'!C415</f>
        <v>599694.25036325899</v>
      </c>
      <c r="D50" s="340">
        <f>+'INDICE OUTPUT'!D415</f>
        <v>1288077.9919333998</v>
      </c>
      <c r="E50" s="340">
        <f>+'INDICE OUTPUT'!E415</f>
        <v>1683100.4741578661</v>
      </c>
      <c r="F50" s="340">
        <f>+'INDICE OUTPUT'!F415</f>
        <v>1562569.4956250999</v>
      </c>
      <c r="G50" s="340">
        <f>+'INDICE OUTPUT'!G415</f>
        <v>1672406.5650709998</v>
      </c>
      <c r="H50" s="340">
        <f>+'INDICE OUTPUT'!H415</f>
        <v>1672406.5650709998</v>
      </c>
      <c r="I50" s="340">
        <f>+'INDICE OUTPUT'!I415</f>
        <v>1932825.6844051899</v>
      </c>
      <c r="J50" s="340">
        <f>+'INDICE OUTPUT'!J415</f>
        <v>2267864.9444666998</v>
      </c>
      <c r="K50" s="340">
        <f>+'INDICE OUTPUT'!K415</f>
        <v>2471879.1214309996</v>
      </c>
      <c r="L50" s="340">
        <f>+'INDICE OUTPUT'!L415</f>
        <v>2436051.1378198001</v>
      </c>
      <c r="M50" s="340">
        <f>+'INDICE OUTPUT'!M415</f>
        <v>2925016.2017766996</v>
      </c>
      <c r="N50" s="340">
        <f>+'INDICE OUTPUT'!N415</f>
        <v>3141495.0570468004</v>
      </c>
      <c r="O50" s="340">
        <f>+'INDICE OUTPUT'!O415</f>
        <v>3346532.3968392005</v>
      </c>
      <c r="P50" s="340">
        <f>+'INDICE OUTPUT'!P415</f>
        <v>3458824.2245970005</v>
      </c>
      <c r="Q50" s="340">
        <f>+'INDICE OUTPUT'!Q415</f>
        <v>3567626.3841765998</v>
      </c>
      <c r="R50" s="340">
        <f>+'INDICE OUTPUT'!R415</f>
        <v>3592318.7319576</v>
      </c>
      <c r="S50" s="340">
        <f>+'INDICE OUTPUT'!S415</f>
        <v>3453418.4717183001</v>
      </c>
      <c r="T50" s="340">
        <f>+'INDICE OUTPUT'!T415</f>
        <v>3457349.7298535001</v>
      </c>
    </row>
    <row r="51" spans="2:20" ht="15" customHeight="1">
      <c r="B51" s="345" t="s">
        <v>56</v>
      </c>
      <c r="C51" s="340">
        <f>+'INDICE OUTPUT'!C416</f>
        <v>593307.80983565713</v>
      </c>
      <c r="D51" s="340">
        <f>+'INDICE OUTPUT'!D416</f>
        <v>628847.93927179999</v>
      </c>
      <c r="E51" s="340">
        <f>+'INDICE OUTPUT'!E416</f>
        <v>776310.49912949977</v>
      </c>
      <c r="F51" s="340">
        <f>+'INDICE OUTPUT'!F416</f>
        <v>1017892.4391034</v>
      </c>
      <c r="G51" s="340">
        <f>+'INDICE OUTPUT'!G416</f>
        <v>1363276.9246646001</v>
      </c>
      <c r="H51" s="340">
        <f>+'INDICE OUTPUT'!H416</f>
        <v>1363276.9246646001</v>
      </c>
      <c r="I51" s="340">
        <f>+'INDICE OUTPUT'!I416</f>
        <v>1386432.4417657</v>
      </c>
      <c r="J51" s="340">
        <f>+'INDICE OUTPUT'!J416</f>
        <v>1689193.4553306997</v>
      </c>
      <c r="K51" s="340">
        <f>+'INDICE OUTPUT'!K416</f>
        <v>1905954.0820506001</v>
      </c>
      <c r="L51" s="340">
        <f>+'INDICE OUTPUT'!L416</f>
        <v>2043377.7427375</v>
      </c>
      <c r="M51" s="340">
        <f>+'INDICE OUTPUT'!M416</f>
        <v>2300862.4272595001</v>
      </c>
      <c r="N51" s="340">
        <f>+'INDICE OUTPUT'!N416</f>
        <v>2626893.0322692995</v>
      </c>
      <c r="O51" s="340">
        <f>+'INDICE OUTPUT'!O416</f>
        <v>2882575.4439894999</v>
      </c>
      <c r="P51" s="340">
        <f>+'INDICE OUTPUT'!P416</f>
        <v>3133748.5677109002</v>
      </c>
      <c r="Q51" s="340">
        <f>+'INDICE OUTPUT'!Q416</f>
        <v>3218394.0507501001</v>
      </c>
      <c r="R51" s="340">
        <f>+'INDICE OUTPUT'!R416</f>
        <v>4986235.5907310992</v>
      </c>
      <c r="S51" s="340">
        <f>+'INDICE OUTPUT'!S416</f>
        <v>5188471.6608291995</v>
      </c>
      <c r="T51" s="340">
        <f>+'INDICE OUTPUT'!T416</f>
        <v>5445669.3250014</v>
      </c>
    </row>
    <row r="52" spans="2:20" ht="15" customHeight="1">
      <c r="B52" s="345" t="s">
        <v>63</v>
      </c>
      <c r="C52" s="340">
        <f>+'INDICE OUTPUT'!C417</f>
        <v>336394.5325651429</v>
      </c>
      <c r="D52" s="340">
        <f>+'INDICE OUTPUT'!D417</f>
        <v>323846.63219999999</v>
      </c>
      <c r="E52" s="340">
        <f>+'INDICE OUTPUT'!E417</f>
        <v>380881.86111717601</v>
      </c>
      <c r="F52" s="340">
        <f>+'INDICE OUTPUT'!F417</f>
        <v>471440.23084619996</v>
      </c>
      <c r="G52" s="340">
        <f>+'INDICE OUTPUT'!G417</f>
        <v>552512.89788229996</v>
      </c>
      <c r="H52" s="340">
        <f>+'INDICE OUTPUT'!H417</f>
        <v>552512.89788229996</v>
      </c>
      <c r="I52" s="340">
        <f>+'INDICE OUTPUT'!I417</f>
        <v>561507.96930570004</v>
      </c>
      <c r="J52" s="340">
        <f>+'INDICE OUTPUT'!J417</f>
        <v>747728.21307898988</v>
      </c>
      <c r="K52" s="340">
        <f>+'INDICE OUTPUT'!K417</f>
        <v>829040.85929819988</v>
      </c>
      <c r="L52" s="340">
        <f>+'INDICE OUTPUT'!L417</f>
        <v>1016494.1636368</v>
      </c>
      <c r="M52" s="340">
        <f>+'INDICE OUTPUT'!M417</f>
        <v>1156556.8085277998</v>
      </c>
      <c r="N52" s="340">
        <f>+'INDICE OUTPUT'!N417</f>
        <v>1344185.9982565003</v>
      </c>
      <c r="O52" s="340">
        <f>+'INDICE OUTPUT'!O417</f>
        <v>1491664.5357657999</v>
      </c>
      <c r="P52" s="340">
        <f>+'INDICE OUTPUT'!P417</f>
        <v>1704552.0359180002</v>
      </c>
      <c r="Q52" s="340">
        <f>+'INDICE OUTPUT'!Q417</f>
        <v>1766976.1958291999</v>
      </c>
      <c r="R52" s="340">
        <f>+'INDICE OUTPUT'!R417</f>
        <v>1820449.2963434998</v>
      </c>
      <c r="S52" s="340">
        <f>+'INDICE OUTPUT'!S417</f>
        <v>1947698.6467374</v>
      </c>
      <c r="T52" s="340">
        <f>+'INDICE OUTPUT'!T417</f>
        <v>1907097.3029683996</v>
      </c>
    </row>
    <row r="53" spans="2:20" ht="15" customHeight="1">
      <c r="B53" s="345" t="s">
        <v>57</v>
      </c>
      <c r="C53" s="340">
        <f>+'INDICE OUTPUT'!C418</f>
        <v>2814551.3015720411</v>
      </c>
      <c r="D53" s="340">
        <f>+'INDICE OUTPUT'!D418</f>
        <v>3554803.6311616995</v>
      </c>
      <c r="E53" s="340">
        <f>+'INDICE OUTPUT'!E418</f>
        <v>3679787.886996299</v>
      </c>
      <c r="F53" s="340">
        <f>+'INDICE OUTPUT'!F418</f>
        <v>3947361.5504439999</v>
      </c>
      <c r="G53" s="340">
        <f>+'INDICE OUTPUT'!G418</f>
        <v>4931027.6342866002</v>
      </c>
      <c r="H53" s="340">
        <f>+'INDICE OUTPUT'!H418</f>
        <v>4931027.6342866002</v>
      </c>
      <c r="I53" s="340">
        <f>+'INDICE OUTPUT'!I418</f>
        <v>5115909.0353630995</v>
      </c>
      <c r="J53" s="340">
        <f>+'INDICE OUTPUT'!J418</f>
        <v>6065953.7049187999</v>
      </c>
      <c r="K53" s="340">
        <f>+'INDICE OUTPUT'!K418</f>
        <v>7357771.4908620985</v>
      </c>
      <c r="L53" s="340">
        <f>+'INDICE OUTPUT'!L418</f>
        <v>7588718.5243190993</v>
      </c>
      <c r="M53" s="340">
        <f>+'INDICE OUTPUT'!M418</f>
        <v>8263276.8609172003</v>
      </c>
      <c r="N53" s="340">
        <f>+'INDICE OUTPUT'!N418</f>
        <v>9651975.2948040981</v>
      </c>
      <c r="O53" s="340">
        <f>+'INDICE OUTPUT'!O418</f>
        <v>10361828.6836986</v>
      </c>
      <c r="P53" s="340">
        <f>+'INDICE OUTPUT'!P418</f>
        <v>10594261.050877601</v>
      </c>
      <c r="Q53" s="340">
        <f>+'INDICE OUTPUT'!Q418</f>
        <v>11369754.1755524</v>
      </c>
      <c r="R53" s="340">
        <f>+'INDICE OUTPUT'!R418</f>
        <v>11961606.445172301</v>
      </c>
      <c r="S53" s="340">
        <f>+'INDICE OUTPUT'!S418</f>
        <v>13257761.6543817</v>
      </c>
      <c r="T53" s="340">
        <f>+'INDICE OUTPUT'!T418</f>
        <v>13942686.048838701</v>
      </c>
    </row>
    <row r="54" spans="2:20" ht="15" customHeight="1">
      <c r="B54" s="345" t="s">
        <v>53</v>
      </c>
      <c r="C54" s="340">
        <f>+'INDICE OUTPUT'!C419</f>
        <v>322461.67719862855</v>
      </c>
      <c r="D54" s="340">
        <f>+'INDICE OUTPUT'!D419</f>
        <v>739471.31845210027</v>
      </c>
      <c r="E54" s="340">
        <f>+'INDICE OUTPUT'!E419</f>
        <v>898521.88069579971</v>
      </c>
      <c r="F54" s="340">
        <f>+'INDICE OUTPUT'!F419</f>
        <v>948261.90691520006</v>
      </c>
      <c r="G54" s="340">
        <f>+'INDICE OUTPUT'!G419</f>
        <v>1093209.6423460001</v>
      </c>
      <c r="H54" s="340">
        <f>+'INDICE OUTPUT'!H419</f>
        <v>1093209.6423460001</v>
      </c>
      <c r="I54" s="340">
        <f>+'INDICE OUTPUT'!I419</f>
        <v>1231350.6233058001</v>
      </c>
      <c r="J54" s="340">
        <f>+'INDICE OUTPUT'!J419</f>
        <v>1620198.8588709</v>
      </c>
      <c r="K54" s="340">
        <f>+'INDICE OUTPUT'!K419</f>
        <v>1828911.8773597002</v>
      </c>
      <c r="L54" s="340">
        <f>+'INDICE OUTPUT'!L419</f>
        <v>1963382.6486268998</v>
      </c>
      <c r="M54" s="340">
        <f>+'INDICE OUTPUT'!M419</f>
        <v>2566795.3947941004</v>
      </c>
      <c r="N54" s="340">
        <f>+'INDICE OUTPUT'!N419</f>
        <v>3074061.4047134998</v>
      </c>
      <c r="O54" s="340">
        <f>+'INDICE OUTPUT'!O419</f>
        <v>3514955.5990228998</v>
      </c>
      <c r="P54" s="340">
        <f>+'INDICE OUTPUT'!P419</f>
        <v>3999530.9711674992</v>
      </c>
      <c r="Q54" s="340">
        <f>+'INDICE OUTPUT'!Q419</f>
        <v>4469441.5413311999</v>
      </c>
      <c r="R54" s="340">
        <f>+'INDICE OUTPUT'!R419</f>
        <v>4362653.7835979993</v>
      </c>
      <c r="S54" s="340">
        <f>+'INDICE OUTPUT'!S419</f>
        <v>4598862.1726946998</v>
      </c>
      <c r="T54" s="340">
        <f>+'INDICE OUTPUT'!T419</f>
        <v>4798349.2363957986</v>
      </c>
    </row>
    <row r="55" spans="2:20" ht="15" customHeight="1">
      <c r="B55" s="345" t="s">
        <v>240</v>
      </c>
      <c r="C55" s="340">
        <f>+'INDICE OUTPUT'!C420</f>
        <v>119543.50602012797</v>
      </c>
      <c r="D55" s="340">
        <f>+'INDICE OUTPUT'!D420</f>
        <v>138269.61939126402</v>
      </c>
      <c r="E55" s="340">
        <f>+'INDICE OUTPUT'!E420</f>
        <v>125456.54660769997</v>
      </c>
      <c r="F55" s="340">
        <f>+'INDICE OUTPUT'!F420</f>
        <v>120871.25873601994</v>
      </c>
      <c r="G55" s="340">
        <f>+'INDICE OUTPUT'!G420</f>
        <v>110660.669096</v>
      </c>
      <c r="H55" s="340">
        <f>+'INDICE OUTPUT'!H420</f>
        <v>110660.669096</v>
      </c>
      <c r="I55" s="340">
        <f>+'INDICE OUTPUT'!I420</f>
        <v>103122.6870637</v>
      </c>
      <c r="J55" s="340">
        <f>+'INDICE OUTPUT'!J420</f>
        <v>135795.34168000001</v>
      </c>
      <c r="K55" s="340">
        <f>+'INDICE OUTPUT'!K420</f>
        <v>153408.41404860001</v>
      </c>
      <c r="L55" s="340">
        <f>+'INDICE OUTPUT'!L420</f>
        <v>140647.90248990001</v>
      </c>
      <c r="M55" s="340">
        <f>+'INDICE OUTPUT'!M420</f>
        <v>217797.25297649993</v>
      </c>
      <c r="N55" s="340">
        <f>+'INDICE OUTPUT'!N420</f>
        <v>282029.27051909995</v>
      </c>
      <c r="O55" s="340">
        <f>+'INDICE OUTPUT'!O420</f>
        <v>299423.26429949998</v>
      </c>
      <c r="P55" s="340">
        <f>+'INDICE OUTPUT'!P420</f>
        <v>286677.97979969997</v>
      </c>
      <c r="Q55" s="340">
        <f>+'INDICE OUTPUT'!Q420</f>
        <v>265634.57806740003</v>
      </c>
      <c r="R55" s="340">
        <f>+'INDICE OUTPUT'!R420</f>
        <v>282664.69710420002</v>
      </c>
      <c r="S55" s="340">
        <f>+'INDICE OUTPUT'!S420</f>
        <v>294594.83793179999</v>
      </c>
      <c r="T55" s="340">
        <f>+'INDICE OUTPUT'!T420</f>
        <v>241424.76691229999</v>
      </c>
    </row>
    <row r="56" spans="2:20" ht="15" customHeight="1">
      <c r="B56" s="345" t="s">
        <v>241</v>
      </c>
      <c r="C56" s="340">
        <f>+'INDICE OUTPUT'!C421</f>
        <v>286800.44542485825</v>
      </c>
      <c r="D56" s="340">
        <f>+'INDICE OUTPUT'!D421</f>
        <v>270841.57625616743</v>
      </c>
      <c r="E56" s="340">
        <f>+'INDICE OUTPUT'!E421</f>
        <v>221734.02379550753</v>
      </c>
      <c r="F56" s="340">
        <f>+'INDICE OUTPUT'!F421</f>
        <v>200488.88250721834</v>
      </c>
      <c r="G56" s="340">
        <f>+'INDICE OUTPUT'!G421</f>
        <v>217270.71508434467</v>
      </c>
      <c r="H56" s="340">
        <f>+'INDICE OUTPUT'!H421</f>
        <v>217270.71508434467</v>
      </c>
      <c r="I56" s="340">
        <f>+'INDICE OUTPUT'!I421</f>
        <v>241864.1575802</v>
      </c>
      <c r="J56" s="340">
        <f>+'INDICE OUTPUT'!J421</f>
        <v>334697.76715239993</v>
      </c>
      <c r="K56" s="340">
        <f>+'INDICE OUTPUT'!K421</f>
        <v>512967.3178593</v>
      </c>
      <c r="L56" s="340">
        <f>+'INDICE OUTPUT'!L421</f>
        <v>698858.0614102002</v>
      </c>
      <c r="M56" s="340">
        <f>+'INDICE OUTPUT'!M421</f>
        <v>609359.40868869983</v>
      </c>
      <c r="N56" s="340">
        <f>+'INDICE OUTPUT'!N421</f>
        <v>612512.94255979999</v>
      </c>
      <c r="O56" s="340">
        <f>+'INDICE OUTPUT'!O421</f>
        <v>626491.12543390004</v>
      </c>
      <c r="P56" s="340">
        <f>+'INDICE OUTPUT'!P421</f>
        <v>695744.58189499984</v>
      </c>
      <c r="Q56" s="340">
        <f>+'INDICE OUTPUT'!Q421</f>
        <v>692474.18651429994</v>
      </c>
      <c r="R56" s="340">
        <f>+'INDICE OUTPUT'!R421</f>
        <v>745197.85958440008</v>
      </c>
      <c r="S56" s="340">
        <f>+'INDICE OUTPUT'!S421</f>
        <v>803252.14752969996</v>
      </c>
      <c r="T56" s="340">
        <f>+'INDICE OUTPUT'!T421</f>
        <v>767726.31684700015</v>
      </c>
    </row>
    <row r="57" spans="2:20" ht="15" customHeight="1">
      <c r="B57" s="345" t="s">
        <v>242</v>
      </c>
      <c r="C57" s="340">
        <f>+'INDICE OUTPUT'!C422</f>
        <v>63847.091710628571</v>
      </c>
      <c r="D57" s="340">
        <f>+'INDICE OUTPUT'!D422</f>
        <v>63781.499206699998</v>
      </c>
      <c r="E57" s="340">
        <f>+'INDICE OUTPUT'!E422</f>
        <v>69086.525694399985</v>
      </c>
      <c r="F57" s="340">
        <f>+'INDICE OUTPUT'!F422</f>
        <v>64540.852320799997</v>
      </c>
      <c r="G57" s="340">
        <f>+'INDICE OUTPUT'!G422</f>
        <v>36814.010891712001</v>
      </c>
      <c r="H57" s="340">
        <f>+'INDICE OUTPUT'!H422</f>
        <v>36814.010891712001</v>
      </c>
      <c r="I57" s="340">
        <f>+'INDICE OUTPUT'!I422</f>
        <v>29189.655585461998</v>
      </c>
      <c r="J57" s="340">
        <f>+'INDICE OUTPUT'!J422</f>
        <v>29921.879339999996</v>
      </c>
      <c r="K57" s="340">
        <f>+'INDICE OUTPUT'!K422</f>
        <v>20235.470048700001</v>
      </c>
      <c r="L57" s="340">
        <f>+'INDICE OUTPUT'!L422</f>
        <v>15614.868627599999</v>
      </c>
      <c r="M57" s="340">
        <f>+'INDICE OUTPUT'!M422</f>
        <v>17664.9524962</v>
      </c>
      <c r="N57" s="340">
        <f>+'INDICE OUTPUT'!N422</f>
        <v>16388.472505199999</v>
      </c>
      <c r="O57" s="340">
        <f>+'INDICE OUTPUT'!O422</f>
        <v>32929.882209699994</v>
      </c>
      <c r="P57" s="340">
        <f>+'INDICE OUTPUT'!P422</f>
        <v>5661.8572074999984</v>
      </c>
      <c r="Q57" s="340">
        <f>+'INDICE OUTPUT'!Q422</f>
        <v>8055.3188651999972</v>
      </c>
      <c r="R57" s="340">
        <f>+'INDICE OUTPUT'!R422</f>
        <v>8055.3188651999972</v>
      </c>
      <c r="S57" s="340">
        <f>+'INDICE OUTPUT'!S422</f>
        <v>8055.3188651999972</v>
      </c>
      <c r="T57" s="340">
        <f>+'INDICE OUTPUT'!T422</f>
        <v>4108.7181952999999</v>
      </c>
    </row>
    <row r="58" spans="2:20" ht="15" customHeight="1">
      <c r="B58" s="345" t="s">
        <v>243</v>
      </c>
      <c r="C58" s="340">
        <f>+'INDICE OUTPUT'!C423</f>
        <v>51722.933662774842</v>
      </c>
      <c r="D58" s="340">
        <f>+'INDICE OUTPUT'!D423</f>
        <v>56984.126466599977</v>
      </c>
      <c r="E58" s="340">
        <f>+'INDICE OUTPUT'!E423</f>
        <v>57664.205443999999</v>
      </c>
      <c r="F58" s="340">
        <f>+'INDICE OUTPUT'!F423</f>
        <v>50020.894627713016</v>
      </c>
      <c r="G58" s="340">
        <f>+'INDICE OUTPUT'!G423</f>
        <v>36673.171987000002</v>
      </c>
      <c r="H58" s="340">
        <f>+'INDICE OUTPUT'!H423</f>
        <v>36673.171987000002</v>
      </c>
      <c r="I58" s="340">
        <f>+'INDICE OUTPUT'!I423</f>
        <v>34455.292280491005</v>
      </c>
      <c r="J58" s="340">
        <f>+'INDICE OUTPUT'!J423</f>
        <v>37551.885087100003</v>
      </c>
      <c r="K58" s="340">
        <f>+'INDICE OUTPUT'!K423</f>
        <v>39920.167771500004</v>
      </c>
      <c r="L58" s="340">
        <f>+'INDICE OUTPUT'!L423</f>
        <v>42744.417150000001</v>
      </c>
      <c r="M58" s="340">
        <f>+'INDICE OUTPUT'!M423</f>
        <v>35230.601053299994</v>
      </c>
      <c r="N58" s="340">
        <f>+'INDICE OUTPUT'!N423</f>
        <v>36065.994981700002</v>
      </c>
      <c r="O58" s="340">
        <f>+'INDICE OUTPUT'!O423</f>
        <v>26123.922269199997</v>
      </c>
      <c r="P58" s="340">
        <f>+'INDICE OUTPUT'!P423</f>
        <v>32366.596506199996</v>
      </c>
      <c r="Q58" s="340">
        <f>+'INDICE OUTPUT'!Q423</f>
        <v>42653.485206400001</v>
      </c>
      <c r="R58" s="340">
        <f>+'INDICE OUTPUT'!R423</f>
        <v>46339.257537499994</v>
      </c>
      <c r="S58" s="340">
        <f>+'INDICE OUTPUT'!S423</f>
        <v>46744.236417</v>
      </c>
      <c r="T58" s="340">
        <f>+'INDICE OUTPUT'!T423</f>
        <v>46532.422306400003</v>
      </c>
    </row>
    <row r="59" spans="2:20" ht="15" customHeight="1">
      <c r="B59" s="345" t="s">
        <v>244</v>
      </c>
      <c r="C59" s="340">
        <f>+'INDICE OUTPUT'!C424</f>
        <v>50000.817622705115</v>
      </c>
      <c r="D59" s="340">
        <f>+'INDICE OUTPUT'!D424</f>
        <v>50658.521656670971</v>
      </c>
      <c r="E59" s="340">
        <f>+'INDICE OUTPUT'!E424</f>
        <v>39871.363499299994</v>
      </c>
      <c r="F59" s="340">
        <f>+'INDICE OUTPUT'!F424</f>
        <v>38743.374889300001</v>
      </c>
      <c r="G59" s="340">
        <f>+'INDICE OUTPUT'!G424</f>
        <v>39009.830048899996</v>
      </c>
      <c r="H59" s="340">
        <f>+'INDICE OUTPUT'!H424</f>
        <v>39009.830048899996</v>
      </c>
      <c r="I59" s="340">
        <f>+'INDICE OUTPUT'!I424</f>
        <v>36924.819999699997</v>
      </c>
      <c r="J59" s="340">
        <f>+'INDICE OUTPUT'!J424</f>
        <v>33748.327440000008</v>
      </c>
      <c r="K59" s="340">
        <f>+'INDICE OUTPUT'!K424</f>
        <v>15271.879257100001</v>
      </c>
      <c r="L59" s="340">
        <f>+'INDICE OUTPUT'!L424</f>
        <v>9576.8280060000034</v>
      </c>
      <c r="M59" s="340">
        <f>+'INDICE OUTPUT'!M424</f>
        <v>8723.2991280999995</v>
      </c>
      <c r="N59" s="340">
        <f>+'INDICE OUTPUT'!N424</f>
        <v>7672.7212953000017</v>
      </c>
      <c r="O59" s="340">
        <f>+'INDICE OUTPUT'!O424</f>
        <v>1614.7296047999996</v>
      </c>
      <c r="P59" s="340">
        <f>+'INDICE OUTPUT'!P424</f>
        <v>1371.2541293999996</v>
      </c>
      <c r="Q59" s="340">
        <f>+'INDICE OUTPUT'!Q424</f>
        <v>1950.0713279999995</v>
      </c>
      <c r="R59" s="340">
        <f>+'INDICE OUTPUT'!R424</f>
        <v>8055.3188651999972</v>
      </c>
      <c r="S59" s="340">
        <f>+'INDICE OUTPUT'!S424</f>
        <v>1950.0713279999995</v>
      </c>
      <c r="T59" s="340">
        <f>+'INDICE OUTPUT'!T424</f>
        <v>1229.7805276999995</v>
      </c>
    </row>
    <row r="60" spans="2:20" ht="15" customHeight="1">
      <c r="B60" s="344" t="s">
        <v>27</v>
      </c>
      <c r="C60" s="340">
        <f>+'INDICE OUTPUT'!C425</f>
        <v>260896.12459428568</v>
      </c>
      <c r="D60" s="340">
        <f>+'INDICE OUTPUT'!D425</f>
        <v>257137.83720999997</v>
      </c>
      <c r="E60" s="340">
        <f>+'INDICE OUTPUT'!E425</f>
        <v>261983.09679999997</v>
      </c>
      <c r="F60" s="340">
        <f>+'INDICE OUTPUT'!F425</f>
        <v>242271.37774</v>
      </c>
      <c r="G60" s="340">
        <f>+'INDICE OUTPUT'!G425</f>
        <v>145271.93669159993</v>
      </c>
      <c r="H60" s="340">
        <f>+'INDICE OUTPUT'!H425</f>
        <v>145271.93669159993</v>
      </c>
      <c r="I60" s="340">
        <f>+'INDICE OUTPUT'!I425</f>
        <v>124768.51554680002</v>
      </c>
      <c r="J60" s="340">
        <f>+'INDICE OUTPUT'!J425</f>
        <v>115133.20954589995</v>
      </c>
      <c r="K60" s="340">
        <f>+'INDICE OUTPUT'!K425</f>
        <v>33285.306224299988</v>
      </c>
      <c r="L60" s="340">
        <f>+'INDICE OUTPUT'!L425</f>
        <v>69354.39280809999</v>
      </c>
      <c r="M60" s="340">
        <f>+'INDICE OUTPUT'!M425</f>
        <v>75445.337092799949</v>
      </c>
      <c r="N60" s="340">
        <f>+'INDICE OUTPUT'!N425</f>
        <v>69921.263510300007</v>
      </c>
      <c r="O60" s="340">
        <f>+'INDICE OUTPUT'!O425</f>
        <v>51955.30234580001</v>
      </c>
      <c r="P60" s="340">
        <f>+'INDICE OUTPUT'!P425</f>
        <v>33615.48827880001</v>
      </c>
      <c r="Q60" s="340">
        <f>+'INDICE OUTPUT'!Q425</f>
        <v>38609.144769599996</v>
      </c>
      <c r="R60" s="340">
        <f>+'INDICE OUTPUT'!R425</f>
        <v>46535.907575999983</v>
      </c>
      <c r="S60" s="340">
        <f>+'INDICE OUTPUT'!S425</f>
        <v>36497.333837000006</v>
      </c>
      <c r="T60" s="340">
        <f>+'INDICE OUTPUT'!T425</f>
        <v>31605.936415999997</v>
      </c>
    </row>
    <row r="61" spans="2:20" ht="15" customHeight="1">
      <c r="B61" s="344" t="s">
        <v>245</v>
      </c>
      <c r="C61" s="340">
        <f>+'INDICE OUTPUT'!C426</f>
        <v>31542.733325661953</v>
      </c>
      <c r="D61" s="340">
        <f>+'INDICE OUTPUT'!D426</f>
        <v>35961.263680000004</v>
      </c>
      <c r="E61" s="340">
        <f>+'INDICE OUTPUT'!E426</f>
        <v>41431.037391999998</v>
      </c>
      <c r="F61" s="340">
        <f>+'INDICE OUTPUT'!F426</f>
        <v>42180.160400000001</v>
      </c>
      <c r="G61" s="340">
        <f>+'INDICE OUTPUT'!G426</f>
        <v>60908.398315899998</v>
      </c>
      <c r="H61" s="340">
        <f>+'INDICE OUTPUT'!H426</f>
        <v>60908.398315899998</v>
      </c>
      <c r="I61" s="340">
        <f>+'INDICE OUTPUT'!I426</f>
        <v>113397.54528510002</v>
      </c>
      <c r="J61" s="340">
        <f>+'INDICE OUTPUT'!J426</f>
        <v>132323.91867819999</v>
      </c>
      <c r="K61" s="340">
        <f>+'INDICE OUTPUT'!K426</f>
        <v>154664.31835159997</v>
      </c>
      <c r="L61" s="340">
        <f>+'INDICE OUTPUT'!L426</f>
        <v>156736.09067499998</v>
      </c>
      <c r="M61" s="340">
        <f>+'INDICE OUTPUT'!M426</f>
        <v>173174.13904069999</v>
      </c>
      <c r="N61" s="340">
        <f>+'INDICE OUTPUT'!N426</f>
        <v>225665.59552590002</v>
      </c>
      <c r="O61" s="340">
        <f>+'INDICE OUTPUT'!O426</f>
        <v>327592.88235689997</v>
      </c>
      <c r="P61" s="340">
        <f>+'INDICE OUTPUT'!P426</f>
        <v>431382.43691669992</v>
      </c>
      <c r="Q61" s="340">
        <f>+'INDICE OUTPUT'!Q426</f>
        <v>629353.02517209994</v>
      </c>
      <c r="R61" s="340">
        <f>+'INDICE OUTPUT'!R426</f>
        <v>600854.30633359926</v>
      </c>
      <c r="S61" s="340">
        <f>+'INDICE OUTPUT'!S426</f>
        <v>621359.24441050016</v>
      </c>
      <c r="T61" s="340">
        <f>+'INDICE OUTPUT'!T426</f>
        <v>652600.73395280004</v>
      </c>
    </row>
    <row r="62" spans="2:20" ht="15" customHeight="1">
      <c r="B62" s="344" t="s">
        <v>247</v>
      </c>
      <c r="C62" s="340">
        <f>+'INDICE OUTPUT'!C427</f>
        <v>1287920.9889484257</v>
      </c>
      <c r="D62" s="340">
        <f>+'INDICE OUTPUT'!D427</f>
        <v>1624606.5461436666</v>
      </c>
      <c r="E62" s="340">
        <f>+'INDICE OUTPUT'!E427</f>
        <v>1636014.1561935274</v>
      </c>
      <c r="F62" s="340">
        <f>+'INDICE OUTPUT'!F427</f>
        <v>1374582.852709549</v>
      </c>
      <c r="G62" s="340">
        <f>+'INDICE OUTPUT'!G427</f>
        <v>2071210.9896049434</v>
      </c>
      <c r="H62" s="340">
        <f>+'INDICE OUTPUT'!H427</f>
        <v>2071210.9896049434</v>
      </c>
      <c r="I62" s="340">
        <f>+'INDICE OUTPUT'!I427</f>
        <v>2716833.785298347</v>
      </c>
      <c r="J62" s="340">
        <f>+'INDICE OUTPUT'!J427</f>
        <v>3793367.5113735003</v>
      </c>
      <c r="K62" s="340">
        <f>+'INDICE OUTPUT'!K427</f>
        <v>4975175.3133581998</v>
      </c>
      <c r="L62" s="340">
        <f>+'INDICE OUTPUT'!L427</f>
        <v>6468591.3965562005</v>
      </c>
      <c r="M62" s="340">
        <f>+'INDICE OUTPUT'!M427</f>
        <v>7401587.7228942979</v>
      </c>
      <c r="N62" s="340">
        <f>+'INDICE OUTPUT'!N427</f>
        <v>9994332.2620854005</v>
      </c>
      <c r="O62" s="340">
        <f>+'INDICE OUTPUT'!O427</f>
        <v>11032503.763351999</v>
      </c>
      <c r="P62" s="340">
        <f>+'INDICE OUTPUT'!P427</f>
        <v>11923252.239475697</v>
      </c>
      <c r="Q62" s="340">
        <f>+'INDICE OUTPUT'!Q427</f>
        <v>13249637.753389096</v>
      </c>
      <c r="R62" s="340">
        <f>+'INDICE OUTPUT'!R427</f>
        <v>13668350.762908801</v>
      </c>
      <c r="S62" s="340">
        <f>+'INDICE OUTPUT'!S427</f>
        <v>13272859.285905503</v>
      </c>
      <c r="T62" s="340">
        <f>+'INDICE OUTPUT'!T427</f>
        <v>15317341.664896902</v>
      </c>
    </row>
    <row r="63" spans="2:20" ht="15" customHeight="1">
      <c r="B63" s="344" t="s">
        <v>246</v>
      </c>
      <c r="C63" s="340">
        <f>+'INDICE OUTPUT'!C428</f>
        <v>23792.011479191824</v>
      </c>
      <c r="D63" s="340">
        <f>+'INDICE OUTPUT'!D428</f>
        <v>80811.022703306007</v>
      </c>
      <c r="E63" s="340">
        <f>+'INDICE OUTPUT'!E428</f>
        <v>78683.918103264979</v>
      </c>
      <c r="F63" s="340">
        <f>+'INDICE OUTPUT'!F428</f>
        <v>72382.498964800005</v>
      </c>
      <c r="G63" s="340">
        <f>+'INDICE OUTPUT'!G428</f>
        <v>15751.523739099999</v>
      </c>
      <c r="H63" s="340">
        <f>+'INDICE OUTPUT'!H428</f>
        <v>15751.523739099999</v>
      </c>
      <c r="I63" s="340">
        <f>+'INDICE OUTPUT'!I428</f>
        <v>54084.665599999993</v>
      </c>
      <c r="J63" s="340">
        <f>+'INDICE OUTPUT'!J428</f>
        <v>58546.230599999995</v>
      </c>
      <c r="K63" s="340">
        <f>+'INDICE OUTPUT'!K428</f>
        <v>59333.565599999994</v>
      </c>
      <c r="L63" s="340">
        <f>+'INDICE OUTPUT'!L428</f>
        <v>59333.565599999994</v>
      </c>
      <c r="M63" s="340">
        <f>+'INDICE OUTPUT'!M428</f>
        <v>45161.535599999996</v>
      </c>
      <c r="N63" s="340">
        <f>+'INDICE OUTPUT'!N428</f>
        <v>30989.505599999997</v>
      </c>
      <c r="O63" s="340">
        <f>+'INDICE OUTPUT'!O428</f>
        <v>78481.552800000005</v>
      </c>
      <c r="P63" s="340">
        <f>+'INDICE OUTPUT'!P428</f>
        <v>132272.28</v>
      </c>
      <c r="Q63" s="340">
        <f>+'INDICE OUTPUT'!Q428</f>
        <v>138885.894</v>
      </c>
      <c r="R63" s="340">
        <f>+'INDICE OUTPUT'!R428</f>
        <v>145833.33804</v>
      </c>
      <c r="S63" s="340">
        <f>+'INDICE OUTPUT'!S428</f>
        <v>153120.91079999998</v>
      </c>
      <c r="T63" s="340">
        <f>+'INDICE OUTPUT'!T428</f>
        <v>160780.10568000001</v>
      </c>
    </row>
    <row r="64" spans="2:20" ht="15" customHeight="1">
      <c r="B64" s="344" t="s">
        <v>350</v>
      </c>
      <c r="C64" s="340">
        <f>+'INDICE OUTPUT'!C429</f>
        <v>1040050.2745497109</v>
      </c>
      <c r="D64" s="340">
        <f>+'INDICE OUTPUT'!D429</f>
        <v>1655857.9328800996</v>
      </c>
      <c r="E64" s="340">
        <f>+'INDICE OUTPUT'!E429</f>
        <v>1788357.705455</v>
      </c>
      <c r="F64" s="340">
        <f>+'INDICE OUTPUT'!F429</f>
        <v>1776781.1882692997</v>
      </c>
      <c r="G64" s="340">
        <f>+'INDICE OUTPUT'!G429</f>
        <v>1938874.2695419998</v>
      </c>
      <c r="H64" s="340">
        <f>+'INDICE OUTPUT'!H429</f>
        <v>1938874.2695419998</v>
      </c>
      <c r="I64" s="340">
        <f>+'INDICE OUTPUT'!I429</f>
        <v>2157171.2020517997</v>
      </c>
      <c r="J64" s="340">
        <f>+'INDICE OUTPUT'!J429</f>
        <v>2789668.764480399</v>
      </c>
      <c r="K64" s="340">
        <f>+'INDICE OUTPUT'!K429</f>
        <v>3184502.5595626002</v>
      </c>
      <c r="L64" s="340">
        <f>+'INDICE OUTPUT'!L429</f>
        <v>3927562.1222649999</v>
      </c>
      <c r="M64" s="340">
        <f>+'INDICE OUTPUT'!M429</f>
        <v>4894045.2496006005</v>
      </c>
      <c r="N64" s="340">
        <f>+'INDICE OUTPUT'!N429</f>
        <v>6566310.7767286003</v>
      </c>
      <c r="O64" s="340">
        <f>+'INDICE OUTPUT'!O429</f>
        <v>7551065.0940125985</v>
      </c>
      <c r="P64" s="340">
        <f>+'INDICE OUTPUT'!P429</f>
        <v>7693426.1114888983</v>
      </c>
      <c r="Q64" s="340">
        <f>+'INDICE OUTPUT'!Q429</f>
        <v>7696205.125847199</v>
      </c>
      <c r="R64" s="340">
        <f>+'INDICE OUTPUT'!R429</f>
        <v>7501020.7481919993</v>
      </c>
      <c r="S64" s="340">
        <f>+'INDICE OUTPUT'!S429</f>
        <v>9207453.5279667974</v>
      </c>
      <c r="T64" s="340">
        <f>+'INDICE OUTPUT'!T429</f>
        <v>11909570.4514868</v>
      </c>
    </row>
    <row r="65" spans="1:23" ht="15" customHeight="1">
      <c r="B65" s="344" t="s">
        <v>309</v>
      </c>
      <c r="C65" s="340">
        <f>+'INDICE OUTPUT'!C430</f>
        <v>192273.64815775532</v>
      </c>
      <c r="D65" s="340">
        <f>+'INDICE OUTPUT'!D430</f>
        <v>321417.36254649999</v>
      </c>
      <c r="E65" s="340">
        <f>+'INDICE OUTPUT'!E430</f>
        <v>344431.90469140001</v>
      </c>
      <c r="F65" s="340">
        <f>+'INDICE OUTPUT'!F430</f>
        <v>394719.54227589996</v>
      </c>
      <c r="G65" s="340">
        <f>+'INDICE OUTPUT'!G430</f>
        <v>690678.20189469995</v>
      </c>
      <c r="H65" s="340">
        <f>+'INDICE OUTPUT'!H430</f>
        <v>690678.20189469995</v>
      </c>
      <c r="I65" s="340">
        <f>+'INDICE OUTPUT'!I430</f>
        <v>849358.4483873999</v>
      </c>
      <c r="J65" s="340">
        <f>+'INDICE OUTPUT'!J430</f>
        <v>1191599.4149787</v>
      </c>
      <c r="K65" s="340">
        <f>+'INDICE OUTPUT'!K430</f>
        <v>1452360.7725658</v>
      </c>
      <c r="L65" s="340">
        <f>+'INDICE OUTPUT'!L430</f>
        <v>1558198.3744209995</v>
      </c>
      <c r="M65" s="340">
        <f>+'INDICE OUTPUT'!M430</f>
        <v>2143296.3017830001</v>
      </c>
      <c r="N65" s="340">
        <f>+'INDICE OUTPUT'!N430</f>
        <v>2714385.7023799997</v>
      </c>
      <c r="O65" s="340">
        <f>+'INDICE OUTPUT'!O430</f>
        <v>3218535.0781953</v>
      </c>
      <c r="P65" s="340">
        <f>+'INDICE OUTPUT'!P430</f>
        <v>3826507.9374599997</v>
      </c>
      <c r="Q65" s="340">
        <f>+'INDICE OUTPUT'!Q430</f>
        <v>3961886.6896937001</v>
      </c>
      <c r="R65" s="340">
        <f>+'INDICE OUTPUT'!R430</f>
        <v>4168600.3286878997</v>
      </c>
      <c r="S65" s="340">
        <f>+'INDICE OUTPUT'!S430</f>
        <v>4319732.1005972</v>
      </c>
      <c r="T65" s="340">
        <f>+'INDICE OUTPUT'!T430</f>
        <v>5716078.2920109993</v>
      </c>
    </row>
    <row r="66" spans="1:23" ht="15" customHeight="1">
      <c r="B66" s="344" t="s">
        <v>308</v>
      </c>
      <c r="C66" s="340">
        <f>+'INDICE OUTPUT'!C431</f>
        <v>156493.64214091594</v>
      </c>
      <c r="D66" s="340">
        <f>+'INDICE OUTPUT'!D431</f>
        <v>250303.0503107</v>
      </c>
      <c r="E66" s="340">
        <f>+'INDICE OUTPUT'!E431</f>
        <v>237135.36058340003</v>
      </c>
      <c r="F66" s="340">
        <f>+'INDICE OUTPUT'!F431</f>
        <v>219071.87485689999</v>
      </c>
      <c r="G66" s="340">
        <f>+'INDICE OUTPUT'!G431</f>
        <v>229818.97136239999</v>
      </c>
      <c r="H66" s="340">
        <f>+'INDICE OUTPUT'!H431</f>
        <v>229818.97136239999</v>
      </c>
      <c r="I66" s="340">
        <f>+'INDICE OUTPUT'!I431</f>
        <v>248736.97800889995</v>
      </c>
      <c r="J66" s="340">
        <f>+'INDICE OUTPUT'!J431</f>
        <v>293427.37234490004</v>
      </c>
      <c r="K66" s="340">
        <f>+'INDICE OUTPUT'!K431</f>
        <v>432746.97770300001</v>
      </c>
      <c r="L66" s="340">
        <f>+'INDICE OUTPUT'!L431</f>
        <v>477513.72778729995</v>
      </c>
      <c r="M66" s="340">
        <f>+'INDICE OUTPUT'!M431</f>
        <v>573849.65538669983</v>
      </c>
      <c r="N66" s="340">
        <f>+'INDICE OUTPUT'!N431</f>
        <v>760260.00329529995</v>
      </c>
      <c r="O66" s="340">
        <f>+'INDICE OUTPUT'!O431</f>
        <v>864057.74613909994</v>
      </c>
      <c r="P66" s="340">
        <f>+'INDICE OUTPUT'!P431</f>
        <v>1045362.9824143001</v>
      </c>
      <c r="Q66" s="340">
        <f>+'INDICE OUTPUT'!Q431</f>
        <v>1196684.6647745001</v>
      </c>
      <c r="R66" s="340">
        <f>+'INDICE OUTPUT'!R431</f>
        <v>1246484.8160204003</v>
      </c>
      <c r="S66" s="340">
        <f>+'INDICE OUTPUT'!S431</f>
        <v>1573132.2455136999</v>
      </c>
      <c r="T66" s="340">
        <f>+'INDICE OUTPUT'!T431</f>
        <v>1887163.7339009992</v>
      </c>
    </row>
    <row r="67" spans="1:23" ht="15" customHeight="1">
      <c r="B67" s="344" t="s">
        <v>278</v>
      </c>
      <c r="C67" s="340">
        <f>+'INDICE OUTPUT'!C432</f>
        <v>14786.896649616267</v>
      </c>
      <c r="D67" s="340">
        <f>+'INDICE OUTPUT'!D432</f>
        <v>173158.87348986667</v>
      </c>
      <c r="E67" s="340">
        <f>+'INDICE OUTPUT'!E432</f>
        <v>137382.13139009997</v>
      </c>
      <c r="F67" s="340">
        <f>+'INDICE OUTPUT'!F432</f>
        <v>200559.83388310001</v>
      </c>
      <c r="G67" s="340">
        <f>+'INDICE OUTPUT'!G432</f>
        <v>270721.06135469995</v>
      </c>
      <c r="H67" s="340">
        <f>+'INDICE OUTPUT'!H432</f>
        <v>270721.06135469995</v>
      </c>
      <c r="I67" s="340">
        <f>+'INDICE OUTPUT'!I432</f>
        <v>322663.5563845</v>
      </c>
      <c r="J67" s="340">
        <f>+'INDICE OUTPUT'!J432</f>
        <v>301223.99917360005</v>
      </c>
      <c r="K67" s="340">
        <f>+'INDICE OUTPUT'!K432</f>
        <v>650835.56562510005</v>
      </c>
      <c r="L67" s="340">
        <f>+'INDICE OUTPUT'!L432</f>
        <v>865058.25471479993</v>
      </c>
      <c r="M67" s="340">
        <f>+'INDICE OUTPUT'!M432</f>
        <v>1036512.198003</v>
      </c>
      <c r="N67" s="340">
        <f>+'INDICE OUTPUT'!N432</f>
        <v>1137555.3811136</v>
      </c>
      <c r="O67" s="340">
        <f>+'INDICE OUTPUT'!O432</f>
        <v>1349134.4039803997</v>
      </c>
      <c r="P67" s="340">
        <f>+'INDICE OUTPUT'!P432</f>
        <v>1378838.2492632999</v>
      </c>
      <c r="Q67" s="340">
        <f>+'INDICE OUTPUT'!Q432</f>
        <v>1416327.1895416002</v>
      </c>
      <c r="R67" s="340">
        <f>+'INDICE OUTPUT'!R432</f>
        <v>1551524.7969873995</v>
      </c>
      <c r="S67" s="340">
        <f>+'INDICE OUTPUT'!S432</f>
        <v>1973000.9639385</v>
      </c>
      <c r="T67" s="340">
        <f>+'INDICE OUTPUT'!T432</f>
        <v>2203840.1639938997</v>
      </c>
    </row>
    <row r="68" spans="1:23" ht="15" customHeight="1">
      <c r="B68" s="345" t="s">
        <v>361</v>
      </c>
      <c r="C68" s="346">
        <f>+'INDICE OUTPUT'!C433</f>
        <v>474983.24231960496</v>
      </c>
      <c r="D68" s="346">
        <f>+'INDICE OUTPUT'!D433</f>
        <v>719112.60602937697</v>
      </c>
      <c r="E68" s="346">
        <f>+'INDICE OUTPUT'!E433</f>
        <v>1081039.3822121941</v>
      </c>
      <c r="F68" s="346">
        <f>+'INDICE OUTPUT'!F433</f>
        <v>1349287.1952386959</v>
      </c>
      <c r="G68" s="346">
        <f>+'INDICE OUTPUT'!G433</f>
        <v>1139595.9195147008</v>
      </c>
      <c r="H68" s="346">
        <f>+'INDICE OUTPUT'!H433</f>
        <v>1139595.919514697</v>
      </c>
      <c r="I68" s="346">
        <f>+'INDICE OUTPUT'!I433</f>
        <v>1016455.9290228363</v>
      </c>
      <c r="J68" s="346">
        <f>+'INDICE OUTPUT'!J433</f>
        <v>1627861.6239167037</v>
      </c>
      <c r="K68" s="346">
        <f>+'INDICE OUTPUT'!K433</f>
        <v>1294764.4780863996</v>
      </c>
      <c r="L68" s="346">
        <f>+'INDICE OUTPUT'!L433</f>
        <v>1895915.6716567373</v>
      </c>
      <c r="M68" s="346">
        <f>+'INDICE OUTPUT'!M433</f>
        <v>2427353.8477406427</v>
      </c>
      <c r="N68" s="346">
        <f>+'INDICE OUTPUT'!N433</f>
        <v>2459689.9336701296</v>
      </c>
      <c r="O68" s="346">
        <f>+'INDICE OUTPUT'!O433</f>
        <v>3074246.8405128755</v>
      </c>
      <c r="P68" s="346">
        <f>+'INDICE OUTPUT'!P433</f>
        <v>3658129.7545407768</v>
      </c>
      <c r="Q68" s="346">
        <f>+'INDICE OUTPUT'!Q433</f>
        <v>4591660.3307881216</v>
      </c>
      <c r="R68" s="346">
        <f>+'INDICE OUTPUT'!R433</f>
        <v>3623248.8780198805</v>
      </c>
      <c r="S68" s="346">
        <f>+'INDICE OUTPUT'!S433</f>
        <v>3994262.7825609953</v>
      </c>
      <c r="T68" s="346">
        <f>+'INDICE OUTPUT'!T433</f>
        <v>4402202.9185919967</v>
      </c>
    </row>
    <row r="69" spans="1:23" s="14" customFormat="1" ht="15" customHeight="1" thickBot="1">
      <c r="B69" s="15"/>
      <c r="C69" s="16"/>
      <c r="D69" s="16"/>
      <c r="E69" s="16"/>
      <c r="F69" s="16"/>
      <c r="G69" s="16"/>
      <c r="H69" s="16"/>
      <c r="I69" s="16"/>
      <c r="J69" s="16"/>
    </row>
    <row r="70" spans="1:23" ht="20.25" customHeight="1">
      <c r="B70" s="17" t="s">
        <v>8</v>
      </c>
      <c r="C70" s="18">
        <f t="shared" ref="C70:O70" si="2">SUM(C4:C68)</f>
        <v>23411249.129258707</v>
      </c>
      <c r="D70" s="19">
        <f t="shared" si="2"/>
        <v>27720378.890117582</v>
      </c>
      <c r="E70" s="19">
        <f t="shared" si="2"/>
        <v>30830882.396099996</v>
      </c>
      <c r="F70" s="19">
        <f t="shared" si="2"/>
        <v>33363457.73999998</v>
      </c>
      <c r="G70" s="20">
        <f t="shared" si="2"/>
        <v>38432053.482877001</v>
      </c>
      <c r="H70" s="19">
        <f t="shared" si="2"/>
        <v>39393563.098999992</v>
      </c>
      <c r="I70" s="19">
        <f t="shared" si="2"/>
        <v>43967132.497000098</v>
      </c>
      <c r="J70" s="19">
        <f t="shared" si="2"/>
        <v>54030547.891999975</v>
      </c>
      <c r="K70" s="19">
        <f t="shared" si="2"/>
        <v>61172119.764537796</v>
      </c>
      <c r="L70" s="19">
        <f t="shared" si="2"/>
        <v>68998202.40092437</v>
      </c>
      <c r="M70" s="19">
        <f t="shared" si="2"/>
        <v>78496539.930294126</v>
      </c>
      <c r="N70" s="19">
        <f t="shared" si="2"/>
        <v>92810798.888546839</v>
      </c>
      <c r="O70" s="19">
        <f t="shared" si="2"/>
        <v>106340620.18440014</v>
      </c>
      <c r="P70" s="19">
        <f t="shared" ref="P70:S70" si="3">SUM(P4:P68)</f>
        <v>118437796.26594913</v>
      </c>
      <c r="Q70" s="19">
        <f t="shared" si="3"/>
        <v>126209455.04299995</v>
      </c>
      <c r="R70" s="19">
        <f t="shared" si="3"/>
        <v>135041658.37799999</v>
      </c>
      <c r="S70" s="19">
        <f t="shared" si="3"/>
        <v>146398017.40349162</v>
      </c>
      <c r="T70" s="19">
        <f>SUM(T4:T68)</f>
        <v>161546711.8817119</v>
      </c>
    </row>
    <row r="71" spans="1:23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9"/>
      <c r="M71" s="29"/>
      <c r="N71" s="29"/>
      <c r="O71" s="29"/>
      <c r="P71" s="29"/>
      <c r="Q71" s="29"/>
      <c r="R71" s="29"/>
      <c r="S71" s="29"/>
      <c r="T71" s="29"/>
    </row>
    <row r="72" spans="1:23" ht="15" customHeight="1" thickBot="1">
      <c r="L72" s="29"/>
      <c r="M72" s="29"/>
      <c r="N72" s="29"/>
      <c r="O72" s="29"/>
      <c r="P72" s="29"/>
      <c r="Q72" s="29"/>
      <c r="R72" s="29"/>
      <c r="S72" s="29"/>
      <c r="T72" s="29"/>
    </row>
    <row r="73" spans="1:23" ht="20.25" customHeight="1" thickBot="1">
      <c r="B73" s="5" t="s">
        <v>279</v>
      </c>
      <c r="C73" s="6">
        <v>2001</v>
      </c>
      <c r="D73" s="6">
        <f>C73+1</f>
        <v>2002</v>
      </c>
      <c r="E73" s="6">
        <f>D73+1</f>
        <v>2003</v>
      </c>
      <c r="F73" s="6">
        <f>E73+1</f>
        <v>2004</v>
      </c>
      <c r="G73" s="7">
        <f>F73+1</f>
        <v>2005</v>
      </c>
      <c r="H73" s="6">
        <f>F73+1</f>
        <v>2005</v>
      </c>
      <c r="I73" s="6">
        <f t="shared" ref="I73:O73" si="4">H73+1</f>
        <v>2006</v>
      </c>
      <c r="J73" s="6">
        <f t="shared" si="4"/>
        <v>2007</v>
      </c>
      <c r="K73" s="6">
        <f t="shared" si="4"/>
        <v>2008</v>
      </c>
      <c r="L73" s="6">
        <f t="shared" si="4"/>
        <v>2009</v>
      </c>
      <c r="M73" s="6">
        <f t="shared" si="4"/>
        <v>2010</v>
      </c>
      <c r="N73" s="6">
        <f t="shared" si="4"/>
        <v>2011</v>
      </c>
      <c r="O73" s="6">
        <f t="shared" si="4"/>
        <v>2012</v>
      </c>
      <c r="P73" s="6">
        <f t="shared" ref="P73:T73" si="5">O73+1</f>
        <v>2013</v>
      </c>
      <c r="Q73" s="6">
        <f t="shared" si="5"/>
        <v>2014</v>
      </c>
      <c r="R73" s="6">
        <f t="shared" si="5"/>
        <v>2015</v>
      </c>
      <c r="S73" s="6">
        <f t="shared" si="5"/>
        <v>2016</v>
      </c>
      <c r="T73" s="6">
        <f t="shared" si="5"/>
        <v>2017</v>
      </c>
    </row>
    <row r="74" spans="1:23" ht="15" customHeight="1">
      <c r="B74" s="21" t="s">
        <v>61</v>
      </c>
      <c r="C74" s="22">
        <f>OUTPUT!D7</f>
        <v>1086791</v>
      </c>
      <c r="D74" s="22">
        <f>OUTPUT!F7</f>
        <v>1142547</v>
      </c>
      <c r="E74" s="22">
        <f>OUTPUT!H7</f>
        <v>1163468</v>
      </c>
      <c r="F74" s="22">
        <f>OUTPUT!J7</f>
        <v>1293180</v>
      </c>
      <c r="G74" s="22">
        <f>+H74</f>
        <v>1452775</v>
      </c>
      <c r="H74" s="22">
        <f>OUTPUT!L7</f>
        <v>1452775</v>
      </c>
      <c r="I74" s="22">
        <f>OUTPUT!N7</f>
        <v>1494058</v>
      </c>
      <c r="J74" s="22">
        <f>OUTPUT!P7</f>
        <v>1800049</v>
      </c>
      <c r="K74" s="22">
        <f>OUTPUT!R7</f>
        <v>1973572</v>
      </c>
      <c r="L74" s="22">
        <f>OUTPUT!T7</f>
        <v>2042407</v>
      </c>
      <c r="M74" s="22">
        <f>OUTPUT!V7</f>
        <v>2126614</v>
      </c>
      <c r="N74" s="22">
        <f>OUTPUT!X7</f>
        <v>2356231.0024514114</v>
      </c>
      <c r="O74" s="22">
        <f>OUTPUT!Z7</f>
        <v>2587509.0029000002</v>
      </c>
      <c r="P74" s="22">
        <f>OUTPUT!AB7</f>
        <v>2871852.2780999998</v>
      </c>
      <c r="Q74" s="22">
        <f>OUTPUT!AD7</f>
        <v>2921130</v>
      </c>
      <c r="R74" s="22">
        <f>OUTPUT!AF7</f>
        <v>3120505.9737296877</v>
      </c>
      <c r="S74" s="22">
        <f>OUTPUT!AH7</f>
        <v>3373695.6978886751</v>
      </c>
      <c r="T74" s="22">
        <f>OUTPUT!AJ7</f>
        <v>3627592.9537850935</v>
      </c>
      <c r="V74" s="696"/>
      <c r="W74" s="696"/>
    </row>
    <row r="75" spans="1:23" ht="15" customHeight="1">
      <c r="B75" s="11" t="s">
        <v>62</v>
      </c>
      <c r="C75" s="23">
        <f>OUTPUT!D8</f>
        <v>986456</v>
      </c>
      <c r="D75" s="23">
        <f>OUTPUT!F8</f>
        <v>948351</v>
      </c>
      <c r="E75" s="23">
        <f>OUTPUT!H8</f>
        <v>986702</v>
      </c>
      <c r="F75" s="23">
        <f>OUTPUT!J8</f>
        <v>1093258</v>
      </c>
      <c r="G75" s="23">
        <f>+H75</f>
        <v>1179050</v>
      </c>
      <c r="H75" s="23">
        <f>OUTPUT!L8</f>
        <v>1179050</v>
      </c>
      <c r="I75" s="23">
        <f>OUTPUT!N8</f>
        <v>1312059</v>
      </c>
      <c r="J75" s="23">
        <f>OUTPUT!P8</f>
        <v>1706094</v>
      </c>
      <c r="K75" s="23">
        <f>OUTPUT!R8</f>
        <v>1874795</v>
      </c>
      <c r="L75" s="23">
        <f>OUTPUT!T8</f>
        <v>1980482</v>
      </c>
      <c r="M75" s="23">
        <f>OUTPUT!V8</f>
        <v>2561931</v>
      </c>
      <c r="N75" s="23">
        <f>OUTPUT!X8</f>
        <v>2997834.9797341949</v>
      </c>
      <c r="O75" s="23">
        <f>OUTPUT!Z8</f>
        <v>3474612.9995999997</v>
      </c>
      <c r="P75" s="23">
        <f>OUTPUT!AB8</f>
        <v>3993359.1954000001</v>
      </c>
      <c r="Q75" s="23">
        <f>OUTPUT!AD8</f>
        <v>4274996.5060000001</v>
      </c>
      <c r="R75" s="23">
        <f>OUTPUT!AF8</f>
        <v>4770048.0609756103</v>
      </c>
      <c r="S75" s="23">
        <f>OUTPUT!AH8</f>
        <v>5255363.6430377373</v>
      </c>
      <c r="T75" s="23">
        <f>OUTPUT!AJ8</f>
        <v>5732958.1562878862</v>
      </c>
      <c r="V75" s="696"/>
    </row>
    <row r="76" spans="1:23" ht="15" customHeight="1">
      <c r="B76" s="11" t="s">
        <v>588</v>
      </c>
      <c r="C76" s="23">
        <f>OUTPUT!D9</f>
        <v>0</v>
      </c>
      <c r="D76" s="23">
        <f>OUTPUT!F9</f>
        <v>0</v>
      </c>
      <c r="E76" s="23">
        <f>OUTPUT!H9</f>
        <v>0</v>
      </c>
      <c r="F76" s="23">
        <f>OUTPUT!J9</f>
        <v>0</v>
      </c>
      <c r="G76" s="23">
        <f>+H76</f>
        <v>0</v>
      </c>
      <c r="H76" s="23">
        <f>OUTPUT!L9</f>
        <v>0</v>
      </c>
      <c r="I76" s="23">
        <f>OUTPUT!N9</f>
        <v>0</v>
      </c>
      <c r="J76" s="23">
        <f>OUTPUT!P9</f>
        <v>0</v>
      </c>
      <c r="K76" s="23">
        <f>OUTPUT!R9</f>
        <v>0</v>
      </c>
      <c r="L76" s="23">
        <f>OUTPUT!T9</f>
        <v>0</v>
      </c>
      <c r="M76" s="23">
        <f>OUTPUT!V9</f>
        <v>0</v>
      </c>
      <c r="N76" s="23">
        <f>OUTPUT!X9</f>
        <v>0</v>
      </c>
      <c r="O76" s="23">
        <f>OUTPUT!Z9</f>
        <v>0</v>
      </c>
      <c r="P76" s="23">
        <f>OUTPUT!AB9</f>
        <v>0</v>
      </c>
      <c r="Q76" s="23">
        <f>OUTPUT!AD9</f>
        <v>0</v>
      </c>
      <c r="R76" s="23">
        <f>OUTPUT!AF9</f>
        <v>0</v>
      </c>
      <c r="S76" s="23">
        <f>OUTPUT!AH9</f>
        <v>0</v>
      </c>
      <c r="T76" s="23">
        <f>OUTPUT!AJ9</f>
        <v>0</v>
      </c>
      <c r="V76" s="696"/>
    </row>
    <row r="77" spans="1:23" ht="15" customHeight="1">
      <c r="B77" s="11" t="s">
        <v>310</v>
      </c>
      <c r="C77" s="23">
        <f>+OUTPUT!D14</f>
        <v>390.03861966576574</v>
      </c>
      <c r="D77" s="23">
        <f>+OUTPUT!F14</f>
        <v>320</v>
      </c>
      <c r="E77" s="23">
        <f>+OUTPUT!H14</f>
        <v>353</v>
      </c>
      <c r="F77" s="23">
        <f>+OUTPUT!J14</f>
        <v>288</v>
      </c>
      <c r="G77" s="23">
        <f t="shared" ref="G77:G118" si="6">+H77</f>
        <v>295</v>
      </c>
      <c r="H77" s="23">
        <f>+OUTPUT!L14</f>
        <v>295</v>
      </c>
      <c r="I77" s="23">
        <f>+OUTPUT!N14</f>
        <v>347</v>
      </c>
      <c r="J77" s="23">
        <f>+OUTPUT!P14</f>
        <v>384</v>
      </c>
      <c r="K77" s="23">
        <f>+OUTPUT!R14</f>
        <v>463</v>
      </c>
      <c r="L77" s="23">
        <f>+OUTPUT!T14</f>
        <v>508</v>
      </c>
      <c r="M77" s="23">
        <f>+OUTPUT!V14</f>
        <v>551</v>
      </c>
      <c r="N77" s="23">
        <f>+OUTPUT!X14</f>
        <v>497</v>
      </c>
      <c r="O77" s="23">
        <f>+OUTPUT!Z14</f>
        <v>560</v>
      </c>
      <c r="P77" s="23">
        <f>+OUTPUT!AB14</f>
        <v>436</v>
      </c>
      <c r="Q77" s="23">
        <f>+OUTPUT!AD14</f>
        <v>549</v>
      </c>
      <c r="R77" s="23">
        <f>+OUTPUT!AF14</f>
        <v>411</v>
      </c>
      <c r="S77" s="23">
        <f>+OUTPUT!AH14</f>
        <v>369</v>
      </c>
      <c r="T77" s="23">
        <f>+OUTPUT!AJ14</f>
        <v>398</v>
      </c>
      <c r="V77" s="696"/>
    </row>
    <row r="78" spans="1:23" ht="15" customHeight="1">
      <c r="B78" s="11" t="s">
        <v>311</v>
      </c>
      <c r="C78" s="23">
        <f>+OUTPUT!D15</f>
        <v>228.56490540180442</v>
      </c>
      <c r="D78" s="23">
        <f>+OUTPUT!F15</f>
        <v>292</v>
      </c>
      <c r="E78" s="23">
        <f>+OUTPUT!H15</f>
        <v>265</v>
      </c>
      <c r="F78" s="23">
        <f>+OUTPUT!J15</f>
        <v>232</v>
      </c>
      <c r="G78" s="23">
        <f t="shared" si="6"/>
        <v>204</v>
      </c>
      <c r="H78" s="23">
        <f>+OUTPUT!L15</f>
        <v>204</v>
      </c>
      <c r="I78" s="23">
        <f>+OUTPUT!N15</f>
        <v>185</v>
      </c>
      <c r="J78" s="23">
        <f>+OUTPUT!P15</f>
        <v>179</v>
      </c>
      <c r="K78" s="23">
        <f>+OUTPUT!R15</f>
        <v>198</v>
      </c>
      <c r="L78" s="23">
        <f>+OUTPUT!T15</f>
        <v>185</v>
      </c>
      <c r="M78" s="23">
        <f>+OUTPUT!V15</f>
        <v>267</v>
      </c>
      <c r="N78" s="23">
        <f>+OUTPUT!X15</f>
        <v>267</v>
      </c>
      <c r="O78" s="23">
        <f>+OUTPUT!Z15</f>
        <v>340</v>
      </c>
      <c r="P78" s="23">
        <f>+OUTPUT!AB15</f>
        <v>328</v>
      </c>
      <c r="Q78" s="23">
        <f>+OUTPUT!AD15</f>
        <v>327</v>
      </c>
      <c r="R78" s="23">
        <f>+OUTPUT!AF15</f>
        <v>323</v>
      </c>
      <c r="S78" s="23">
        <f>+OUTPUT!AH15</f>
        <v>355</v>
      </c>
      <c r="T78" s="23">
        <f>+OUTPUT!AJ15</f>
        <v>275</v>
      </c>
      <c r="V78" s="696"/>
    </row>
    <row r="79" spans="1:23" ht="15" customHeight="1">
      <c r="B79" s="11" t="s">
        <v>312</v>
      </c>
      <c r="C79" s="23">
        <f>+OUTPUT!D16</f>
        <v>376.39295367162816</v>
      </c>
      <c r="D79" s="23">
        <f>+OUTPUT!F16</f>
        <v>329</v>
      </c>
      <c r="E79" s="23">
        <f>+OUTPUT!H16</f>
        <v>277</v>
      </c>
      <c r="F79" s="23">
        <f>+OUTPUT!J16</f>
        <v>209</v>
      </c>
      <c r="G79" s="23">
        <f t="shared" si="6"/>
        <v>63</v>
      </c>
      <c r="H79" s="23">
        <f>+OUTPUT!L16</f>
        <v>63</v>
      </c>
      <c r="I79" s="23">
        <f>+OUTPUT!N16</f>
        <v>320</v>
      </c>
      <c r="J79" s="23">
        <f>+OUTPUT!P16</f>
        <v>744</v>
      </c>
      <c r="K79" s="23">
        <f>+OUTPUT!R16</f>
        <v>1312</v>
      </c>
      <c r="L79" s="23">
        <f>+OUTPUT!T16</f>
        <v>2059</v>
      </c>
      <c r="M79" s="23">
        <f>+OUTPUT!V16</f>
        <v>1669</v>
      </c>
      <c r="N79" s="23">
        <f>+OUTPUT!X16</f>
        <v>2870</v>
      </c>
      <c r="O79" s="23">
        <f>+OUTPUT!Z16</f>
        <v>3038</v>
      </c>
      <c r="P79" s="23">
        <f>+OUTPUT!AB16</f>
        <v>2857</v>
      </c>
      <c r="Q79" s="23">
        <f>+OUTPUT!AD16</f>
        <v>2617</v>
      </c>
      <c r="R79" s="23">
        <f>+OUTPUT!AF16</f>
        <v>2785</v>
      </c>
      <c r="S79" s="23">
        <f>+OUTPUT!AH16</f>
        <v>3427</v>
      </c>
      <c r="T79" s="23">
        <f>+OUTPUT!AJ16</f>
        <v>3250</v>
      </c>
      <c r="V79" s="696"/>
    </row>
    <row r="80" spans="1:23" ht="15" customHeight="1">
      <c r="B80" s="11" t="s">
        <v>313</v>
      </c>
      <c r="C80" s="23">
        <f>+OUTPUT!D17</f>
        <v>3912.8947238189503</v>
      </c>
      <c r="D80" s="23">
        <f>+OUTPUT!F17</f>
        <v>2833</v>
      </c>
      <c r="E80" s="23">
        <f>+OUTPUT!H17</f>
        <v>2311</v>
      </c>
      <c r="F80" s="23">
        <f>+OUTPUT!J17</f>
        <v>2707</v>
      </c>
      <c r="G80" s="23">
        <f t="shared" si="6"/>
        <v>2379</v>
      </c>
      <c r="H80" s="23">
        <f>+OUTPUT!L17</f>
        <v>2379</v>
      </c>
      <c r="I80" s="23">
        <f>+OUTPUT!N17</f>
        <v>2213</v>
      </c>
      <c r="J80" s="23">
        <f>+OUTPUT!P17</f>
        <v>3361</v>
      </c>
      <c r="K80" s="23">
        <f>+OUTPUT!R17</f>
        <v>4337</v>
      </c>
      <c r="L80" s="23">
        <f>+OUTPUT!T17</f>
        <v>4835</v>
      </c>
      <c r="M80" s="23">
        <f>+OUTPUT!V17</f>
        <v>5439</v>
      </c>
      <c r="N80" s="23">
        <f>+OUTPUT!X17</f>
        <v>6247</v>
      </c>
      <c r="O80" s="23">
        <f>+OUTPUT!Z17</f>
        <v>6637</v>
      </c>
      <c r="P80" s="23">
        <f>+OUTPUT!AB17</f>
        <v>5388</v>
      </c>
      <c r="Q80" s="23">
        <f>+OUTPUT!AD17</f>
        <v>6020</v>
      </c>
      <c r="R80" s="23">
        <f>+OUTPUT!AF17</f>
        <v>5902</v>
      </c>
      <c r="S80" s="23">
        <f>+OUTPUT!AH17</f>
        <v>6352</v>
      </c>
      <c r="T80" s="23">
        <f>+OUTPUT!AJ17</f>
        <v>8384</v>
      </c>
      <c r="V80" s="696"/>
    </row>
    <row r="81" spans="2:22" ht="15" customHeight="1">
      <c r="B81" s="11" t="s">
        <v>314</v>
      </c>
      <c r="C81" s="23">
        <f>+OUTPUT!D18</f>
        <v>2249.2606113670104</v>
      </c>
      <c r="D81" s="23">
        <f>+OUTPUT!F18</f>
        <v>2147</v>
      </c>
      <c r="E81" s="23">
        <f>+OUTPUT!H18</f>
        <v>2434</v>
      </c>
      <c r="F81" s="23">
        <f>+OUTPUT!J18</f>
        <v>2671</v>
      </c>
      <c r="G81" s="23">
        <f t="shared" si="6"/>
        <v>3356</v>
      </c>
      <c r="H81" s="23">
        <f>+OUTPUT!L18</f>
        <v>3356</v>
      </c>
      <c r="I81" s="23">
        <f>+OUTPUT!N18</f>
        <v>2617</v>
      </c>
      <c r="J81" s="23">
        <f>+OUTPUT!P18</f>
        <v>3006</v>
      </c>
      <c r="K81" s="23">
        <f>+OUTPUT!R18</f>
        <v>3348</v>
      </c>
      <c r="L81" s="23">
        <f>+OUTPUT!T18</f>
        <v>3105</v>
      </c>
      <c r="M81" s="23">
        <f>+OUTPUT!V18</f>
        <v>3312</v>
      </c>
      <c r="N81" s="23">
        <f>+OUTPUT!X18</f>
        <v>3522</v>
      </c>
      <c r="O81" s="23">
        <f>+OUTPUT!Z18</f>
        <v>4298</v>
      </c>
      <c r="P81" s="23">
        <f>+OUTPUT!AB18</f>
        <v>4775</v>
      </c>
      <c r="Q81" s="23">
        <f>+OUTPUT!AD18</f>
        <v>4313</v>
      </c>
      <c r="R81" s="23">
        <f>+OUTPUT!AF18</f>
        <v>5111</v>
      </c>
      <c r="S81" s="23">
        <f>+OUTPUT!AH18</f>
        <v>5208</v>
      </c>
      <c r="T81" s="23">
        <f>+OUTPUT!AJ18</f>
        <v>4928</v>
      </c>
      <c r="V81" s="696"/>
    </row>
    <row r="82" spans="2:22" ht="15" customHeight="1">
      <c r="B82" s="11" t="s">
        <v>315</v>
      </c>
      <c r="C82" s="23">
        <f>+OUTPUT!D20</f>
        <v>89.833967794739053</v>
      </c>
      <c r="D82" s="23">
        <f>+OUTPUT!F20</f>
        <v>114</v>
      </c>
      <c r="E82" s="23">
        <f>+OUTPUT!H20</f>
        <v>85</v>
      </c>
      <c r="F82" s="23">
        <f>+OUTPUT!J20</f>
        <v>99</v>
      </c>
      <c r="G82" s="23">
        <f t="shared" si="6"/>
        <v>82</v>
      </c>
      <c r="H82" s="23">
        <f>+OUTPUT!L20</f>
        <v>82</v>
      </c>
      <c r="I82" s="23">
        <f>+OUTPUT!N20</f>
        <v>78</v>
      </c>
      <c r="J82" s="23">
        <f>+OUTPUT!P20</f>
        <v>102</v>
      </c>
      <c r="K82" s="23">
        <f>+OUTPUT!R20</f>
        <v>112</v>
      </c>
      <c r="L82" s="23">
        <f>+OUTPUT!T20</f>
        <v>81</v>
      </c>
      <c r="M82" s="23">
        <f>+OUTPUT!V20</f>
        <v>110</v>
      </c>
      <c r="N82" s="23">
        <f>+OUTPUT!X20</f>
        <v>119</v>
      </c>
      <c r="O82" s="23">
        <f>+OUTPUT!Z20</f>
        <v>119</v>
      </c>
      <c r="P82" s="23">
        <f>+OUTPUT!AB20</f>
        <v>121</v>
      </c>
      <c r="Q82" s="23">
        <f>+OUTPUT!AD20</f>
        <v>105</v>
      </c>
      <c r="R82" s="23">
        <f>+OUTPUT!AF20</f>
        <v>78</v>
      </c>
      <c r="S82" s="23">
        <f>+OUTPUT!AH20</f>
        <v>79</v>
      </c>
      <c r="T82" s="23">
        <f>+OUTPUT!AJ20</f>
        <v>68</v>
      </c>
      <c r="V82" s="696"/>
    </row>
    <row r="83" spans="2:22" ht="15" customHeight="1">
      <c r="B83" s="11" t="s">
        <v>316</v>
      </c>
      <c r="C83" s="23">
        <f>+OUTPUT!D21</f>
        <v>110.30246678594541</v>
      </c>
      <c r="D83" s="23">
        <f>+OUTPUT!F21</f>
        <v>122</v>
      </c>
      <c r="E83" s="23">
        <f>+OUTPUT!H21</f>
        <v>204</v>
      </c>
      <c r="F83" s="23">
        <f>+OUTPUT!J21</f>
        <v>144</v>
      </c>
      <c r="G83" s="23">
        <f t="shared" si="6"/>
        <v>71</v>
      </c>
      <c r="H83" s="23">
        <f>+OUTPUT!L21</f>
        <v>71</v>
      </c>
      <c r="I83" s="23">
        <f>+OUTPUT!N21</f>
        <v>125</v>
      </c>
      <c r="J83" s="23">
        <f>+OUTPUT!P21</f>
        <v>112</v>
      </c>
      <c r="K83" s="23">
        <f>+OUTPUT!R21</f>
        <v>142</v>
      </c>
      <c r="L83" s="23">
        <f>+OUTPUT!T21</f>
        <v>131</v>
      </c>
      <c r="M83" s="23">
        <f>+OUTPUT!V21</f>
        <v>153</v>
      </c>
      <c r="N83" s="23">
        <f>+OUTPUT!X21</f>
        <v>182</v>
      </c>
      <c r="O83" s="23">
        <f>+OUTPUT!Z21</f>
        <v>217</v>
      </c>
      <c r="P83" s="23">
        <f>+OUTPUT!AB21</f>
        <v>247</v>
      </c>
      <c r="Q83" s="23">
        <f>+OUTPUT!AD21</f>
        <v>236</v>
      </c>
      <c r="R83" s="23">
        <f>+OUTPUT!AF21</f>
        <v>248</v>
      </c>
      <c r="S83" s="23">
        <f>+OUTPUT!AH21</f>
        <v>195</v>
      </c>
      <c r="T83" s="23">
        <f>+OUTPUT!AJ21</f>
        <v>186</v>
      </c>
      <c r="V83" s="696"/>
    </row>
    <row r="84" spans="2:22" ht="15" customHeight="1">
      <c r="B84" s="11" t="s">
        <v>317</v>
      </c>
      <c r="C84" s="23">
        <f>+OUTPUT!D22</f>
        <v>420.74136815257526</v>
      </c>
      <c r="D84" s="23">
        <f>+OUTPUT!F22</f>
        <v>749</v>
      </c>
      <c r="E84" s="23">
        <f>+OUTPUT!H22</f>
        <v>328</v>
      </c>
      <c r="F84" s="23">
        <f>+OUTPUT!J22</f>
        <v>351</v>
      </c>
      <c r="G84" s="23">
        <f t="shared" si="6"/>
        <v>441</v>
      </c>
      <c r="H84" s="23">
        <f>+OUTPUT!L22</f>
        <v>441</v>
      </c>
      <c r="I84" s="23">
        <f>+OUTPUT!N22</f>
        <v>826</v>
      </c>
      <c r="J84" s="23">
        <f>+OUTPUT!P22</f>
        <v>1615</v>
      </c>
      <c r="K84" s="23">
        <f>+OUTPUT!R22</f>
        <v>1651</v>
      </c>
      <c r="L84" s="23">
        <f>+OUTPUT!T22</f>
        <v>2222</v>
      </c>
      <c r="M84" s="23">
        <f>+OUTPUT!V22</f>
        <v>1298</v>
      </c>
      <c r="N84" s="23">
        <f>+OUTPUT!X22</f>
        <v>2366</v>
      </c>
      <c r="O84" s="23">
        <f>+OUTPUT!Z22</f>
        <v>2770</v>
      </c>
      <c r="P84" s="23">
        <f>+OUTPUT!AB22</f>
        <v>2596</v>
      </c>
      <c r="Q84" s="23">
        <f>+OUTPUT!AD22</f>
        <v>2251</v>
      </c>
      <c r="R84" s="23">
        <f>+OUTPUT!AF22</f>
        <v>2207</v>
      </c>
      <c r="S84" s="23">
        <f>+OUTPUT!AH22</f>
        <v>2761</v>
      </c>
      <c r="T84" s="23">
        <f>+OUTPUT!AJ22</f>
        <v>3162</v>
      </c>
      <c r="V84" s="696"/>
    </row>
    <row r="85" spans="2:22" ht="15" customHeight="1">
      <c r="B85" s="11" t="s">
        <v>318</v>
      </c>
      <c r="C85" s="23">
        <f>+OUTPUT!D23</f>
        <v>2236.7520842057179</v>
      </c>
      <c r="D85" s="23">
        <f>+OUTPUT!F23</f>
        <v>2823</v>
      </c>
      <c r="E85" s="23">
        <f>+OUTPUT!H23</f>
        <v>2927</v>
      </c>
      <c r="F85" s="23">
        <f>+OUTPUT!J23</f>
        <v>3311</v>
      </c>
      <c r="G85" s="23">
        <f t="shared" si="6"/>
        <v>3552</v>
      </c>
      <c r="H85" s="23">
        <f>+OUTPUT!L23</f>
        <v>3552</v>
      </c>
      <c r="I85" s="23">
        <f>+OUTPUT!N23</f>
        <v>3552</v>
      </c>
      <c r="J85" s="23">
        <f>+OUTPUT!P23</f>
        <v>4282</v>
      </c>
      <c r="K85" s="23">
        <f>+OUTPUT!R23</f>
        <v>4321</v>
      </c>
      <c r="L85" s="23">
        <f>+OUTPUT!T23</f>
        <v>3986</v>
      </c>
      <c r="M85" s="23">
        <f>+OUTPUT!V23</f>
        <v>5137</v>
      </c>
      <c r="N85" s="23">
        <f>+OUTPUT!X23</f>
        <v>5783</v>
      </c>
      <c r="O85" s="23">
        <f>+OUTPUT!Z23</f>
        <v>5977</v>
      </c>
      <c r="P85" s="23">
        <f>+OUTPUT!AB23</f>
        <v>6859</v>
      </c>
      <c r="Q85" s="23">
        <f>+OUTPUT!AD23</f>
        <v>8761</v>
      </c>
      <c r="R85" s="23">
        <f>+OUTPUT!AF23</f>
        <v>9751</v>
      </c>
      <c r="S85" s="23">
        <f>+OUTPUT!AH23</f>
        <v>10108</v>
      </c>
      <c r="T85" s="23">
        <f>+OUTPUT!AJ23</f>
        <v>11144</v>
      </c>
      <c r="V85" s="696"/>
    </row>
    <row r="86" spans="2:22" ht="15" customHeight="1">
      <c r="B86" s="11" t="s">
        <v>319</v>
      </c>
      <c r="C86" s="23">
        <f>+OUTPUT!D24</f>
        <v>4879.4627317370278</v>
      </c>
      <c r="D86" s="23">
        <f>+OUTPUT!F24</f>
        <v>5108</v>
      </c>
      <c r="E86" s="23">
        <f>+OUTPUT!H24</f>
        <v>5130</v>
      </c>
      <c r="F86" s="23">
        <f>+OUTPUT!J24</f>
        <v>5595</v>
      </c>
      <c r="G86" s="23">
        <f t="shared" si="6"/>
        <v>5911</v>
      </c>
      <c r="H86" s="23">
        <f>+OUTPUT!L24</f>
        <v>5911</v>
      </c>
      <c r="I86" s="23">
        <f>+OUTPUT!N24</f>
        <v>6169</v>
      </c>
      <c r="J86" s="23">
        <f>+OUTPUT!P24</f>
        <v>6111</v>
      </c>
      <c r="K86" s="23">
        <f>+OUTPUT!R24</f>
        <v>6321</v>
      </c>
      <c r="L86" s="23">
        <f>+OUTPUT!T24</f>
        <v>6470</v>
      </c>
      <c r="M86" s="23">
        <f>+OUTPUT!V24</f>
        <v>6988</v>
      </c>
      <c r="N86" s="23">
        <f>+OUTPUT!X24</f>
        <v>6564</v>
      </c>
      <c r="O86" s="23">
        <f>+OUTPUT!Z24</f>
        <v>6575</v>
      </c>
      <c r="P86" s="23">
        <f>+OUTPUT!AB24</f>
        <v>7409</v>
      </c>
      <c r="Q86" s="23">
        <f>+OUTPUT!AD24</f>
        <v>7349</v>
      </c>
      <c r="R86" s="23">
        <f>+OUTPUT!AF24</f>
        <v>6786</v>
      </c>
      <c r="S86" s="23">
        <f>+OUTPUT!AH24</f>
        <v>7225</v>
      </c>
      <c r="T86" s="23">
        <f>+OUTPUT!AJ24</f>
        <v>7253</v>
      </c>
      <c r="V86" s="696"/>
    </row>
    <row r="87" spans="2:22" ht="15" customHeight="1">
      <c r="B87" s="11" t="s">
        <v>320</v>
      </c>
      <c r="C87" s="23">
        <f>+OUTPUT!D28</f>
        <v>451.44411663938484</v>
      </c>
      <c r="D87" s="23">
        <f>+OUTPUT!F28</f>
        <v>407</v>
      </c>
      <c r="E87" s="23">
        <f>+OUTPUT!H28</f>
        <v>400</v>
      </c>
      <c r="F87" s="23">
        <f>+OUTPUT!J28</f>
        <v>350</v>
      </c>
      <c r="G87" s="23">
        <f t="shared" si="6"/>
        <v>336</v>
      </c>
      <c r="H87" s="23">
        <f>+OUTPUT!L28</f>
        <v>336</v>
      </c>
      <c r="I87" s="23">
        <f>+OUTPUT!N28</f>
        <v>400</v>
      </c>
      <c r="J87" s="23">
        <f>+OUTPUT!P28</f>
        <v>443</v>
      </c>
      <c r="K87" s="23">
        <f>+OUTPUT!R28</f>
        <v>523</v>
      </c>
      <c r="L87" s="23">
        <f>+OUTPUT!T28</f>
        <v>552</v>
      </c>
      <c r="M87" s="23">
        <f>+OUTPUT!V28</f>
        <v>614</v>
      </c>
      <c r="N87" s="23">
        <f>+OUTPUT!X28</f>
        <v>536</v>
      </c>
      <c r="O87" s="23">
        <f>+OUTPUT!Z28</f>
        <v>610</v>
      </c>
      <c r="P87" s="23">
        <f>+OUTPUT!AB28</f>
        <v>496</v>
      </c>
      <c r="Q87" s="23">
        <f>+OUTPUT!AD28</f>
        <v>550</v>
      </c>
      <c r="R87" s="23">
        <f>+OUTPUT!AF28</f>
        <v>456</v>
      </c>
      <c r="S87" s="23">
        <f>+OUTPUT!AH28</f>
        <v>417</v>
      </c>
      <c r="T87" s="23">
        <f>+OUTPUT!AJ28</f>
        <v>440</v>
      </c>
      <c r="V87" s="696"/>
    </row>
    <row r="88" spans="2:22" ht="15" customHeight="1">
      <c r="B88" s="11" t="s">
        <v>321</v>
      </c>
      <c r="C88" s="23">
        <f>+OUTPUT!D29</f>
        <v>307.02748486809543</v>
      </c>
      <c r="D88" s="23">
        <f>+OUTPUT!F29</f>
        <v>351</v>
      </c>
      <c r="E88" s="23">
        <f>+OUTPUT!H29</f>
        <v>410</v>
      </c>
      <c r="F88" s="23">
        <f>+OUTPUT!J29</f>
        <v>324</v>
      </c>
      <c r="G88" s="23">
        <f t="shared" si="6"/>
        <v>226</v>
      </c>
      <c r="H88" s="23">
        <f>+OUTPUT!L29</f>
        <v>226</v>
      </c>
      <c r="I88" s="23">
        <f>+OUTPUT!N29</f>
        <v>228</v>
      </c>
      <c r="J88" s="23">
        <f>+OUTPUT!P29</f>
        <v>220</v>
      </c>
      <c r="K88" s="23">
        <f>+OUTPUT!R29</f>
        <v>270</v>
      </c>
      <c r="L88" s="23">
        <f>+OUTPUT!T29</f>
        <v>253</v>
      </c>
      <c r="M88" s="23">
        <f>+OUTPUT!V29</f>
        <v>331</v>
      </c>
      <c r="N88" s="23">
        <f>+OUTPUT!X29</f>
        <v>336</v>
      </c>
      <c r="O88" s="23">
        <f>+OUTPUT!Z29</f>
        <v>429</v>
      </c>
      <c r="P88" s="23">
        <f>+OUTPUT!AB29</f>
        <v>459</v>
      </c>
      <c r="Q88" s="23">
        <f>+OUTPUT!AD29</f>
        <v>457</v>
      </c>
      <c r="R88" s="23">
        <f>+OUTPUT!AF29</f>
        <v>459</v>
      </c>
      <c r="S88" s="23">
        <f>+OUTPUT!AH29</f>
        <v>423</v>
      </c>
      <c r="T88" s="23">
        <f>+OUTPUT!AJ29</f>
        <v>364</v>
      </c>
      <c r="V88" s="696"/>
    </row>
    <row r="89" spans="2:22" ht="15" customHeight="1">
      <c r="B89" s="11" t="s">
        <v>322</v>
      </c>
      <c r="C89" s="23">
        <f>+OUTPUT!D30</f>
        <v>665.22621721420683</v>
      </c>
      <c r="D89" s="23">
        <f>+OUTPUT!F30</f>
        <v>574</v>
      </c>
      <c r="E89" s="23">
        <f>+OUTPUT!H30</f>
        <v>380</v>
      </c>
      <c r="F89" s="23">
        <f>+OUTPUT!J30</f>
        <v>314</v>
      </c>
      <c r="G89" s="23">
        <f t="shared" si="6"/>
        <v>443</v>
      </c>
      <c r="H89" s="23">
        <f>+OUTPUT!L30</f>
        <v>443</v>
      </c>
      <c r="I89" s="23">
        <f>+OUTPUT!N30</f>
        <v>684</v>
      </c>
      <c r="J89" s="23">
        <f>+OUTPUT!P30</f>
        <v>1209</v>
      </c>
      <c r="K89" s="23">
        <f>+OUTPUT!R30</f>
        <v>1669</v>
      </c>
      <c r="L89" s="23">
        <f>+OUTPUT!T30</f>
        <v>2586</v>
      </c>
      <c r="M89" s="23">
        <f>+OUTPUT!V30</f>
        <v>1545</v>
      </c>
      <c r="N89" s="23">
        <f>+OUTPUT!X30</f>
        <v>2712</v>
      </c>
      <c r="O89" s="23">
        <f>+OUTPUT!Z30</f>
        <v>3582</v>
      </c>
      <c r="P89" s="23">
        <f>+OUTPUT!AB30</f>
        <v>2595</v>
      </c>
      <c r="Q89" s="23">
        <f>+OUTPUT!AD30</f>
        <v>2336</v>
      </c>
      <c r="R89" s="23">
        <f>+OUTPUT!AF30</f>
        <v>2594</v>
      </c>
      <c r="S89" s="23">
        <f>+OUTPUT!AH30</f>
        <v>3222</v>
      </c>
      <c r="T89" s="23">
        <f>+OUTPUT!AJ30</f>
        <v>3345</v>
      </c>
      <c r="V89" s="696"/>
    </row>
    <row r="90" spans="2:22" ht="15" customHeight="1">
      <c r="B90" s="11" t="s">
        <v>323</v>
      </c>
      <c r="C90" s="23">
        <f>+OUTPUT!D31</f>
        <v>3757.1067037192129</v>
      </c>
      <c r="D90" s="23">
        <f>+OUTPUT!F31</f>
        <v>3643</v>
      </c>
      <c r="E90" s="23">
        <f>+OUTPUT!H31</f>
        <v>3316</v>
      </c>
      <c r="F90" s="23">
        <f>+OUTPUT!J31</f>
        <v>3743</v>
      </c>
      <c r="G90" s="23">
        <f t="shared" si="6"/>
        <v>3987</v>
      </c>
      <c r="H90" s="23">
        <f>+OUTPUT!L31</f>
        <v>3987</v>
      </c>
      <c r="I90" s="23">
        <f>+OUTPUT!N31</f>
        <v>3486</v>
      </c>
      <c r="J90" s="23">
        <f>+OUTPUT!P31</f>
        <v>3738</v>
      </c>
      <c r="K90" s="23">
        <f>+OUTPUT!R31</f>
        <v>4289</v>
      </c>
      <c r="L90" s="23">
        <f>+OUTPUT!T31</f>
        <v>4768</v>
      </c>
      <c r="M90" s="23">
        <f>+OUTPUT!V31</f>
        <v>5531</v>
      </c>
      <c r="N90" s="23">
        <f>+OUTPUT!X31</f>
        <v>6527</v>
      </c>
      <c r="O90" s="23">
        <f>+OUTPUT!Z31</f>
        <v>6616</v>
      </c>
      <c r="P90" s="23">
        <f>+OUTPUT!AB31</f>
        <v>5848</v>
      </c>
      <c r="Q90" s="23">
        <f>+OUTPUT!AD31</f>
        <v>7592</v>
      </c>
      <c r="R90" s="23">
        <f>+OUTPUT!AF31</f>
        <v>8361</v>
      </c>
      <c r="S90" s="23">
        <f>+OUTPUT!AH31</f>
        <v>9076</v>
      </c>
      <c r="T90" s="23">
        <f>+OUTPUT!AJ31</f>
        <v>9917</v>
      </c>
      <c r="V90" s="696"/>
    </row>
    <row r="91" spans="2:22" ht="15" customHeight="1">
      <c r="B91" s="11" t="s">
        <v>324</v>
      </c>
      <c r="C91" s="23">
        <f>+OUTPUT!D32</f>
        <v>2785.9901404697553</v>
      </c>
      <c r="D91" s="23">
        <f>+OUTPUT!F32</f>
        <v>2916</v>
      </c>
      <c r="E91" s="23">
        <f>+OUTPUT!H32</f>
        <v>3226</v>
      </c>
      <c r="F91" s="23">
        <f>+OUTPUT!J32</f>
        <v>3561</v>
      </c>
      <c r="G91" s="23">
        <f t="shared" si="6"/>
        <v>4064</v>
      </c>
      <c r="H91" s="23">
        <f>+OUTPUT!L32</f>
        <v>4064</v>
      </c>
      <c r="I91" s="23">
        <f>+OUTPUT!N32</f>
        <v>3382</v>
      </c>
      <c r="J91" s="23">
        <f>+OUTPUT!P32</f>
        <v>3500</v>
      </c>
      <c r="K91" s="23">
        <f>+OUTPUT!R32</f>
        <v>3766</v>
      </c>
      <c r="L91" s="23">
        <f>+OUTPUT!T32</f>
        <v>3612</v>
      </c>
      <c r="M91" s="23">
        <f>+OUTPUT!V32</f>
        <v>4141</v>
      </c>
      <c r="N91" s="23">
        <f>+OUTPUT!X32</f>
        <v>4009</v>
      </c>
      <c r="O91" s="23">
        <f>+OUTPUT!Z32</f>
        <v>4705</v>
      </c>
      <c r="P91" s="23">
        <f>+OUTPUT!AB32</f>
        <v>5448</v>
      </c>
      <c r="Q91" s="23">
        <f>+OUTPUT!AD32</f>
        <v>4792</v>
      </c>
      <c r="R91" s="23">
        <f>+OUTPUT!AF32</f>
        <v>4870</v>
      </c>
      <c r="S91" s="23">
        <f>+OUTPUT!AH32</f>
        <v>5433</v>
      </c>
      <c r="T91" s="23">
        <f>+OUTPUT!AJ32</f>
        <v>5490</v>
      </c>
      <c r="V91" s="696"/>
    </row>
    <row r="92" spans="2:22" ht="15" customHeight="1">
      <c r="B92" s="11" t="s">
        <v>325</v>
      </c>
      <c r="C92" s="23">
        <f>+OUTPUT!D34</f>
        <v>42.074136815257532</v>
      </c>
      <c r="D92" s="23">
        <f>+OUTPUT!F34</f>
        <v>26</v>
      </c>
      <c r="E92" s="23">
        <f>+OUTPUT!H34</f>
        <v>37</v>
      </c>
      <c r="F92" s="23">
        <f>+OUTPUT!J34</f>
        <v>33</v>
      </c>
      <c r="G92" s="23">
        <f t="shared" si="6"/>
        <v>37</v>
      </c>
      <c r="H92" s="23">
        <f>+OUTPUT!L34</f>
        <v>37</v>
      </c>
      <c r="I92" s="23">
        <f>+OUTPUT!N34</f>
        <v>24</v>
      </c>
      <c r="J92" s="23">
        <f>+OUTPUT!P34</f>
        <v>41</v>
      </c>
      <c r="K92" s="23">
        <f>+OUTPUT!R34</f>
        <v>47</v>
      </c>
      <c r="L92" s="23">
        <f>+OUTPUT!T34</f>
        <v>27</v>
      </c>
      <c r="M92" s="23">
        <f>+OUTPUT!V34</f>
        <v>52</v>
      </c>
      <c r="N92" s="23">
        <f>+OUTPUT!X34</f>
        <v>64</v>
      </c>
      <c r="O92" s="23">
        <f>+OUTPUT!Z34</f>
        <v>64</v>
      </c>
      <c r="P92" s="23">
        <f>+OUTPUT!AB34</f>
        <v>55</v>
      </c>
      <c r="Q92" s="23">
        <f>+OUTPUT!AD34</f>
        <v>98</v>
      </c>
      <c r="R92" s="23">
        <f>+OUTPUT!AF34</f>
        <v>29</v>
      </c>
      <c r="S92" s="23">
        <f>+OUTPUT!AH34</f>
        <v>31</v>
      </c>
      <c r="T92" s="23">
        <f>+OUTPUT!AJ34</f>
        <v>27</v>
      </c>
      <c r="V92" s="696"/>
    </row>
    <row r="93" spans="2:22" ht="15" customHeight="1">
      <c r="B93" s="11" t="s">
        <v>326</v>
      </c>
      <c r="C93" s="23">
        <f>+OUTPUT!D35</f>
        <v>44.348414480947127</v>
      </c>
      <c r="D93" s="23">
        <f>+OUTPUT!F35</f>
        <v>66</v>
      </c>
      <c r="E93" s="23">
        <f>+OUTPUT!H35</f>
        <v>62</v>
      </c>
      <c r="F93" s="23">
        <f>+OUTPUT!J35</f>
        <v>56</v>
      </c>
      <c r="G93" s="23">
        <f t="shared" si="6"/>
        <v>47</v>
      </c>
      <c r="H93" s="23">
        <f>+OUTPUT!L35</f>
        <v>47</v>
      </c>
      <c r="I93" s="23">
        <f>+OUTPUT!N35</f>
        <v>78</v>
      </c>
      <c r="J93" s="23">
        <f>+OUTPUT!P35</f>
        <v>73</v>
      </c>
      <c r="K93" s="23">
        <f>+OUTPUT!R35</f>
        <v>67</v>
      </c>
      <c r="L93" s="23">
        <f>+OUTPUT!T35</f>
        <v>63</v>
      </c>
      <c r="M93" s="23">
        <f>+OUTPUT!V35</f>
        <v>85</v>
      </c>
      <c r="N93" s="23">
        <f>+OUTPUT!X35</f>
        <v>110</v>
      </c>
      <c r="O93" s="23">
        <f>+OUTPUT!Z35</f>
        <v>120</v>
      </c>
      <c r="P93" s="23">
        <f>+OUTPUT!AB35</f>
        <v>121</v>
      </c>
      <c r="Q93" s="23">
        <f>+OUTPUT!AD35</f>
        <v>103</v>
      </c>
      <c r="R93" s="23">
        <f>+OUTPUT!AF35</f>
        <v>114</v>
      </c>
      <c r="S93" s="23">
        <f>+OUTPUT!AH35</f>
        <v>120</v>
      </c>
      <c r="T93" s="23">
        <f>+OUTPUT!AJ35</f>
        <v>95</v>
      </c>
      <c r="V93" s="696"/>
    </row>
    <row r="94" spans="2:22" ht="15" customHeight="1">
      <c r="B94" s="11" t="s">
        <v>327</v>
      </c>
      <c r="C94" s="23">
        <f>+OUTPUT!D36</f>
        <v>142.14235410559974</v>
      </c>
      <c r="D94" s="23">
        <f>+OUTPUT!F36</f>
        <v>518</v>
      </c>
      <c r="E94" s="23">
        <f>+OUTPUT!H36</f>
        <v>220</v>
      </c>
      <c r="F94" s="23">
        <f>+OUTPUT!J36</f>
        <v>243</v>
      </c>
      <c r="G94" s="23">
        <f t="shared" si="6"/>
        <v>56</v>
      </c>
      <c r="H94" s="23">
        <f>+OUTPUT!L36</f>
        <v>56</v>
      </c>
      <c r="I94" s="23">
        <f>+OUTPUT!N36</f>
        <v>464</v>
      </c>
      <c r="J94" s="23">
        <f>+OUTPUT!P36</f>
        <v>1144</v>
      </c>
      <c r="K94" s="23">
        <f>+OUTPUT!R36</f>
        <v>1286</v>
      </c>
      <c r="L94" s="23">
        <f>+OUTPUT!T36</f>
        <v>1698</v>
      </c>
      <c r="M94" s="23">
        <f>+OUTPUT!V36</f>
        <v>1413</v>
      </c>
      <c r="N94" s="23">
        <f>+OUTPUT!X36</f>
        <v>2525</v>
      </c>
      <c r="O94" s="23">
        <f>+OUTPUT!Z36</f>
        <v>2224</v>
      </c>
      <c r="P94" s="23">
        <f>+OUTPUT!AB36</f>
        <v>2863</v>
      </c>
      <c r="Q94" s="23">
        <f>+OUTPUT!AD36</f>
        <v>2535</v>
      </c>
      <c r="R94" s="23">
        <f>+OUTPUT!AF36</f>
        <v>2399</v>
      </c>
      <c r="S94" s="23">
        <f>+OUTPUT!AH36</f>
        <v>2967</v>
      </c>
      <c r="T94" s="23">
        <f>+OUTPUT!AJ36</f>
        <v>3070</v>
      </c>
      <c r="V94" s="696"/>
    </row>
    <row r="95" spans="2:22" ht="15" customHeight="1">
      <c r="B95" s="11" t="s">
        <v>328</v>
      </c>
      <c r="C95" s="23">
        <f>+OUTPUT!D37</f>
        <v>2411.8714644638167</v>
      </c>
      <c r="D95" s="23">
        <f>+OUTPUT!F37</f>
        <v>2008</v>
      </c>
      <c r="E95" s="23">
        <f>+OUTPUT!H37</f>
        <v>1925</v>
      </c>
      <c r="F95" s="23">
        <f>+OUTPUT!J37</f>
        <v>2268</v>
      </c>
      <c r="G95" s="23">
        <f t="shared" si="6"/>
        <v>1943</v>
      </c>
      <c r="H95" s="23">
        <f>+OUTPUT!L37</f>
        <v>1943</v>
      </c>
      <c r="I95" s="23">
        <f>+OUTPUT!N37</f>
        <v>2275</v>
      </c>
      <c r="J95" s="23">
        <f>+OUTPUT!P37</f>
        <v>3905</v>
      </c>
      <c r="K95" s="23">
        <f>+OUTPUT!R37</f>
        <v>4696</v>
      </c>
      <c r="L95" s="23">
        <f>+OUTPUT!T37</f>
        <v>4066</v>
      </c>
      <c r="M95" s="23">
        <f>+OUTPUT!V37</f>
        <v>5044</v>
      </c>
      <c r="N95" s="23">
        <f>+OUTPUT!X37</f>
        <v>5505</v>
      </c>
      <c r="O95" s="23">
        <f>+OUTPUT!Z37</f>
        <v>5996</v>
      </c>
      <c r="P95" s="23">
        <f>+OUTPUT!AB37</f>
        <v>6393</v>
      </c>
      <c r="Q95" s="23">
        <f>+OUTPUT!AD37</f>
        <v>7189</v>
      </c>
      <c r="R95" s="23">
        <f>+OUTPUT!AF37</f>
        <v>7297</v>
      </c>
      <c r="S95" s="23">
        <f>+OUTPUT!AH37</f>
        <v>7385</v>
      </c>
      <c r="T95" s="23">
        <f>+OUTPUT!AJ37</f>
        <v>9604</v>
      </c>
      <c r="V95" s="696"/>
    </row>
    <row r="96" spans="2:22" ht="15" customHeight="1">
      <c r="B96" s="11" t="s">
        <v>329</v>
      </c>
      <c r="C96" s="23">
        <f>+OUTPUT!D38</f>
        <v>4370.0245346225583</v>
      </c>
      <c r="D96" s="23">
        <f>+OUTPUT!F38</f>
        <v>4328</v>
      </c>
      <c r="E96" s="23">
        <f>+OUTPUT!H38</f>
        <v>4342</v>
      </c>
      <c r="F96" s="23">
        <f>+OUTPUT!J38</f>
        <v>4683</v>
      </c>
      <c r="G96" s="23">
        <f t="shared" si="6"/>
        <v>5196</v>
      </c>
      <c r="H96" s="23">
        <f>+OUTPUT!L38</f>
        <v>5196</v>
      </c>
      <c r="I96" s="23">
        <f>+OUTPUT!N38</f>
        <v>5375</v>
      </c>
      <c r="J96" s="23">
        <f>+OUTPUT!P38</f>
        <v>5598</v>
      </c>
      <c r="K96" s="23">
        <f>+OUTPUT!R38</f>
        <v>5524</v>
      </c>
      <c r="L96" s="23">
        <f>+OUTPUT!T38</f>
        <v>5955</v>
      </c>
      <c r="M96" s="23">
        <f>+OUTPUT!V38</f>
        <v>6117</v>
      </c>
      <c r="N96" s="23">
        <f>+OUTPUT!X38</f>
        <v>6061</v>
      </c>
      <c r="O96" s="23">
        <f>+OUTPUT!Z38</f>
        <v>6170</v>
      </c>
      <c r="P96" s="23">
        <f>+OUTPUT!AB38</f>
        <v>6734</v>
      </c>
      <c r="Q96" s="23">
        <f>+OUTPUT!AD38</f>
        <v>6872</v>
      </c>
      <c r="R96" s="23">
        <f>+OUTPUT!AF38</f>
        <v>7030</v>
      </c>
      <c r="S96" s="23">
        <f>+OUTPUT!AH38</f>
        <v>6999</v>
      </c>
      <c r="T96" s="23">
        <f>+OUTPUT!AJ38</f>
        <v>6691</v>
      </c>
      <c r="V96" s="696"/>
    </row>
    <row r="97" spans="2:22" ht="15" customHeight="1">
      <c r="B97" s="11" t="s">
        <v>330</v>
      </c>
      <c r="C97" s="23">
        <f>+OUTPUT!D42</f>
        <v>5196.8381083879876</v>
      </c>
      <c r="D97" s="23">
        <f>+OUTPUT!F42</f>
        <v>5405</v>
      </c>
      <c r="E97" s="23">
        <f>+OUTPUT!H42</f>
        <v>4408</v>
      </c>
      <c r="F97" s="23">
        <f>+OUTPUT!J42</f>
        <v>4683</v>
      </c>
      <c r="G97" s="23">
        <f t="shared" si="6"/>
        <v>4385</v>
      </c>
      <c r="H97" s="23">
        <f>+OUTPUT!L42</f>
        <v>4385</v>
      </c>
      <c r="I97" s="23">
        <f>+OUTPUT!N42</f>
        <v>4971</v>
      </c>
      <c r="J97" s="23">
        <f>+OUTPUT!P42</f>
        <v>5587</v>
      </c>
      <c r="K97" s="23">
        <f>+OUTPUT!R42</f>
        <v>5324</v>
      </c>
      <c r="L97" s="23">
        <f>+OUTPUT!T42</f>
        <v>5846</v>
      </c>
      <c r="M97" s="23">
        <f>+OUTPUT!V42</f>
        <v>6020</v>
      </c>
      <c r="N97" s="23">
        <f>+OUTPUT!X42</f>
        <v>4532</v>
      </c>
      <c r="O97" s="23">
        <f>+OUTPUT!Z42</f>
        <v>3268</v>
      </c>
      <c r="P97" s="23">
        <f>+OUTPUT!AB42</f>
        <v>2672</v>
      </c>
      <c r="Q97" s="23">
        <f>+OUTPUT!AD42</f>
        <v>2119</v>
      </c>
      <c r="R97" s="23">
        <f>+OUTPUT!AF42</f>
        <v>1908</v>
      </c>
      <c r="S97" s="23">
        <f>+OUTPUT!AH42</f>
        <v>1901</v>
      </c>
      <c r="T97" s="23">
        <f>+OUTPUT!AJ42</f>
        <v>2097</v>
      </c>
      <c r="V97" s="696"/>
    </row>
    <row r="98" spans="2:22" ht="15" customHeight="1">
      <c r="B98" s="11" t="s">
        <v>331</v>
      </c>
      <c r="C98" s="23">
        <f>+OUTPUT!D43</f>
        <v>2769.1017232681024</v>
      </c>
      <c r="D98" s="23">
        <f>+OUTPUT!F43</f>
        <v>2854</v>
      </c>
      <c r="E98" s="23">
        <f>+OUTPUT!H43</f>
        <v>3837</v>
      </c>
      <c r="F98" s="23">
        <f>+OUTPUT!J43</f>
        <v>3201</v>
      </c>
      <c r="G98" s="23">
        <f t="shared" si="6"/>
        <v>2106</v>
      </c>
      <c r="H98" s="23">
        <f>+OUTPUT!L43</f>
        <v>2106</v>
      </c>
      <c r="I98" s="23">
        <f>+OUTPUT!N43</f>
        <v>2281</v>
      </c>
      <c r="J98" s="23">
        <f>+OUTPUT!P43</f>
        <v>3725</v>
      </c>
      <c r="K98" s="23">
        <f>+OUTPUT!R43</f>
        <v>2645</v>
      </c>
      <c r="L98" s="23">
        <f>+OUTPUT!T43</f>
        <v>2034</v>
      </c>
      <c r="M98" s="23">
        <f>+OUTPUT!V43</f>
        <v>2339</v>
      </c>
      <c r="N98" s="23">
        <f>+OUTPUT!X43</f>
        <v>2662</v>
      </c>
      <c r="O98" s="23">
        <f>+OUTPUT!Z43</f>
        <v>6256</v>
      </c>
      <c r="P98" s="23">
        <f>+OUTPUT!AB43</f>
        <v>5826</v>
      </c>
      <c r="Q98" s="23">
        <f>+OUTPUT!AD43</f>
        <v>5669</v>
      </c>
      <c r="R98" s="23">
        <f>+OUTPUT!AF43</f>
        <v>6260</v>
      </c>
      <c r="S98" s="23">
        <f>+OUTPUT!AH43</f>
        <v>5459</v>
      </c>
      <c r="T98" s="23">
        <f>+OUTPUT!AJ43</f>
        <v>5241</v>
      </c>
      <c r="V98" s="696"/>
    </row>
    <row r="99" spans="2:22" ht="15" customHeight="1">
      <c r="B99" s="11" t="s">
        <v>332</v>
      </c>
      <c r="C99" s="23">
        <f>+OUTPUT!D44</f>
        <v>5715.6235893895546</v>
      </c>
      <c r="D99" s="23">
        <f>+OUTPUT!F44</f>
        <v>3661</v>
      </c>
      <c r="E99" s="23">
        <f>+OUTPUT!H44</f>
        <v>3751</v>
      </c>
      <c r="F99" s="23">
        <f>+OUTPUT!J44</f>
        <v>2892</v>
      </c>
      <c r="G99" s="23">
        <f t="shared" si="6"/>
        <v>4025</v>
      </c>
      <c r="H99" s="23">
        <f>+OUTPUT!L44</f>
        <v>4025</v>
      </c>
      <c r="I99" s="23">
        <f>+OUTPUT!N44</f>
        <v>6473</v>
      </c>
      <c r="J99" s="23">
        <f>+OUTPUT!P44</f>
        <v>9051</v>
      </c>
      <c r="K99" s="23">
        <f>+OUTPUT!R44</f>
        <v>10790</v>
      </c>
      <c r="L99" s="23">
        <f>+OUTPUT!T44</f>
        <v>12237</v>
      </c>
      <c r="M99" s="23">
        <f>+OUTPUT!V44</f>
        <v>15500</v>
      </c>
      <c r="N99" s="23">
        <f>+OUTPUT!X44</f>
        <v>18776</v>
      </c>
      <c r="O99" s="23">
        <f>+OUTPUT!Z44</f>
        <v>20056</v>
      </c>
      <c r="P99" s="23">
        <f>+OUTPUT!AB44</f>
        <v>17083</v>
      </c>
      <c r="Q99" s="23">
        <f>+OUTPUT!AD44</f>
        <v>14956</v>
      </c>
      <c r="R99" s="23">
        <f>+OUTPUT!AF44</f>
        <v>16422</v>
      </c>
      <c r="S99" s="23">
        <f>+OUTPUT!AH44</f>
        <v>14892</v>
      </c>
      <c r="T99" s="23">
        <f>+OUTPUT!AJ44</f>
        <v>14161</v>
      </c>
      <c r="V99" s="696"/>
    </row>
    <row r="100" spans="2:22" ht="15" customHeight="1">
      <c r="B100" s="11" t="s">
        <v>333</v>
      </c>
      <c r="C100" s="23">
        <f>+OUTPUT!D45</f>
        <v>2214.3830487772498</v>
      </c>
      <c r="D100" s="23">
        <f>+OUTPUT!F45</f>
        <v>3662</v>
      </c>
      <c r="E100" s="23">
        <f>+OUTPUT!H45</f>
        <v>3653</v>
      </c>
      <c r="F100" s="23">
        <f>+OUTPUT!J45</f>
        <v>4113</v>
      </c>
      <c r="G100" s="23">
        <f t="shared" si="6"/>
        <v>4302</v>
      </c>
      <c r="H100" s="23">
        <f>+OUTPUT!L45</f>
        <v>4302</v>
      </c>
      <c r="I100" s="23">
        <f>+OUTPUT!N45</f>
        <v>2389</v>
      </c>
      <c r="J100" s="23">
        <f>+OUTPUT!P45</f>
        <v>626</v>
      </c>
      <c r="K100" s="23">
        <f>+OUTPUT!R45</f>
        <v>792</v>
      </c>
      <c r="L100" s="23">
        <f>+OUTPUT!T45</f>
        <v>704</v>
      </c>
      <c r="M100" s="23">
        <f>+OUTPUT!V45</f>
        <v>1033</v>
      </c>
      <c r="N100" s="23">
        <f>+OUTPUT!X45</f>
        <v>1012</v>
      </c>
      <c r="O100" s="23">
        <f>+OUTPUT!Z45</f>
        <v>1799</v>
      </c>
      <c r="P100" s="23">
        <f>+OUTPUT!AB45</f>
        <v>5341</v>
      </c>
      <c r="Q100" s="23">
        <f>+OUTPUT!AD45</f>
        <v>7333</v>
      </c>
      <c r="R100" s="23">
        <f>+OUTPUT!AF45</f>
        <v>8700</v>
      </c>
      <c r="S100" s="23">
        <f>+OUTPUT!AH45</f>
        <v>12130</v>
      </c>
      <c r="T100" s="23">
        <f>+OUTPUT!AJ45</f>
        <v>14251</v>
      </c>
      <c r="V100" s="696"/>
    </row>
    <row r="101" spans="2:22" ht="15" customHeight="1">
      <c r="B101" s="11" t="s">
        <v>334</v>
      </c>
      <c r="C101" s="23">
        <f>+OUTPUT!D46</f>
        <v>141.48694936406363</v>
      </c>
      <c r="D101" s="23">
        <f>+OUTPUT!F46</f>
        <v>59</v>
      </c>
      <c r="E101" s="23">
        <f>+OUTPUT!H46</f>
        <v>23</v>
      </c>
      <c r="F101" s="23">
        <f>+OUTPUT!J46</f>
        <v>238</v>
      </c>
      <c r="G101" s="23">
        <f t="shared" si="6"/>
        <v>16</v>
      </c>
      <c r="H101" s="23">
        <f>+OUTPUT!L46</f>
        <v>16</v>
      </c>
      <c r="I101" s="23">
        <f>+OUTPUT!N46</f>
        <v>11</v>
      </c>
      <c r="J101" s="23">
        <f>+OUTPUT!P46</f>
        <v>22</v>
      </c>
      <c r="K101" s="23">
        <f>+OUTPUT!R46</f>
        <v>13</v>
      </c>
      <c r="L101" s="23">
        <f>+OUTPUT!T46</f>
        <v>9</v>
      </c>
      <c r="M101" s="23">
        <f>+OUTPUT!V46</f>
        <v>9</v>
      </c>
      <c r="N101" s="23">
        <f>+OUTPUT!X46</f>
        <v>7</v>
      </c>
      <c r="O101" s="23">
        <f>+OUTPUT!Z46</f>
        <v>4</v>
      </c>
      <c r="P101" s="23">
        <f>+OUTPUT!AB46</f>
        <v>1</v>
      </c>
      <c r="Q101" s="23">
        <f>+OUTPUT!AD46</f>
        <v>4</v>
      </c>
      <c r="R101" s="23">
        <f>+OUTPUT!AF46</f>
        <v>0</v>
      </c>
      <c r="S101" s="23">
        <f>+OUTPUT!AH46</f>
        <v>1</v>
      </c>
      <c r="T101" s="23">
        <f>+OUTPUT!AJ46</f>
        <v>6</v>
      </c>
      <c r="V101" s="696"/>
    </row>
    <row r="102" spans="2:22" ht="15" customHeight="1">
      <c r="B102" s="11" t="s">
        <v>335</v>
      </c>
      <c r="C102" s="23">
        <f>+OUTPUT!D48</f>
        <v>918.54225856987341</v>
      </c>
      <c r="D102" s="23">
        <f>+OUTPUT!F48</f>
        <v>960</v>
      </c>
      <c r="E102" s="23">
        <f>+OUTPUT!H48</f>
        <v>880</v>
      </c>
      <c r="F102" s="23">
        <f>+OUTPUT!J48</f>
        <v>866</v>
      </c>
      <c r="G102" s="23">
        <f t="shared" si="6"/>
        <v>1118</v>
      </c>
      <c r="H102" s="23">
        <f>+OUTPUT!L48</f>
        <v>1118</v>
      </c>
      <c r="I102" s="23">
        <f>+OUTPUT!N48</f>
        <v>1067</v>
      </c>
      <c r="J102" s="23">
        <f>+OUTPUT!P48</f>
        <v>1037</v>
      </c>
      <c r="K102" s="23">
        <f>+OUTPUT!R48</f>
        <v>1014</v>
      </c>
      <c r="L102" s="23">
        <f>+OUTPUT!T48</f>
        <v>992</v>
      </c>
      <c r="M102" s="23">
        <f>+OUTPUT!V48</f>
        <v>911</v>
      </c>
      <c r="N102" s="23">
        <f>+OUTPUT!X48</f>
        <v>735</v>
      </c>
      <c r="O102" s="23">
        <f>+OUTPUT!Z48</f>
        <v>408</v>
      </c>
      <c r="P102" s="23">
        <f>+OUTPUT!AB48</f>
        <v>419</v>
      </c>
      <c r="Q102" s="23">
        <f>+OUTPUT!AD48</f>
        <v>346</v>
      </c>
      <c r="R102" s="23">
        <f>+OUTPUT!AF48</f>
        <v>277</v>
      </c>
      <c r="S102" s="23">
        <f>+OUTPUT!AH48</f>
        <v>283</v>
      </c>
      <c r="T102" s="23">
        <f>+OUTPUT!AJ48</f>
        <v>288</v>
      </c>
      <c r="V102" s="696"/>
    </row>
    <row r="103" spans="2:22" ht="15" customHeight="1">
      <c r="B103" s="11" t="s">
        <v>336</v>
      </c>
      <c r="C103" s="23">
        <f>+OUTPUT!D49</f>
        <v>692.83688696529566</v>
      </c>
      <c r="D103" s="23">
        <f>+OUTPUT!F49</f>
        <v>718</v>
      </c>
      <c r="E103" s="23">
        <f>+OUTPUT!H49</f>
        <v>1033</v>
      </c>
      <c r="F103" s="23">
        <f>+OUTPUT!J49</f>
        <v>1055</v>
      </c>
      <c r="G103" s="23">
        <f t="shared" si="6"/>
        <v>508</v>
      </c>
      <c r="H103" s="23">
        <f>+OUTPUT!L49</f>
        <v>508</v>
      </c>
      <c r="I103" s="23">
        <f>+OUTPUT!N49</f>
        <v>581</v>
      </c>
      <c r="J103" s="23">
        <f>+OUTPUT!P49</f>
        <v>741</v>
      </c>
      <c r="K103" s="23">
        <f>+OUTPUT!R49</f>
        <v>425</v>
      </c>
      <c r="L103" s="23">
        <f>+OUTPUT!T49</f>
        <v>296</v>
      </c>
      <c r="M103" s="23">
        <f>+OUTPUT!V49</f>
        <v>404</v>
      </c>
      <c r="N103" s="23">
        <f>+OUTPUT!X49</f>
        <v>455</v>
      </c>
      <c r="O103" s="23">
        <f>+OUTPUT!Z49</f>
        <v>906</v>
      </c>
      <c r="P103" s="23">
        <f>+OUTPUT!AB49</f>
        <v>889</v>
      </c>
      <c r="Q103" s="23">
        <f>+OUTPUT!AD49</f>
        <v>890</v>
      </c>
      <c r="R103" s="23">
        <f>+OUTPUT!AF49</f>
        <v>998</v>
      </c>
      <c r="S103" s="23">
        <f>+OUTPUT!AH49</f>
        <v>886</v>
      </c>
      <c r="T103" s="23">
        <f>+OUTPUT!AJ49</f>
        <v>1147</v>
      </c>
      <c r="V103" s="696"/>
    </row>
    <row r="104" spans="2:22" ht="15" customHeight="1">
      <c r="B104" s="11" t="s">
        <v>337</v>
      </c>
      <c r="C104" s="23">
        <f>+OUTPUT!D50</f>
        <v>2763.4871617854014</v>
      </c>
      <c r="D104" s="23">
        <f>+OUTPUT!F50</f>
        <v>2024</v>
      </c>
      <c r="E104" s="23">
        <f>+OUTPUT!H50</f>
        <v>1959</v>
      </c>
      <c r="F104" s="23">
        <f>+OUTPUT!J50</f>
        <v>1462</v>
      </c>
      <c r="G104" s="23">
        <f t="shared" si="6"/>
        <v>1445</v>
      </c>
      <c r="H104" s="23">
        <f>+OUTPUT!L50</f>
        <v>1445</v>
      </c>
      <c r="I104" s="23">
        <f>+OUTPUT!N50</f>
        <v>3685</v>
      </c>
      <c r="J104" s="23">
        <f>+OUTPUT!P50</f>
        <v>5664</v>
      </c>
      <c r="K104" s="23">
        <f>+OUTPUT!R50</f>
        <v>6018</v>
      </c>
      <c r="L104" s="23">
        <f>+OUTPUT!T50</f>
        <v>6666</v>
      </c>
      <c r="M104" s="23">
        <f>+OUTPUT!V50</f>
        <v>8938</v>
      </c>
      <c r="N104" s="23">
        <f>+OUTPUT!X50</f>
        <v>10542</v>
      </c>
      <c r="O104" s="23">
        <f>+OUTPUT!Z50</f>
        <v>10318</v>
      </c>
      <c r="P104" s="23">
        <f>+OUTPUT!AB50</f>
        <v>10020</v>
      </c>
      <c r="Q104" s="23">
        <f>+OUTPUT!AD50</f>
        <v>8796</v>
      </c>
      <c r="R104" s="23">
        <f>+OUTPUT!AF50</f>
        <v>8981</v>
      </c>
      <c r="S104" s="23">
        <f>+OUTPUT!AH50</f>
        <v>8217</v>
      </c>
      <c r="T104" s="23">
        <f>+OUTPUT!AJ50</f>
        <v>6940</v>
      </c>
      <c r="V104" s="696"/>
    </row>
    <row r="105" spans="2:22" ht="15" customHeight="1">
      <c r="B105" s="11" t="s">
        <v>338</v>
      </c>
      <c r="C105" s="23">
        <f>+OUTPUT!D51</f>
        <v>623.216324579804</v>
      </c>
      <c r="D105" s="23">
        <f>+OUTPUT!F51</f>
        <v>1266</v>
      </c>
      <c r="E105" s="23">
        <f>+OUTPUT!H51</f>
        <v>1232</v>
      </c>
      <c r="F105" s="23">
        <f>+OUTPUT!J51</f>
        <v>2025</v>
      </c>
      <c r="G105" s="23">
        <f t="shared" si="6"/>
        <v>2354</v>
      </c>
      <c r="H105" s="23">
        <f>+OUTPUT!L51</f>
        <v>2354</v>
      </c>
      <c r="I105" s="23">
        <f>+OUTPUT!N51</f>
        <v>1341</v>
      </c>
      <c r="J105" s="23">
        <f>+OUTPUT!P51</f>
        <v>73</v>
      </c>
      <c r="K105" s="23">
        <f>+OUTPUT!R51</f>
        <v>125</v>
      </c>
      <c r="L105" s="23">
        <f>+OUTPUT!T51</f>
        <v>82</v>
      </c>
      <c r="M105" s="23">
        <f>+OUTPUT!V51</f>
        <v>129</v>
      </c>
      <c r="N105" s="23">
        <f>+OUTPUT!X51</f>
        <v>258</v>
      </c>
      <c r="O105" s="23">
        <f>+OUTPUT!Z51</f>
        <v>566</v>
      </c>
      <c r="P105" s="23">
        <f>+OUTPUT!AB51</f>
        <v>3275</v>
      </c>
      <c r="Q105" s="23">
        <f>+OUTPUT!AD51</f>
        <v>4914</v>
      </c>
      <c r="R105" s="23">
        <f>+OUTPUT!AF51</f>
        <v>6031</v>
      </c>
      <c r="S105" s="23">
        <f>+OUTPUT!AH51</f>
        <v>8575</v>
      </c>
      <c r="T105" s="23">
        <f>+OUTPUT!AJ51</f>
        <v>10229</v>
      </c>
      <c r="V105" s="696"/>
    </row>
    <row r="106" spans="2:22" ht="15" customHeight="1">
      <c r="B106" s="11" t="s">
        <v>339</v>
      </c>
      <c r="C106" s="23">
        <f>+OUTPUT!D52</f>
        <v>152.71607232946548</v>
      </c>
      <c r="D106" s="23">
        <f>+OUTPUT!F52</f>
        <v>93</v>
      </c>
      <c r="E106" s="23">
        <f>+OUTPUT!H52</f>
        <v>31</v>
      </c>
      <c r="F106" s="23">
        <f>+OUTPUT!J52</f>
        <v>81</v>
      </c>
      <c r="G106" s="23">
        <f t="shared" si="6"/>
        <v>48</v>
      </c>
      <c r="H106" s="23">
        <f>+OUTPUT!L52</f>
        <v>48</v>
      </c>
      <c r="I106" s="23">
        <f>+OUTPUT!N52</f>
        <v>33</v>
      </c>
      <c r="J106" s="23">
        <f>+OUTPUT!P52</f>
        <v>8</v>
      </c>
      <c r="K106" s="23">
        <f>+OUTPUT!R52</f>
        <v>15</v>
      </c>
      <c r="L106" s="23">
        <f>+OUTPUT!T52</f>
        <v>11</v>
      </c>
      <c r="M106" s="23">
        <f>+OUTPUT!V52</f>
        <v>22</v>
      </c>
      <c r="N106" s="23">
        <f>+OUTPUT!X52</f>
        <v>21</v>
      </c>
      <c r="O106" s="23">
        <f>+OUTPUT!Z52</f>
        <v>4</v>
      </c>
      <c r="P106" s="23">
        <f>+OUTPUT!AB52</f>
        <v>0</v>
      </c>
      <c r="Q106" s="23">
        <f>+OUTPUT!AD52</f>
        <v>1</v>
      </c>
      <c r="R106" s="23">
        <f>+OUTPUT!AF52</f>
        <v>0</v>
      </c>
      <c r="S106" s="23">
        <f>+OUTPUT!AH52</f>
        <v>4</v>
      </c>
      <c r="T106" s="23">
        <f>+OUTPUT!AJ52</f>
        <v>0</v>
      </c>
      <c r="V106" s="696"/>
    </row>
    <row r="107" spans="2:22" ht="15" customHeight="1">
      <c r="B107" s="11" t="s">
        <v>340</v>
      </c>
      <c r="C107" s="23">
        <f>+OUTPUT!D56</f>
        <v>5480.9349194126553</v>
      </c>
      <c r="D107" s="23">
        <f>+OUTPUT!F56</f>
        <v>5825</v>
      </c>
      <c r="E107" s="23">
        <f>+OUTPUT!H56</f>
        <v>4709</v>
      </c>
      <c r="F107" s="23">
        <f>+OUTPUT!J56</f>
        <v>4796</v>
      </c>
      <c r="G107" s="23">
        <f t="shared" si="6"/>
        <v>4701</v>
      </c>
      <c r="H107" s="23">
        <f>+OUTPUT!L56</f>
        <v>4701</v>
      </c>
      <c r="I107" s="23">
        <f>+OUTPUT!N56</f>
        <v>5195</v>
      </c>
      <c r="J107" s="23">
        <f>+OUTPUT!P56</f>
        <v>5663</v>
      </c>
      <c r="K107" s="23">
        <f>+OUTPUT!R56</f>
        <v>5535</v>
      </c>
      <c r="L107" s="23">
        <f>+OUTPUT!T56</f>
        <v>5724</v>
      </c>
      <c r="M107" s="23">
        <f>+OUTPUT!V56</f>
        <v>6027</v>
      </c>
      <c r="N107" s="23">
        <f>+OUTPUT!X56</f>
        <v>4788</v>
      </c>
      <c r="O107" s="23">
        <f>+OUTPUT!Z56</f>
        <v>3640</v>
      </c>
      <c r="P107" s="23">
        <f>+OUTPUT!AB56</f>
        <v>2963</v>
      </c>
      <c r="Q107" s="23">
        <f>+OUTPUT!AD56</f>
        <v>2342</v>
      </c>
      <c r="R107" s="23">
        <f>+OUTPUT!AF56</f>
        <v>2090</v>
      </c>
      <c r="S107" s="23">
        <f>+OUTPUT!AH56</f>
        <v>2059</v>
      </c>
      <c r="T107" s="23">
        <f>+OUTPUT!AJ56</f>
        <v>2276</v>
      </c>
      <c r="V107" s="696"/>
    </row>
    <row r="108" spans="2:22" ht="15" customHeight="1">
      <c r="B108" s="11" t="s">
        <v>341</v>
      </c>
      <c r="C108" s="23">
        <f>+OUTPUT!D57</f>
        <v>3280.0268181938873</v>
      </c>
      <c r="D108" s="23">
        <f>+OUTPUT!F57</f>
        <v>3386</v>
      </c>
      <c r="E108" s="23">
        <f>+OUTPUT!H57</f>
        <v>4666</v>
      </c>
      <c r="F108" s="23">
        <f>+OUTPUT!J57</f>
        <v>3879</v>
      </c>
      <c r="G108" s="23">
        <f t="shared" si="6"/>
        <v>2453</v>
      </c>
      <c r="H108" s="23">
        <f>+OUTPUT!L57</f>
        <v>2453</v>
      </c>
      <c r="I108" s="23">
        <f>+OUTPUT!N57</f>
        <v>2673</v>
      </c>
      <c r="J108" s="23">
        <f>+OUTPUT!P57</f>
        <v>4264</v>
      </c>
      <c r="K108" s="23">
        <f>+OUTPUT!R57</f>
        <v>2936</v>
      </c>
      <c r="L108" s="23">
        <f>+OUTPUT!T57</f>
        <v>2298</v>
      </c>
      <c r="M108" s="23">
        <f>+OUTPUT!V57</f>
        <v>2705</v>
      </c>
      <c r="N108" s="23">
        <f>+OUTPUT!X57</f>
        <v>3096</v>
      </c>
      <c r="O108" s="23">
        <f>+OUTPUT!Z57</f>
        <v>6430</v>
      </c>
      <c r="P108" s="23">
        <f>+OUTPUT!AB57</f>
        <v>5754</v>
      </c>
      <c r="Q108" s="23">
        <f>+OUTPUT!AD57</f>
        <v>5580</v>
      </c>
      <c r="R108" s="23">
        <f>+OUTPUT!AF57</f>
        <v>6204</v>
      </c>
      <c r="S108" s="23">
        <f>+OUTPUT!AH57</f>
        <v>5889</v>
      </c>
      <c r="T108" s="23">
        <f>+OUTPUT!AJ57</f>
        <v>5768</v>
      </c>
      <c r="V108" s="696"/>
    </row>
    <row r="109" spans="2:22" ht="15" customHeight="1">
      <c r="B109" s="11" t="s">
        <v>342</v>
      </c>
      <c r="C109" s="23">
        <f>+OUTPUT!D58</f>
        <v>7910.9171291256207</v>
      </c>
      <c r="D109" s="23">
        <f>+OUTPUT!F58</f>
        <v>5329</v>
      </c>
      <c r="E109" s="23">
        <f>+OUTPUT!H58</f>
        <v>5319</v>
      </c>
      <c r="F109" s="23">
        <f>+OUTPUT!J58</f>
        <v>3641</v>
      </c>
      <c r="G109" s="23">
        <f t="shared" si="6"/>
        <v>4790</v>
      </c>
      <c r="H109" s="23">
        <f>+OUTPUT!L58</f>
        <v>4790</v>
      </c>
      <c r="I109" s="23">
        <f>+OUTPUT!N58</f>
        <v>7976</v>
      </c>
      <c r="J109" s="23">
        <f>+OUTPUT!P58</f>
        <v>10765</v>
      </c>
      <c r="K109" s="23">
        <f>+OUTPUT!R58</f>
        <v>10922</v>
      </c>
      <c r="L109" s="23">
        <f>+OUTPUT!T58</f>
        <v>12435</v>
      </c>
      <c r="M109" s="23">
        <f>+OUTPUT!V58</f>
        <v>16315</v>
      </c>
      <c r="N109" s="23">
        <f>+OUTPUT!X58</f>
        <v>21998</v>
      </c>
      <c r="O109" s="23">
        <f>+OUTPUT!Z58</f>
        <v>23320</v>
      </c>
      <c r="P109" s="23">
        <f>+OUTPUT!AB58</f>
        <v>19915</v>
      </c>
      <c r="Q109" s="23">
        <f>+OUTPUT!AD58</f>
        <v>17562</v>
      </c>
      <c r="R109" s="23">
        <f>+OUTPUT!AF58</f>
        <v>18629</v>
      </c>
      <c r="S109" s="23">
        <f>+OUTPUT!AH58</f>
        <v>16282</v>
      </c>
      <c r="T109" s="23">
        <f>+OUTPUT!AJ58</f>
        <v>15005</v>
      </c>
      <c r="V109" s="696"/>
    </row>
    <row r="110" spans="2:22" ht="15" customHeight="1">
      <c r="B110" s="11" t="s">
        <v>343</v>
      </c>
      <c r="C110" s="23">
        <f>+OUTPUT!D59</f>
        <v>2511.9548073603992</v>
      </c>
      <c r="D110" s="23">
        <f>+OUTPUT!F59</f>
        <v>4540</v>
      </c>
      <c r="E110" s="23">
        <f>+OUTPUT!H59</f>
        <v>4277</v>
      </c>
      <c r="F110" s="23">
        <f>+OUTPUT!J59</f>
        <v>5163</v>
      </c>
      <c r="G110" s="23">
        <f t="shared" si="6"/>
        <v>5145</v>
      </c>
      <c r="H110" s="23">
        <f>+OUTPUT!L59</f>
        <v>5145</v>
      </c>
      <c r="I110" s="23">
        <f>+OUTPUT!N59</f>
        <v>2763</v>
      </c>
      <c r="J110" s="23">
        <f>+OUTPUT!P59</f>
        <v>667</v>
      </c>
      <c r="K110" s="23">
        <f>+OUTPUT!R59</f>
        <v>731</v>
      </c>
      <c r="L110" s="23">
        <f>+OUTPUT!T59</f>
        <v>613</v>
      </c>
      <c r="M110" s="23">
        <f>+OUTPUT!V59</f>
        <v>1025</v>
      </c>
      <c r="N110" s="23">
        <f>+OUTPUT!X59</f>
        <v>1160</v>
      </c>
      <c r="O110" s="23">
        <f>+OUTPUT!Z59</f>
        <v>2001</v>
      </c>
      <c r="P110" s="23">
        <f>+OUTPUT!AB59</f>
        <v>6186</v>
      </c>
      <c r="Q110" s="23">
        <f>+OUTPUT!AD59</f>
        <v>8363</v>
      </c>
      <c r="R110" s="23">
        <f>+OUTPUT!AF59</f>
        <v>8967</v>
      </c>
      <c r="S110" s="23">
        <f>+OUTPUT!AH59</f>
        <v>13219</v>
      </c>
      <c r="T110" s="23">
        <f>+OUTPUT!AJ59</f>
        <v>15831</v>
      </c>
      <c r="V110" s="696"/>
    </row>
    <row r="111" spans="2:22" ht="15" customHeight="1">
      <c r="B111" s="11" t="s">
        <v>344</v>
      </c>
      <c r="C111" s="23">
        <f>+OUTPUT!D60</f>
        <v>215.59916093571599</v>
      </c>
      <c r="D111" s="23">
        <f>+OUTPUT!F60</f>
        <v>107</v>
      </c>
      <c r="E111" s="23">
        <f>+OUTPUT!H60</f>
        <v>33</v>
      </c>
      <c r="F111" s="23">
        <f>+OUTPUT!J60</f>
        <v>290</v>
      </c>
      <c r="G111" s="23">
        <f t="shared" si="6"/>
        <v>46</v>
      </c>
      <c r="H111" s="23">
        <f>+OUTPUT!L60</f>
        <v>46</v>
      </c>
      <c r="I111" s="23">
        <f>+OUTPUT!N60</f>
        <v>15</v>
      </c>
      <c r="J111" s="23">
        <f>+OUTPUT!P60</f>
        <v>21</v>
      </c>
      <c r="K111" s="23">
        <f>+OUTPUT!R60</f>
        <v>22</v>
      </c>
      <c r="L111" s="23">
        <f>+OUTPUT!T60</f>
        <v>17</v>
      </c>
      <c r="M111" s="23">
        <f>+OUTPUT!V60</f>
        <v>30</v>
      </c>
      <c r="N111" s="23">
        <f>+OUTPUT!X60</f>
        <v>14</v>
      </c>
      <c r="O111" s="23">
        <f>+OUTPUT!Z60</f>
        <v>6</v>
      </c>
      <c r="P111" s="23">
        <f>+OUTPUT!AB60</f>
        <v>1</v>
      </c>
      <c r="Q111" s="23">
        <f>+OUTPUT!AD60</f>
        <v>4</v>
      </c>
      <c r="R111" s="23">
        <f>+OUTPUT!AF60</f>
        <v>-1</v>
      </c>
      <c r="S111" s="23">
        <f>+OUTPUT!AH60</f>
        <v>0</v>
      </c>
      <c r="T111" s="23">
        <f>+OUTPUT!AJ60</f>
        <v>6</v>
      </c>
      <c r="V111" s="696"/>
    </row>
    <row r="112" spans="2:22" ht="15" customHeight="1">
      <c r="B112" s="11" t="s">
        <v>345</v>
      </c>
      <c r="C112" s="23">
        <f>+OUTPUT!D62</f>
        <v>599.63516635246015</v>
      </c>
      <c r="D112" s="23">
        <f>+OUTPUT!F62</f>
        <v>511</v>
      </c>
      <c r="E112" s="23">
        <f>+OUTPUT!H62</f>
        <v>577</v>
      </c>
      <c r="F112" s="23">
        <f>+OUTPUT!J62</f>
        <v>749</v>
      </c>
      <c r="G112" s="23">
        <f t="shared" si="6"/>
        <v>802</v>
      </c>
      <c r="H112" s="23">
        <f>+OUTPUT!L62</f>
        <v>802</v>
      </c>
      <c r="I112" s="23">
        <f>+OUTPUT!N62</f>
        <v>844</v>
      </c>
      <c r="J112" s="23">
        <f>+OUTPUT!P62</f>
        <v>961</v>
      </c>
      <c r="K112" s="23">
        <f>+OUTPUT!R62</f>
        <v>810</v>
      </c>
      <c r="L112" s="23">
        <f>+OUTPUT!T62</f>
        <v>1116</v>
      </c>
      <c r="M112" s="23">
        <f>+OUTPUT!V62</f>
        <v>924</v>
      </c>
      <c r="N112" s="23">
        <f>+OUTPUT!X62</f>
        <v>485</v>
      </c>
      <c r="O112" s="23">
        <f>+OUTPUT!Z62</f>
        <v>127</v>
      </c>
      <c r="P112" s="23">
        <f>+OUTPUT!AB62</f>
        <v>145</v>
      </c>
      <c r="Q112" s="23">
        <f>+OUTPUT!AD62</f>
        <v>126</v>
      </c>
      <c r="R112" s="23">
        <f>+OUTPUT!AF62</f>
        <v>100</v>
      </c>
      <c r="S112" s="23">
        <f>+OUTPUT!AH62</f>
        <v>119</v>
      </c>
      <c r="T112" s="23">
        <f>+OUTPUT!AJ62</f>
        <v>112</v>
      </c>
      <c r="V112" s="696"/>
    </row>
    <row r="113" spans="2:22" ht="15" customHeight="1">
      <c r="B113" s="11" t="s">
        <v>346</v>
      </c>
      <c r="C113" s="23">
        <f>+OUTPUT!D63</f>
        <v>162.82228299832718</v>
      </c>
      <c r="D113" s="23">
        <f>+OUTPUT!F63</f>
        <v>166</v>
      </c>
      <c r="E113" s="23">
        <f>+OUTPUT!H63</f>
        <v>206</v>
      </c>
      <c r="F113" s="23">
        <f>+OUTPUT!J63</f>
        <v>375</v>
      </c>
      <c r="G113" s="23">
        <f t="shared" si="6"/>
        <v>170</v>
      </c>
      <c r="H113" s="23">
        <f>+OUTPUT!L63</f>
        <v>170</v>
      </c>
      <c r="I113" s="23">
        <f>+OUTPUT!N63</f>
        <v>188</v>
      </c>
      <c r="J113" s="23">
        <f>+OUTPUT!P63</f>
        <v>200</v>
      </c>
      <c r="K113" s="23">
        <f>+OUTPUT!R63</f>
        <v>148</v>
      </c>
      <c r="L113" s="23">
        <f>+OUTPUT!T63</f>
        <v>38</v>
      </c>
      <c r="M113" s="23">
        <f>+OUTPUT!V63</f>
        <v>46</v>
      </c>
      <c r="N113" s="23">
        <f>+OUTPUT!X63</f>
        <v>35</v>
      </c>
      <c r="O113" s="23">
        <f>+OUTPUT!Z63</f>
        <v>701</v>
      </c>
      <c r="P113" s="23">
        <f>+OUTPUT!AB63</f>
        <v>960</v>
      </c>
      <c r="Q113" s="23">
        <f>+OUTPUT!AD63</f>
        <v>972</v>
      </c>
      <c r="R113" s="23">
        <f>+OUTPUT!AF63</f>
        <v>1067</v>
      </c>
      <c r="S113" s="23">
        <f>+OUTPUT!AH63</f>
        <v>469</v>
      </c>
      <c r="T113" s="23">
        <f>+OUTPUT!AJ63</f>
        <v>627</v>
      </c>
      <c r="V113" s="696"/>
    </row>
    <row r="114" spans="2:22" ht="15" customHeight="1">
      <c r="B114" s="11" t="s">
        <v>347</v>
      </c>
      <c r="C114" s="23">
        <f>+OUTPUT!D64</f>
        <v>563.70197286317409</v>
      </c>
      <c r="D114" s="23">
        <f>+OUTPUT!F64</f>
        <v>349</v>
      </c>
      <c r="E114" s="23">
        <f>+OUTPUT!H64</f>
        <v>395</v>
      </c>
      <c r="F114" s="23">
        <f>+OUTPUT!J64</f>
        <v>31</v>
      </c>
      <c r="G114" s="23">
        <f t="shared" si="6"/>
        <v>26</v>
      </c>
      <c r="H114" s="23">
        <f>+OUTPUT!L64</f>
        <v>26</v>
      </c>
      <c r="I114" s="23">
        <f>+OUTPUT!N64</f>
        <v>2049</v>
      </c>
      <c r="J114" s="23">
        <f>+OUTPUT!P64</f>
        <v>3952</v>
      </c>
      <c r="K114" s="23">
        <f>+OUTPUT!R64</f>
        <v>5885</v>
      </c>
      <c r="L114" s="23">
        <f>+OUTPUT!T64</f>
        <v>6465</v>
      </c>
      <c r="M114" s="23">
        <f>+OUTPUT!V64</f>
        <v>8123</v>
      </c>
      <c r="N114" s="23">
        <f>+OUTPUT!X64</f>
        <v>7314</v>
      </c>
      <c r="O114" s="23">
        <f>+OUTPUT!Z64</f>
        <v>7048</v>
      </c>
      <c r="P114" s="23">
        <f>+OUTPUT!AB64</f>
        <v>7189</v>
      </c>
      <c r="Q114" s="23">
        <f>+OUTPUT!AD64</f>
        <v>6188</v>
      </c>
      <c r="R114" s="23">
        <f>+OUTPUT!AF64</f>
        <v>6768</v>
      </c>
      <c r="S114" s="23">
        <f>+OUTPUT!AH64</f>
        <v>6825</v>
      </c>
      <c r="T114" s="23">
        <f>+OUTPUT!AJ64</f>
        <v>6093</v>
      </c>
      <c r="V114" s="696"/>
    </row>
    <row r="115" spans="2:22" ht="15" customHeight="1">
      <c r="B115" s="11" t="s">
        <v>348</v>
      </c>
      <c r="C115" s="23">
        <f>+OUTPUT!D65</f>
        <v>314.41544303125249</v>
      </c>
      <c r="D115" s="23">
        <f>+OUTPUT!F65</f>
        <v>389</v>
      </c>
      <c r="E115" s="23">
        <f>+OUTPUT!H65</f>
        <v>609</v>
      </c>
      <c r="F115" s="23">
        <f>+OUTPUT!J65</f>
        <v>707</v>
      </c>
      <c r="G115" s="23">
        <f t="shared" si="6"/>
        <v>677</v>
      </c>
      <c r="H115" s="23">
        <f>+OUTPUT!L65</f>
        <v>677</v>
      </c>
      <c r="I115" s="23">
        <f>+OUTPUT!N65</f>
        <v>1034</v>
      </c>
      <c r="J115" s="23">
        <f>+OUTPUT!P65</f>
        <v>26</v>
      </c>
      <c r="K115" s="23">
        <f>+OUTPUT!R65</f>
        <v>185</v>
      </c>
      <c r="L115" s="23">
        <f>+OUTPUT!T65</f>
        <v>166</v>
      </c>
      <c r="M115" s="23">
        <f>+OUTPUT!V65</f>
        <v>135</v>
      </c>
      <c r="N115" s="23">
        <f>+OUTPUT!X65</f>
        <v>105</v>
      </c>
      <c r="O115" s="23">
        <f>+OUTPUT!Z65</f>
        <v>366</v>
      </c>
      <c r="P115" s="23">
        <f>+OUTPUT!AB65</f>
        <v>2425</v>
      </c>
      <c r="Q115" s="23">
        <f>+OUTPUT!AD65</f>
        <v>3875</v>
      </c>
      <c r="R115" s="23">
        <f>+OUTPUT!AF65</f>
        <v>5761</v>
      </c>
      <c r="S115" s="23">
        <f>+OUTPUT!AH65</f>
        <v>7484</v>
      </c>
      <c r="T115" s="23">
        <f>+OUTPUT!AJ65</f>
        <v>8649</v>
      </c>
      <c r="V115" s="696"/>
    </row>
    <row r="116" spans="2:22" ht="15" customHeight="1">
      <c r="B116" s="11" t="s">
        <v>349</v>
      </c>
      <c r="C116" s="23">
        <f>+OUTPUT!D66</f>
        <v>61.76017630971031</v>
      </c>
      <c r="D116" s="23">
        <f>+OUTPUT!F66</f>
        <v>46</v>
      </c>
      <c r="E116" s="23">
        <f>+OUTPUT!H66</f>
        <v>38</v>
      </c>
      <c r="F116" s="23">
        <f>+OUTPUT!J66</f>
        <v>974</v>
      </c>
      <c r="G116" s="23">
        <f t="shared" si="6"/>
        <v>1517</v>
      </c>
      <c r="H116" s="23">
        <f>+OUTPUT!L66</f>
        <v>1517</v>
      </c>
      <c r="I116" s="23">
        <f>+OUTPUT!N66</f>
        <v>104</v>
      </c>
      <c r="J116" s="23">
        <f>+OUTPUT!P66</f>
        <v>33</v>
      </c>
      <c r="K116" s="23">
        <f>+OUTPUT!R66</f>
        <v>54</v>
      </c>
      <c r="L116" s="23">
        <f>+OUTPUT!T66</f>
        <v>38</v>
      </c>
      <c r="M116" s="23">
        <f>+OUTPUT!V66</f>
        <v>39</v>
      </c>
      <c r="N116" s="23">
        <f>+OUTPUT!X66</f>
        <v>33</v>
      </c>
      <c r="O116" s="23">
        <f>+OUTPUT!Z66</f>
        <v>1</v>
      </c>
      <c r="P116" s="23">
        <f>+OUTPUT!AB66</f>
        <v>0</v>
      </c>
      <c r="Q116" s="23">
        <f>+OUTPUT!AD66</f>
        <v>0</v>
      </c>
      <c r="R116" s="23">
        <f>+OUTPUT!AF66</f>
        <v>0</v>
      </c>
      <c r="S116" s="23">
        <f>+OUTPUT!AH66</f>
        <v>5</v>
      </c>
      <c r="T116" s="23">
        <f>+OUTPUT!AJ66</f>
        <v>0</v>
      </c>
      <c r="V116" s="696"/>
    </row>
    <row r="117" spans="2:22" ht="15" customHeight="1">
      <c r="B117" s="11" t="s">
        <v>305</v>
      </c>
      <c r="C117" s="23">
        <f>+OUTPUT!D67</f>
        <v>6043.7336971335026</v>
      </c>
      <c r="D117" s="23">
        <f>+OUTPUT!F67</f>
        <v>7218</v>
      </c>
      <c r="E117" s="23">
        <f>+OUTPUT!H67</f>
        <v>6786</v>
      </c>
      <c r="F117" s="23">
        <f>+OUTPUT!J67</f>
        <v>7081</v>
      </c>
      <c r="G117" s="23">
        <f t="shared" si="6"/>
        <v>7785</v>
      </c>
      <c r="H117" s="23">
        <f>+OUTPUT!L67</f>
        <v>7785</v>
      </c>
      <c r="I117" s="23">
        <f>+OUTPUT!N67</f>
        <v>8592</v>
      </c>
      <c r="J117" s="23">
        <f>+OUTPUT!P67</f>
        <v>10186</v>
      </c>
      <c r="K117" s="23">
        <f>+OUTPUT!R67</f>
        <v>11810</v>
      </c>
      <c r="L117" s="23">
        <f>+OUTPUT!T67</f>
        <v>13400</v>
      </c>
      <c r="M117" s="23">
        <f>+OUTPUT!V67</f>
        <v>14178</v>
      </c>
      <c r="N117" s="23">
        <f>+OUTPUT!X67</f>
        <v>17671</v>
      </c>
      <c r="O117" s="23">
        <f>+OUTPUT!Z67</f>
        <v>21510</v>
      </c>
      <c r="P117" s="23">
        <f>+OUTPUT!AB67</f>
        <v>22259</v>
      </c>
      <c r="Q117" s="23">
        <f>+OUTPUT!AD67</f>
        <v>22744</v>
      </c>
      <c r="R117" s="23">
        <f>+OUTPUT!AF67</f>
        <v>24393</v>
      </c>
      <c r="S117" s="23">
        <f>+OUTPUT!AH67</f>
        <v>25868</v>
      </c>
      <c r="T117" s="23">
        <f>+OUTPUT!AJ67</f>
        <v>27092</v>
      </c>
      <c r="V117" s="696"/>
    </row>
    <row r="118" spans="2:22" ht="15" customHeight="1">
      <c r="B118" s="11" t="s">
        <v>306</v>
      </c>
      <c r="C118" s="23">
        <f>+OUTPUT!D68</f>
        <v>8461.1441544303125</v>
      </c>
      <c r="D118" s="23">
        <f>+OUTPUT!F68</f>
        <v>8340</v>
      </c>
      <c r="E118" s="23">
        <f>+OUTPUT!H68</f>
        <v>12337</v>
      </c>
      <c r="F118" s="23">
        <f>+OUTPUT!J68</f>
        <v>10821</v>
      </c>
      <c r="G118" s="23">
        <f t="shared" si="6"/>
        <v>9761</v>
      </c>
      <c r="H118" s="23">
        <f>+OUTPUT!L68</f>
        <v>9761</v>
      </c>
      <c r="I118" s="23">
        <f>+OUTPUT!N68</f>
        <v>10541</v>
      </c>
      <c r="J118" s="23">
        <f>+OUTPUT!P68</f>
        <v>11327</v>
      </c>
      <c r="K118" s="23">
        <f>+OUTPUT!R68</f>
        <v>11184</v>
      </c>
      <c r="L118" s="23">
        <f>+OUTPUT!T68</f>
        <v>13412</v>
      </c>
      <c r="M118" s="23">
        <f>+OUTPUT!V68</f>
        <v>16481</v>
      </c>
      <c r="N118" s="23">
        <f>+OUTPUT!X68</f>
        <v>19074</v>
      </c>
      <c r="O118" s="23">
        <f>+OUTPUT!Z68</f>
        <v>21423</v>
      </c>
      <c r="P118" s="23">
        <f>+OUTPUT!AB68</f>
        <v>22343</v>
      </c>
      <c r="Q118" s="23">
        <f>+OUTPUT!AD68</f>
        <v>22711</v>
      </c>
      <c r="R118" s="23">
        <f>+OUTPUT!AF68</f>
        <v>24837</v>
      </c>
      <c r="S118" s="23">
        <f>+OUTPUT!AH68</f>
        <v>26947</v>
      </c>
      <c r="T118" s="23">
        <f>+OUTPUT!AJ68</f>
        <v>28638</v>
      </c>
      <c r="V118" s="696"/>
    </row>
    <row r="119" spans="2:22" ht="15" customHeight="1">
      <c r="B119" s="11" t="s">
        <v>60</v>
      </c>
      <c r="C119" s="23">
        <f>OUTPUT!D69</f>
        <v>0</v>
      </c>
      <c r="D119" s="23">
        <f>OUTPUT!F69</f>
        <v>0</v>
      </c>
      <c r="E119" s="23">
        <f>OUTPUT!H69</f>
        <v>0</v>
      </c>
      <c r="F119" s="23">
        <f>OUTPUT!J69</f>
        <v>0</v>
      </c>
      <c r="G119" s="23">
        <f>+F119</f>
        <v>0</v>
      </c>
      <c r="H119" s="23">
        <f>OUTPUT!L69</f>
        <v>18487.433333333334</v>
      </c>
      <c r="I119" s="23">
        <f>OUTPUT!N69</f>
        <v>22513.733336666664</v>
      </c>
      <c r="J119" s="23">
        <f>OUTPUT!P69</f>
        <v>26614.270333666653</v>
      </c>
      <c r="K119" s="23">
        <f>OUTPUT!R69</f>
        <v>31231.066702700013</v>
      </c>
      <c r="L119" s="23">
        <f>OUTPUT!T69</f>
        <v>69000.51666667001</v>
      </c>
      <c r="M119" s="23">
        <f>OUTPUT!V69</f>
        <v>73741.603300033341</v>
      </c>
      <c r="N119" s="23">
        <f>OUTPUT!X69</f>
        <v>81665.649999999994</v>
      </c>
      <c r="O119" s="23">
        <f>OUTPUT!Z69</f>
        <v>86166.983333333352</v>
      </c>
      <c r="P119" s="23">
        <f>OUTPUT!AB69</f>
        <v>91514.866666666669</v>
      </c>
      <c r="Q119" s="23">
        <f>OUTPUT!AD69</f>
        <v>94808.833333333343</v>
      </c>
      <c r="R119" s="23">
        <f>OUTPUT!AF69</f>
        <v>94240.166666666657</v>
      </c>
      <c r="S119" s="23">
        <f>OUTPUT!AH69</f>
        <v>103570.56666666667</v>
      </c>
      <c r="T119" s="23">
        <f>OUTPUT!AJ69</f>
        <v>108679.28333333334</v>
      </c>
      <c r="V119" s="696"/>
    </row>
    <row r="120" spans="2:22" ht="15" customHeight="1">
      <c r="B120" s="11" t="s">
        <v>58</v>
      </c>
      <c r="C120" s="23">
        <f>OUTPUT!D70</f>
        <v>114251451.05999999</v>
      </c>
      <c r="D120" s="23">
        <f>OUTPUT!F70</f>
        <v>136694281.83999997</v>
      </c>
      <c r="E120" s="23">
        <f>OUTPUT!H70</f>
        <v>160328809.04000002</v>
      </c>
      <c r="F120" s="23">
        <f>OUTPUT!J70</f>
        <v>171538315.23000002</v>
      </c>
      <c r="G120" s="23">
        <f>+H120</f>
        <v>177061775.85000002</v>
      </c>
      <c r="H120" s="23">
        <f>OUTPUT!L70</f>
        <v>177061775.85000002</v>
      </c>
      <c r="I120" s="23">
        <f>OUTPUT!N70</f>
        <v>196930156.89000002</v>
      </c>
      <c r="J120" s="23">
        <f>OUTPUT!P70</f>
        <v>225369954.46999997</v>
      </c>
      <c r="K120" s="23">
        <f>OUTPUT!R70</f>
        <v>239112034.31999999</v>
      </c>
      <c r="L120" s="23">
        <f>OUTPUT!T70</f>
        <v>232374099.08000004</v>
      </c>
      <c r="M120" s="23">
        <f>OUTPUT!V70</f>
        <v>271793592.86000001</v>
      </c>
      <c r="N120" s="23">
        <f>OUTPUT!X70</f>
        <v>286640590.31999999</v>
      </c>
      <c r="O120" s="23">
        <f>OUTPUT!Z70</f>
        <v>293675005.94</v>
      </c>
      <c r="P120" s="23">
        <f>OUTPUT!AB70</f>
        <v>296517438.28999996</v>
      </c>
      <c r="Q120" s="23">
        <f>OUTPUT!AD70</f>
        <v>302405938.53999996</v>
      </c>
      <c r="R120" s="23">
        <f>OUTPUT!AF70</f>
        <v>300685827.77999997</v>
      </c>
      <c r="S120" s="23">
        <f>OUTPUT!AH70</f>
        <v>287826071.38999999</v>
      </c>
      <c r="T120" s="23">
        <f>OUTPUT!AJ70</f>
        <v>283702453.21000004</v>
      </c>
      <c r="V120" s="696"/>
    </row>
    <row r="121" spans="2:22" ht="15" customHeight="1">
      <c r="B121" s="11" t="s">
        <v>56</v>
      </c>
      <c r="C121" s="23">
        <f>+OUTPUT!D71</f>
        <v>65848.194778602512</v>
      </c>
      <c r="D121" s="23">
        <f>+OUTPUT!F71</f>
        <v>64275</v>
      </c>
      <c r="E121" s="23">
        <f>+OUTPUT!H71</f>
        <v>65311</v>
      </c>
      <c r="F121" s="23">
        <f>+OUTPUT!J71</f>
        <v>68113</v>
      </c>
      <c r="G121" s="23">
        <f>+H121</f>
        <v>69764</v>
      </c>
      <c r="H121" s="23">
        <f>+OUTPUT!L71</f>
        <v>69764</v>
      </c>
      <c r="I121" s="23">
        <f>+OUTPUT!N71</f>
        <v>73945</v>
      </c>
      <c r="J121" s="23">
        <f>+OUTPUT!P71</f>
        <v>88377</v>
      </c>
      <c r="K121" s="23">
        <f>+OUTPUT!R71</f>
        <v>93747</v>
      </c>
      <c r="L121" s="23">
        <f>+OUTPUT!T71</f>
        <v>100084</v>
      </c>
      <c r="M121" s="23">
        <f>+OUTPUT!V71</f>
        <v>114007</v>
      </c>
      <c r="N121" s="23">
        <f>+OUTPUT!X71</f>
        <v>129687</v>
      </c>
      <c r="O121" s="23">
        <f>+OUTPUT!Z71</f>
        <v>142611</v>
      </c>
      <c r="P121" s="23">
        <f>+OUTPUT!AB71</f>
        <v>147482</v>
      </c>
      <c r="Q121" s="23">
        <f>+OUTPUT!AD71</f>
        <v>149893</v>
      </c>
      <c r="R121" s="23">
        <f>+OUTPUT!AF71</f>
        <v>160685</v>
      </c>
      <c r="S121" s="23">
        <f>+OUTPUT!AH71</f>
        <v>171515</v>
      </c>
      <c r="T121" s="23">
        <f>+OUTPUT!AJ71</f>
        <v>180516</v>
      </c>
      <c r="V121" s="696"/>
    </row>
    <row r="122" spans="2:22" ht="15" customHeight="1">
      <c r="B122" s="11" t="s">
        <v>63</v>
      </c>
      <c r="C122" s="23">
        <f>+OUTPUT!D72</f>
        <v>29498.932457412619</v>
      </c>
      <c r="D122" s="23">
        <f>+OUTPUT!F72</f>
        <v>28748</v>
      </c>
      <c r="E122" s="23">
        <f>+OUTPUT!H72</f>
        <v>29467.5</v>
      </c>
      <c r="F122" s="23">
        <f>+OUTPUT!J72</f>
        <v>31124</v>
      </c>
      <c r="G122" s="23">
        <f>+H122</f>
        <v>31952</v>
      </c>
      <c r="H122" s="23">
        <f>+OUTPUT!L72</f>
        <v>31952</v>
      </c>
      <c r="I122" s="23">
        <f>+OUTPUT!N72</f>
        <v>33599</v>
      </c>
      <c r="J122" s="23">
        <f>+OUTPUT!P72</f>
        <v>39731</v>
      </c>
      <c r="K122" s="23">
        <f>+OUTPUT!R72</f>
        <v>42545</v>
      </c>
      <c r="L122" s="23">
        <f>+OUTPUT!T72</f>
        <v>45840</v>
      </c>
      <c r="M122" s="23">
        <f>+OUTPUT!V72</f>
        <v>52314</v>
      </c>
      <c r="N122" s="23">
        <f>+OUTPUT!X72</f>
        <v>59801.5</v>
      </c>
      <c r="O122" s="23">
        <f>+OUTPUT!Z72</f>
        <v>65750.5</v>
      </c>
      <c r="P122" s="23">
        <f>+OUTPUT!AB72</f>
        <v>69351.5</v>
      </c>
      <c r="Q122" s="23">
        <f>+OUTPUT!AD72</f>
        <v>70500.5</v>
      </c>
      <c r="R122" s="23">
        <f>+OUTPUT!AF72</f>
        <v>76360</v>
      </c>
      <c r="S122" s="23">
        <f>+OUTPUT!AH72</f>
        <v>81685.5</v>
      </c>
      <c r="T122" s="23">
        <f>+OUTPUT!AJ72</f>
        <v>85459.5</v>
      </c>
      <c r="V122" s="696"/>
    </row>
    <row r="123" spans="2:22" ht="15" customHeight="1">
      <c r="B123" s="11" t="s">
        <v>57</v>
      </c>
      <c r="C123" s="23">
        <f>+OUTPUT!D73</f>
        <v>102595724.50909092</v>
      </c>
      <c r="D123" s="23">
        <f>+OUTPUT!F73</f>
        <v>102457998</v>
      </c>
      <c r="E123" s="23">
        <f>+OUTPUT!H73</f>
        <v>106060343</v>
      </c>
      <c r="F123" s="23">
        <f>+OUTPUT!J73</f>
        <v>113772460</v>
      </c>
      <c r="G123" s="23">
        <f>+H123</f>
        <v>127665583.0122117</v>
      </c>
      <c r="H123" s="23">
        <f>+OUTPUT!L73</f>
        <v>127665583.0122117</v>
      </c>
      <c r="I123" s="23">
        <f>+OUTPUT!N73</f>
        <v>132247365</v>
      </c>
      <c r="J123" s="23">
        <f>+OUTPUT!P73</f>
        <v>156806227</v>
      </c>
      <c r="K123" s="23">
        <f>+OUTPUT!R73</f>
        <v>170558322</v>
      </c>
      <c r="L123" s="23">
        <f>+OUTPUT!T73</f>
        <v>177525615</v>
      </c>
      <c r="M123" s="23">
        <f>+OUTPUT!V73</f>
        <v>199024949</v>
      </c>
      <c r="N123" s="23">
        <f>+OUTPUT!X73</f>
        <v>224650269</v>
      </c>
      <c r="O123" s="23">
        <f>+OUTPUT!Z73</f>
        <v>241077848</v>
      </c>
      <c r="P123" s="23">
        <f>+OUTPUT!AB73</f>
        <v>252148020</v>
      </c>
      <c r="Q123" s="23">
        <f>+OUTPUT!AD73</f>
        <v>259021129</v>
      </c>
      <c r="R123" s="23">
        <f>+OUTPUT!AF73</f>
        <v>274233298</v>
      </c>
      <c r="S123" s="23">
        <f>+OUTPUT!AH73</f>
        <v>304425562</v>
      </c>
      <c r="T123" s="23">
        <f>+OUTPUT!AJ73</f>
        <v>316290904</v>
      </c>
      <c r="V123" s="696"/>
    </row>
    <row r="124" spans="2:22" ht="15" customHeight="1">
      <c r="B124" s="11" t="s">
        <v>53</v>
      </c>
      <c r="C124" s="23">
        <f>OUTPUT!D74</f>
        <v>1537815.5759862862</v>
      </c>
      <c r="D124" s="23">
        <f>OUTPUT!F74</f>
        <v>1902386.2584510006</v>
      </c>
      <c r="E124" s="23">
        <f>OUTPUT!H74</f>
        <v>2015024.3413052075</v>
      </c>
      <c r="F124" s="23">
        <f>OUTPUT!J74</f>
        <v>2096609.8643626668</v>
      </c>
      <c r="G124" s="23">
        <f>+H124</f>
        <v>2332716.2805233328</v>
      </c>
      <c r="H124" s="23">
        <f>OUTPUT!L74</f>
        <v>2332716.2805233328</v>
      </c>
      <c r="I124" s="23">
        <f>OUTPUT!N74</f>
        <v>2651201.5878600003</v>
      </c>
      <c r="J124" s="23">
        <f>OUTPUT!P74</f>
        <v>3282809.5227312003</v>
      </c>
      <c r="K124" s="23">
        <f>OUTPUT!R74</f>
        <v>3483817.1341663082</v>
      </c>
      <c r="L124" s="23">
        <f>OUTPUT!T74</f>
        <v>3823002.1570283999</v>
      </c>
      <c r="M124" s="23">
        <f>OUTPUT!V74</f>
        <v>4198307.3622131664</v>
      </c>
      <c r="N124" s="23">
        <f>OUTPUT!X74</f>
        <v>4233889.2631086046</v>
      </c>
      <c r="O124" s="23">
        <f>OUTPUT!Z74</f>
        <v>4625340.1728977459</v>
      </c>
      <c r="P124" s="23">
        <f>OUTPUT!AB74</f>
        <v>4942686.0194447646</v>
      </c>
      <c r="Q124" s="23">
        <f>OUTPUT!AD74</f>
        <v>5187140.0324454186</v>
      </c>
      <c r="R124" s="23">
        <f>OUTPUT!AF74</f>
        <v>5681459.3598712627</v>
      </c>
      <c r="S124" s="23">
        <f>OUTPUT!AH74</f>
        <v>5023732.4827991901</v>
      </c>
      <c r="T124" s="23">
        <f>OUTPUT!AJ74</f>
        <v>5027052.4082184723</v>
      </c>
      <c r="V124" s="696"/>
    </row>
    <row r="125" spans="2:22" ht="15" customHeight="1">
      <c r="B125" s="11" t="s">
        <v>240</v>
      </c>
      <c r="C125" s="23">
        <f>OUTPUT!D75</f>
        <v>2073247</v>
      </c>
      <c r="D125" s="23">
        <f>OUTPUT!F75</f>
        <v>2090898</v>
      </c>
      <c r="E125" s="23">
        <f>OUTPUT!H75</f>
        <v>2150170</v>
      </c>
      <c r="F125" s="23">
        <f>OUTPUT!J75</f>
        <v>2386438</v>
      </c>
      <c r="G125" s="23">
        <f t="shared" ref="G125:G137" si="7">+H125</f>
        <v>2631825</v>
      </c>
      <c r="H125" s="23">
        <f>OUTPUT!L75</f>
        <v>2631825</v>
      </c>
      <c r="I125" s="23">
        <f>OUTPUT!N75</f>
        <v>2806117</v>
      </c>
      <c r="J125" s="23">
        <f>OUTPUT!P75</f>
        <v>3506143</v>
      </c>
      <c r="K125" s="23">
        <f>OUTPUT!R75</f>
        <v>3848367</v>
      </c>
      <c r="L125" s="23">
        <f>OUTPUT!T75</f>
        <v>4022889</v>
      </c>
      <c r="M125" s="23">
        <f>OUTPUT!V75</f>
        <v>4688545</v>
      </c>
      <c r="N125" s="23">
        <f>OUTPUT!X75</f>
        <v>5354065.9821856059</v>
      </c>
      <c r="O125" s="23">
        <f>OUTPUT!Z75</f>
        <v>6062122.0024999995</v>
      </c>
      <c r="P125" s="23">
        <f>OUTPUT!AB75</f>
        <v>6865211.4735000003</v>
      </c>
      <c r="Q125" s="23">
        <f>OUTPUT!AD75</f>
        <v>7196126.5060000001</v>
      </c>
      <c r="R125" s="23">
        <f>OUTPUT!AF75</f>
        <v>7892335.974491315</v>
      </c>
      <c r="S125" s="23">
        <f>OUTPUT!AH75</f>
        <v>8629059.3409264125</v>
      </c>
      <c r="T125" s="23">
        <f>OUTPUT!AJ75</f>
        <v>9360551.1100729797</v>
      </c>
      <c r="V125" s="696"/>
    </row>
    <row r="126" spans="2:22" ht="15" customHeight="1">
      <c r="B126" s="11" t="s">
        <v>241</v>
      </c>
      <c r="C126" s="23">
        <f>OUTPUT!D76</f>
        <v>50382.571428571435</v>
      </c>
      <c r="D126" s="23">
        <f>OUTPUT!F76</f>
        <v>47262.859908163249</v>
      </c>
      <c r="E126" s="23">
        <f>OUTPUT!H76</f>
        <v>42054.258314657549</v>
      </c>
      <c r="F126" s="23">
        <f>OUTPUT!J76</f>
        <v>37444.93</v>
      </c>
      <c r="G126" s="23">
        <f t="shared" si="7"/>
        <v>40346.670308872322</v>
      </c>
      <c r="H126" s="23">
        <f>OUTPUT!L76</f>
        <v>40346.670308872322</v>
      </c>
      <c r="I126" s="23">
        <f>OUTPUT!N76</f>
        <v>44672.173513333328</v>
      </c>
      <c r="J126" s="23">
        <f>OUTPUT!P76</f>
        <v>46039.59</v>
      </c>
      <c r="K126" s="23">
        <f>OUTPUT!R76</f>
        <v>48535.729000000021</v>
      </c>
      <c r="L126" s="23">
        <f>OUTPUT!T76</f>
        <v>45914.288000000008</v>
      </c>
      <c r="M126" s="23">
        <f>OUTPUT!V76</f>
        <v>38797.793999999994</v>
      </c>
      <c r="N126" s="23">
        <f>OUTPUT!X76</f>
        <v>37652.381000000001</v>
      </c>
      <c r="O126" s="23">
        <f>OUTPUT!Z76</f>
        <v>39198.637000000002</v>
      </c>
      <c r="P126" s="23">
        <f>OUTPUT!AB76</f>
        <v>43542.034999999996</v>
      </c>
      <c r="Q126" s="23">
        <f>OUTPUT!AD76</f>
        <v>44033.710000000014</v>
      </c>
      <c r="R126" s="23">
        <f>OUTPUT!AF76</f>
        <v>43265.075000000012</v>
      </c>
      <c r="S126" s="23">
        <f>OUTPUT!AH76</f>
        <v>45958.302000000018</v>
      </c>
      <c r="T126" s="23">
        <f>OUTPUT!AJ76</f>
        <v>43034.703000000001</v>
      </c>
      <c r="V126" s="696"/>
    </row>
    <row r="127" spans="2:22" ht="15" customHeight="1">
      <c r="B127" s="11" t="s">
        <v>242</v>
      </c>
      <c r="C127" s="23">
        <f>OUTPUT!D77</f>
        <v>15553.737142857142</v>
      </c>
      <c r="D127" s="23">
        <f>OUTPUT!F77</f>
        <v>15537.07</v>
      </c>
      <c r="E127" s="23">
        <f>OUTPUT!H77</f>
        <v>16884.661333333333</v>
      </c>
      <c r="F127" s="23">
        <f>OUTPUT!J77</f>
        <v>15728.965777777779</v>
      </c>
      <c r="G127" s="23">
        <f t="shared" si="7"/>
        <v>8686.7894400000005</v>
      </c>
      <c r="H127" s="23">
        <f>OUTPUT!L77</f>
        <v>8686.7894400000005</v>
      </c>
      <c r="I127" s="23">
        <f>OUTPUT!N77</f>
        <v>6749.9994399999996</v>
      </c>
      <c r="J127" s="23">
        <f>OUTPUT!P77</f>
        <v>6333</v>
      </c>
      <c r="K127" s="23">
        <f>OUTPUT!R77</f>
        <v>7525.5830000000005</v>
      </c>
      <c r="L127" s="23">
        <f>OUTPUT!T77</f>
        <v>6552.6000000000013</v>
      </c>
      <c r="M127" s="23">
        <f>OUTPUT!V77</f>
        <v>6997.739999999998</v>
      </c>
      <c r="N127" s="23">
        <f>OUTPUT!X77</f>
        <v>7120.6859999999988</v>
      </c>
      <c r="O127" s="23">
        <f>OUTPUT!Z77</f>
        <v>4895.0730000000003</v>
      </c>
      <c r="P127" s="23">
        <f>OUTPUT!AB77</f>
        <v>1723.6530000000002</v>
      </c>
      <c r="Q127" s="23">
        <f>OUTPUT!AD77</f>
        <v>1697.64</v>
      </c>
      <c r="R127" s="23">
        <f>OUTPUT!AF77</f>
        <v>1697.64</v>
      </c>
      <c r="S127" s="23">
        <f>OUTPUT!AH77</f>
        <v>1697.64</v>
      </c>
      <c r="T127" s="23">
        <f>OUTPUT!AJ77</f>
        <v>1036.1199999999999</v>
      </c>
      <c r="V127" s="696"/>
    </row>
    <row r="128" spans="2:22" ht="15" customHeight="1">
      <c r="B128" s="11" t="s">
        <v>243</v>
      </c>
      <c r="C128" s="23">
        <f>OUTPUT!D78</f>
        <v>20374.857142857145</v>
      </c>
      <c r="D128" s="23">
        <f>OUTPUT!F78</f>
        <v>22761</v>
      </c>
      <c r="E128" s="23">
        <f>OUTPUT!H78</f>
        <v>22505</v>
      </c>
      <c r="F128" s="23">
        <f>OUTPUT!J78</f>
        <v>19414</v>
      </c>
      <c r="G128" s="23">
        <f t="shared" si="7"/>
        <v>13792</v>
      </c>
      <c r="H128" s="23">
        <f>OUTPUT!L78</f>
        <v>13792</v>
      </c>
      <c r="I128" s="23">
        <f>OUTPUT!N78</f>
        <v>12417.84</v>
      </c>
      <c r="J128" s="23">
        <f>OUTPUT!P78</f>
        <v>14528.586000000001</v>
      </c>
      <c r="K128" s="23">
        <f>OUTPUT!R78</f>
        <v>24039.529000000002</v>
      </c>
      <c r="L128" s="23">
        <f>OUTPUT!T78</f>
        <v>25143.962999999996</v>
      </c>
      <c r="M128" s="23">
        <f>OUTPUT!V78</f>
        <v>23258.569000000003</v>
      </c>
      <c r="N128" s="23">
        <f>OUTPUT!X78</f>
        <v>23308.519</v>
      </c>
      <c r="O128" s="23">
        <f>OUTPUT!Z78</f>
        <v>11786.541000000003</v>
      </c>
      <c r="P128" s="23">
        <f>OUTPUT!AB78</f>
        <v>10617.778000000002</v>
      </c>
      <c r="Q128" s="23">
        <f>OUTPUT!AD78</f>
        <v>10790.519999999999</v>
      </c>
      <c r="R128" s="23">
        <f>OUTPUT!AF78</f>
        <v>10605.380000000001</v>
      </c>
      <c r="S128" s="23">
        <f>OUTPUT!AH78</f>
        <v>11029.401999999998</v>
      </c>
      <c r="T128" s="23">
        <f>OUTPUT!AJ78</f>
        <v>12179.658999999998</v>
      </c>
      <c r="V128" s="696"/>
    </row>
    <row r="129" spans="2:25" ht="15" customHeight="1">
      <c r="B129" s="11" t="s">
        <v>244</v>
      </c>
      <c r="C129" s="23">
        <f>OUTPUT!D79</f>
        <v>20262.196717325227</v>
      </c>
      <c r="D129" s="23">
        <f>OUTPUT!F79</f>
        <v>20528.646148936168</v>
      </c>
      <c r="E129" s="23">
        <f>OUTPUT!H79</f>
        <v>16161.993617021277</v>
      </c>
      <c r="F129" s="23">
        <f>OUTPUT!J79</f>
        <v>15698.351063829787</v>
      </c>
      <c r="G129" s="23">
        <f t="shared" si="7"/>
        <v>15807.491489361702</v>
      </c>
      <c r="H129" s="23">
        <f>OUTPUT!L79</f>
        <v>15807.491489361702</v>
      </c>
      <c r="I129" s="23">
        <f>OUTPUT!N79</f>
        <v>14967.574468085106</v>
      </c>
      <c r="J129" s="23">
        <f>OUTPUT!P79</f>
        <v>13680</v>
      </c>
      <c r="K129" s="23">
        <f>OUTPUT!R79</f>
        <v>9562.4459999999999</v>
      </c>
      <c r="L129" s="23">
        <f>OUTPUT!T79</f>
        <v>6424.44</v>
      </c>
      <c r="M129" s="23">
        <f>OUTPUT!V79</f>
        <v>6442.5400000000027</v>
      </c>
      <c r="N129" s="23">
        <f>OUTPUT!X79</f>
        <v>6355.5700000000024</v>
      </c>
      <c r="O129" s="23">
        <f>OUTPUT!Z79</f>
        <v>1621.2700000000004</v>
      </c>
      <c r="P129" s="23">
        <f>OUTPUT!AB79</f>
        <v>656.40000000000009</v>
      </c>
      <c r="Q129" s="23">
        <f>OUTPUT!AD79</f>
        <v>656.40000000000009</v>
      </c>
      <c r="R129" s="23">
        <f>OUTPUT!AF79</f>
        <v>656.40000000000009</v>
      </c>
      <c r="S129" s="23">
        <f>OUTPUT!AH79</f>
        <v>656.40000000000009</v>
      </c>
      <c r="T129" s="23">
        <f>OUTPUT!AJ79</f>
        <v>503.35999999999996</v>
      </c>
      <c r="V129" s="696"/>
    </row>
    <row r="130" spans="2:25" ht="15" customHeight="1">
      <c r="B130" s="9" t="s">
        <v>27</v>
      </c>
      <c r="C130" s="23">
        <f>OUTPUT!D80</f>
        <v>443878.85714285716</v>
      </c>
      <c r="D130" s="23">
        <f>OUTPUT!F80</f>
        <v>443815</v>
      </c>
      <c r="E130" s="23">
        <f>OUTPUT!H80</f>
        <v>440534</v>
      </c>
      <c r="F130" s="23">
        <f>OUTPUT!J80</f>
        <v>411074</v>
      </c>
      <c r="G130" s="23">
        <f t="shared" si="7"/>
        <v>244051</v>
      </c>
      <c r="H130" s="23">
        <f>OUTPUT!L80</f>
        <v>244051</v>
      </c>
      <c r="I130" s="23">
        <f>OUTPUT!N80</f>
        <v>200222</v>
      </c>
      <c r="J130" s="23">
        <f>OUTPUT!P80</f>
        <v>180906.44</v>
      </c>
      <c r="K130" s="23">
        <f>OUTPUT!R80</f>
        <v>68006.256999999998</v>
      </c>
      <c r="L130" s="23">
        <f>OUTPUT!T80</f>
        <v>46008.083999999988</v>
      </c>
      <c r="M130" s="23">
        <f>OUTPUT!V80</f>
        <v>35719.08</v>
      </c>
      <c r="N130" s="23">
        <f>OUTPUT!X80</f>
        <v>38060.347999999991</v>
      </c>
      <c r="O130" s="23">
        <f>OUTPUT!Z80</f>
        <v>26542.775999999998</v>
      </c>
      <c r="P130" s="23">
        <f>OUTPUT!AB80</f>
        <v>16827.719999999998</v>
      </c>
      <c r="Q130" s="23">
        <f>OUTPUT!AD80</f>
        <v>16827.719999999998</v>
      </c>
      <c r="R130" s="23">
        <f>OUTPUT!AF80</f>
        <v>20121.72</v>
      </c>
      <c r="S130" s="23">
        <f>OUTPUT!AH80</f>
        <v>16185.223999999998</v>
      </c>
      <c r="T130" s="23">
        <f>OUTPUT!AJ80</f>
        <v>13245.560000000005</v>
      </c>
      <c r="V130" s="696"/>
    </row>
    <row r="131" spans="2:25" ht="15" customHeight="1">
      <c r="B131" s="9" t="s">
        <v>245</v>
      </c>
      <c r="C131" s="23">
        <f>OUTPUT!D81</f>
        <v>4097686</v>
      </c>
      <c r="D131" s="23">
        <f>OUTPUT!F81</f>
        <v>4153620</v>
      </c>
      <c r="E131" s="23">
        <f>OUTPUT!H81</f>
        <v>4306154</v>
      </c>
      <c r="F131" s="23">
        <f>OUTPUT!J81</f>
        <v>4807505</v>
      </c>
      <c r="G131" s="23">
        <f t="shared" si="7"/>
        <v>5338703</v>
      </c>
      <c r="H131" s="23">
        <f>OUTPUT!L81</f>
        <v>5338703</v>
      </c>
      <c r="I131" s="23">
        <f>OUTPUT!N81</f>
        <v>5656206.7169992123</v>
      </c>
      <c r="J131" s="23">
        <f>OUTPUT!P81</f>
        <v>6985936</v>
      </c>
      <c r="K131" s="23">
        <f>OUTPUT!R81</f>
        <v>7670684</v>
      </c>
      <c r="L131" s="23">
        <f>OUTPUT!T81</f>
        <v>8076940</v>
      </c>
      <c r="M131" s="23">
        <f>OUTPUT!V81</f>
        <v>9433136</v>
      </c>
      <c r="N131" s="23">
        <f>OUTPUT!X81</f>
        <v>10684786.982185606</v>
      </c>
      <c r="O131" s="23">
        <f>OUTPUT!Z81</f>
        <v>12105503.002499999</v>
      </c>
      <c r="P131" s="23">
        <f>OUTPUT!AB81</f>
        <v>13673187.4735</v>
      </c>
      <c r="Q131" s="23">
        <f>OUTPUT!AD81</f>
        <v>14337953.506000001</v>
      </c>
      <c r="R131" s="23">
        <f>OUTPUT!AF81</f>
        <v>15720434.74539593</v>
      </c>
      <c r="S131" s="23">
        <f>OUTPUT!AH81</f>
        <v>17186735.340926412</v>
      </c>
      <c r="T131" s="23">
        <f>OUTPUT!AJ81</f>
        <v>18717955.110072978</v>
      </c>
      <c r="V131" s="696"/>
    </row>
    <row r="132" spans="2:25" ht="15" customHeight="1">
      <c r="B132" s="9" t="s">
        <v>247</v>
      </c>
      <c r="C132" s="23">
        <f>OUTPUT!D82</f>
        <v>4097686</v>
      </c>
      <c r="D132" s="23">
        <f>OUTPUT!F82</f>
        <v>4153620</v>
      </c>
      <c r="E132" s="23">
        <f>OUTPUT!H82</f>
        <v>4306154</v>
      </c>
      <c r="F132" s="23">
        <f>OUTPUT!J82</f>
        <v>4807505</v>
      </c>
      <c r="G132" s="23">
        <f t="shared" si="7"/>
        <v>5338703</v>
      </c>
      <c r="H132" s="23">
        <f>OUTPUT!L82</f>
        <v>5338703</v>
      </c>
      <c r="I132" s="23">
        <f>OUTPUT!N82</f>
        <v>5656206.7169992123</v>
      </c>
      <c r="J132" s="23">
        <f>OUTPUT!P82</f>
        <v>6985936</v>
      </c>
      <c r="K132" s="23">
        <f>OUTPUT!R82</f>
        <v>7670684</v>
      </c>
      <c r="L132" s="23">
        <f>OUTPUT!T82</f>
        <v>8076940</v>
      </c>
      <c r="M132" s="23">
        <f>OUTPUT!V82</f>
        <v>9433136</v>
      </c>
      <c r="N132" s="23">
        <f>OUTPUT!X82</f>
        <v>10684786.982185606</v>
      </c>
      <c r="O132" s="23">
        <f>OUTPUT!Z82</f>
        <v>12105503.002499999</v>
      </c>
      <c r="P132" s="23">
        <f>OUTPUT!AB82</f>
        <v>13673187.4735</v>
      </c>
      <c r="Q132" s="23">
        <f>OUTPUT!AD82</f>
        <v>14337953.506000001</v>
      </c>
      <c r="R132" s="23">
        <f>OUTPUT!AF82</f>
        <v>15720434.74539593</v>
      </c>
      <c r="S132" s="23">
        <f>OUTPUT!AH82</f>
        <v>17186735.340926412</v>
      </c>
      <c r="T132" s="23">
        <f>OUTPUT!AJ82</f>
        <v>18717955.110072978</v>
      </c>
      <c r="V132" s="696"/>
    </row>
    <row r="133" spans="2:25" ht="15" customHeight="1">
      <c r="B133" s="9" t="s">
        <v>246</v>
      </c>
      <c r="C133" s="23">
        <f>OUTPUT!D83</f>
        <v>4097686</v>
      </c>
      <c r="D133" s="23">
        <f>OUTPUT!F83</f>
        <v>4153620</v>
      </c>
      <c r="E133" s="23">
        <f>OUTPUT!H83</f>
        <v>4306154</v>
      </c>
      <c r="F133" s="23">
        <f>OUTPUT!J83</f>
        <v>4807505</v>
      </c>
      <c r="G133" s="23">
        <f t="shared" si="7"/>
        <v>5338703</v>
      </c>
      <c r="H133" s="23">
        <f>OUTPUT!L83</f>
        <v>5338703</v>
      </c>
      <c r="I133" s="23">
        <f>OUTPUT!N83</f>
        <v>5656206.7169992123</v>
      </c>
      <c r="J133" s="23">
        <f>OUTPUT!P83</f>
        <v>6985936</v>
      </c>
      <c r="K133" s="23">
        <f>OUTPUT!R83</f>
        <v>7670684</v>
      </c>
      <c r="L133" s="23">
        <f>OUTPUT!T83</f>
        <v>8076940</v>
      </c>
      <c r="M133" s="23">
        <f>OUTPUT!V83</f>
        <v>9433136</v>
      </c>
      <c r="N133" s="23">
        <f>OUTPUT!X83</f>
        <v>10684786.982185606</v>
      </c>
      <c r="O133" s="23">
        <f>OUTPUT!Z83</f>
        <v>12105503.002499999</v>
      </c>
      <c r="P133" s="23">
        <f>OUTPUT!AB83</f>
        <v>13673187.4735</v>
      </c>
      <c r="Q133" s="23">
        <f>OUTPUT!AD83</f>
        <v>14337953.506000001</v>
      </c>
      <c r="R133" s="23">
        <f>OUTPUT!AF83</f>
        <v>15720434.74539593</v>
      </c>
      <c r="S133" s="23">
        <f>OUTPUT!AH83</f>
        <v>17186735.340926412</v>
      </c>
      <c r="T133" s="23">
        <f>OUTPUT!AJ83</f>
        <v>18717955.110072978</v>
      </c>
      <c r="V133" s="696"/>
    </row>
    <row r="134" spans="2:25" ht="15" customHeight="1">
      <c r="B134" s="9" t="s">
        <v>350</v>
      </c>
      <c r="C134" s="23">
        <f>OUTPUT!D84</f>
        <v>4097686</v>
      </c>
      <c r="D134" s="23">
        <f>OUTPUT!F84</f>
        <v>4153620</v>
      </c>
      <c r="E134" s="23">
        <f>OUTPUT!H84</f>
        <v>4306154</v>
      </c>
      <c r="F134" s="23">
        <f>OUTPUT!J84</f>
        <v>4807505</v>
      </c>
      <c r="G134" s="23">
        <f t="shared" si="7"/>
        <v>5338703</v>
      </c>
      <c r="H134" s="23">
        <f>OUTPUT!L84</f>
        <v>5338703</v>
      </c>
      <c r="I134" s="23">
        <f>OUTPUT!N84</f>
        <v>5656206.7169992123</v>
      </c>
      <c r="J134" s="23">
        <f>OUTPUT!P84</f>
        <v>6985936</v>
      </c>
      <c r="K134" s="23">
        <f>OUTPUT!R84</f>
        <v>7670684</v>
      </c>
      <c r="L134" s="23">
        <f>OUTPUT!T84</f>
        <v>8076940</v>
      </c>
      <c r="M134" s="23">
        <f>OUTPUT!V84</f>
        <v>9433136</v>
      </c>
      <c r="N134" s="23">
        <f>OUTPUT!X84</f>
        <v>10684786.982185606</v>
      </c>
      <c r="O134" s="23">
        <f>OUTPUT!Z84</f>
        <v>12105503.002499999</v>
      </c>
      <c r="P134" s="23">
        <f>OUTPUT!AB84</f>
        <v>13673187.4735</v>
      </c>
      <c r="Q134" s="23">
        <f>OUTPUT!AD84</f>
        <v>14337953.506000001</v>
      </c>
      <c r="R134" s="23">
        <f>OUTPUT!AF84</f>
        <v>15720434.74539593</v>
      </c>
      <c r="S134" s="23">
        <f>OUTPUT!AH84</f>
        <v>17186735.340926412</v>
      </c>
      <c r="T134" s="23">
        <f>OUTPUT!AJ84</f>
        <v>18717955.110072978</v>
      </c>
      <c r="V134" s="696"/>
    </row>
    <row r="135" spans="2:25" ht="15" customHeight="1">
      <c r="B135" s="9" t="s">
        <v>309</v>
      </c>
      <c r="C135" s="23">
        <f>OUTPUT!D85</f>
        <v>4097686</v>
      </c>
      <c r="D135" s="23">
        <f>OUTPUT!F85</f>
        <v>4153620</v>
      </c>
      <c r="E135" s="23">
        <f>OUTPUT!H85</f>
        <v>4306154</v>
      </c>
      <c r="F135" s="23">
        <f>OUTPUT!J85</f>
        <v>4807505</v>
      </c>
      <c r="G135" s="23">
        <f>+H135</f>
        <v>5338703</v>
      </c>
      <c r="H135" s="23">
        <f>OUTPUT!L85</f>
        <v>5338703</v>
      </c>
      <c r="I135" s="23">
        <f>OUTPUT!N85</f>
        <v>5656206.7169992123</v>
      </c>
      <c r="J135" s="23">
        <f>OUTPUT!P85</f>
        <v>6985936</v>
      </c>
      <c r="K135" s="23">
        <f>OUTPUT!R85</f>
        <v>7670684</v>
      </c>
      <c r="L135" s="23">
        <f>OUTPUT!T85</f>
        <v>8076940</v>
      </c>
      <c r="M135" s="23">
        <f>OUTPUT!V85</f>
        <v>9433136</v>
      </c>
      <c r="N135" s="23">
        <f>OUTPUT!X85</f>
        <v>10684786.982185606</v>
      </c>
      <c r="O135" s="23">
        <f>OUTPUT!Z85</f>
        <v>12105503.002499999</v>
      </c>
      <c r="P135" s="23">
        <f>OUTPUT!AB85</f>
        <v>13673187.4735</v>
      </c>
      <c r="Q135" s="23">
        <f>OUTPUT!AD85</f>
        <v>14337953.506000001</v>
      </c>
      <c r="R135" s="23">
        <f>OUTPUT!AF85</f>
        <v>15720434.74539593</v>
      </c>
      <c r="S135" s="23">
        <f>OUTPUT!AH85</f>
        <v>17186735.340926412</v>
      </c>
      <c r="T135" s="23">
        <f>OUTPUT!AJ85</f>
        <v>18717955.110072978</v>
      </c>
      <c r="V135" s="696"/>
    </row>
    <row r="136" spans="2:25" ht="15" customHeight="1">
      <c r="B136" s="9" t="s">
        <v>308</v>
      </c>
      <c r="C136" s="23">
        <f>OUTPUT!D86</f>
        <v>4097686</v>
      </c>
      <c r="D136" s="23">
        <f>OUTPUT!F86</f>
        <v>4153620</v>
      </c>
      <c r="E136" s="23">
        <f>OUTPUT!H86</f>
        <v>4306154</v>
      </c>
      <c r="F136" s="23">
        <f>OUTPUT!J86</f>
        <v>4807505</v>
      </c>
      <c r="G136" s="23">
        <f>+H136</f>
        <v>5338703</v>
      </c>
      <c r="H136" s="23">
        <f>OUTPUT!L86</f>
        <v>5338703</v>
      </c>
      <c r="I136" s="23">
        <f>OUTPUT!N86</f>
        <v>5656206.7169992123</v>
      </c>
      <c r="J136" s="23">
        <f>OUTPUT!P86</f>
        <v>6985936</v>
      </c>
      <c r="K136" s="23">
        <f>OUTPUT!R86</f>
        <v>7670684</v>
      </c>
      <c r="L136" s="23">
        <f>OUTPUT!T86</f>
        <v>8076940</v>
      </c>
      <c r="M136" s="23">
        <f>OUTPUT!V86</f>
        <v>9433136</v>
      </c>
      <c r="N136" s="23">
        <f>OUTPUT!X86</f>
        <v>10684786.982185606</v>
      </c>
      <c r="O136" s="23">
        <f>OUTPUT!Z86</f>
        <v>12105503.002499999</v>
      </c>
      <c r="P136" s="23">
        <f>OUTPUT!AB86</f>
        <v>13673187.4735</v>
      </c>
      <c r="Q136" s="23">
        <f>OUTPUT!AD86</f>
        <v>14337953.506000001</v>
      </c>
      <c r="R136" s="23">
        <f>OUTPUT!AF86</f>
        <v>15720434.74539593</v>
      </c>
      <c r="S136" s="23">
        <f>OUTPUT!AH86</f>
        <v>17186735.340926412</v>
      </c>
      <c r="T136" s="23">
        <f>OUTPUT!AJ86</f>
        <v>18717955.110072978</v>
      </c>
      <c r="V136" s="696"/>
    </row>
    <row r="137" spans="2:25" ht="15" customHeight="1">
      <c r="B137" s="9" t="s">
        <v>278</v>
      </c>
      <c r="C137" s="23">
        <f>OUTPUT!D87</f>
        <v>4097686</v>
      </c>
      <c r="D137" s="23">
        <f>OUTPUT!F87</f>
        <v>4153620</v>
      </c>
      <c r="E137" s="23">
        <f>OUTPUT!H87</f>
        <v>4306154</v>
      </c>
      <c r="F137" s="23">
        <f>OUTPUT!J87</f>
        <v>4807505</v>
      </c>
      <c r="G137" s="23">
        <f t="shared" si="7"/>
        <v>5338703</v>
      </c>
      <c r="H137" s="23">
        <f>OUTPUT!L87</f>
        <v>5338703</v>
      </c>
      <c r="I137" s="23">
        <f>OUTPUT!N87</f>
        <v>5656206.7169992123</v>
      </c>
      <c r="J137" s="23">
        <f>OUTPUT!P87</f>
        <v>6985936</v>
      </c>
      <c r="K137" s="23">
        <f>OUTPUT!R87</f>
        <v>7670684</v>
      </c>
      <c r="L137" s="23">
        <f>OUTPUT!T87</f>
        <v>8076940</v>
      </c>
      <c r="M137" s="23">
        <f>OUTPUT!V87</f>
        <v>9433136</v>
      </c>
      <c r="N137" s="23">
        <f>OUTPUT!X87</f>
        <v>10684786.982185606</v>
      </c>
      <c r="O137" s="23">
        <f>OUTPUT!Z87</f>
        <v>12105503.002499999</v>
      </c>
      <c r="P137" s="23">
        <f>OUTPUT!AB87</f>
        <v>13673187.4735</v>
      </c>
      <c r="Q137" s="23">
        <f>OUTPUT!AD87</f>
        <v>14337953.506000001</v>
      </c>
      <c r="R137" s="23">
        <f>OUTPUT!AF87</f>
        <v>15720434.74539593</v>
      </c>
      <c r="S137" s="23">
        <f>OUTPUT!AH87</f>
        <v>17186735.340926412</v>
      </c>
      <c r="T137" s="23">
        <f>OUTPUT!AJ87</f>
        <v>18717955.110072978</v>
      </c>
      <c r="V137" s="696"/>
    </row>
    <row r="138" spans="2:25" s="25" customFormat="1" ht="15" customHeight="1" thickBot="1">
      <c r="B138" s="12" t="s">
        <v>361</v>
      </c>
      <c r="C138" s="13">
        <f>OUTPUT!D88</f>
        <v>4097686</v>
      </c>
      <c r="D138" s="13">
        <f>OUTPUT!F88</f>
        <v>4153620</v>
      </c>
      <c r="E138" s="13">
        <f>OUTPUT!H88</f>
        <v>4306154</v>
      </c>
      <c r="F138" s="13">
        <f>OUTPUT!J88</f>
        <v>4807505</v>
      </c>
      <c r="G138" s="13">
        <f>+H138</f>
        <v>5338703</v>
      </c>
      <c r="H138" s="13">
        <f>OUTPUT!L88</f>
        <v>5338703</v>
      </c>
      <c r="I138" s="13">
        <f>OUTPUT!N88</f>
        <v>5656206.7169992123</v>
      </c>
      <c r="J138" s="13">
        <f>OUTPUT!P88</f>
        <v>6985936</v>
      </c>
      <c r="K138" s="13">
        <f>OUTPUT!R88</f>
        <v>7670684</v>
      </c>
      <c r="L138" s="13">
        <f>OUTPUT!T88</f>
        <v>8076940</v>
      </c>
      <c r="M138" s="13">
        <f>OUTPUT!V88</f>
        <v>9433136</v>
      </c>
      <c r="N138" s="13">
        <f>OUTPUT!X88</f>
        <v>10684786.982185606</v>
      </c>
      <c r="O138" s="13">
        <f>OUTPUT!Z88</f>
        <v>12105503.002499999</v>
      </c>
      <c r="P138" s="13">
        <f>OUTPUT!AB88</f>
        <v>13673187.4735</v>
      </c>
      <c r="Q138" s="13">
        <f>OUTPUT!AD88</f>
        <v>14337953.506000001</v>
      </c>
      <c r="R138" s="13">
        <f>OUTPUT!AF88</f>
        <v>15720434.74539593</v>
      </c>
      <c r="S138" s="13">
        <f>OUTPUT!AH88</f>
        <v>17186735.340926412</v>
      </c>
      <c r="T138" s="13">
        <f>OUTPUT!AJ88</f>
        <v>18717955.110072978</v>
      </c>
      <c r="V138" s="696"/>
      <c r="W138" s="2"/>
      <c r="X138" s="2"/>
      <c r="Y138" s="2"/>
    </row>
    <row r="139" spans="2:25" s="25" customFormat="1" ht="15" customHeight="1">
      <c r="B139" s="26"/>
      <c r="C139" s="27"/>
      <c r="D139" s="28"/>
      <c r="E139" s="28"/>
      <c r="F139" s="28"/>
      <c r="G139" s="28"/>
      <c r="H139" s="28"/>
      <c r="I139" s="28"/>
      <c r="J139" s="28"/>
    </row>
    <row r="140" spans="2:25" ht="15" customHeight="1">
      <c r="C140" s="1"/>
      <c r="D140" s="1"/>
      <c r="E140" s="1"/>
      <c r="F140" s="1"/>
      <c r="G140" s="1"/>
      <c r="H140" s="1"/>
      <c r="I140" s="1"/>
      <c r="J140" s="1"/>
    </row>
    <row r="142" spans="2:25" ht="15" customHeight="1">
      <c r="C142" s="29"/>
      <c r="D142" s="29"/>
      <c r="E142" s="29"/>
      <c r="F142" s="29"/>
      <c r="G142" s="29"/>
      <c r="H142" s="29"/>
      <c r="I142" s="29"/>
      <c r="J142" s="29"/>
    </row>
    <row r="143" spans="2:25" ht="15" customHeight="1">
      <c r="B143" s="29"/>
    </row>
    <row r="144" spans="2:25" ht="45" customHeight="1" thickBot="1">
      <c r="B144" s="341" t="s">
        <v>76</v>
      </c>
      <c r="C144" s="342">
        <v>2001</v>
      </c>
      <c r="D144" s="342">
        <f t="shared" ref="D144:K144" si="8">C144+1</f>
        <v>2002</v>
      </c>
      <c r="E144" s="342">
        <f t="shared" si="8"/>
        <v>2003</v>
      </c>
      <c r="F144" s="342">
        <f t="shared" si="8"/>
        <v>2004</v>
      </c>
      <c r="G144" s="343">
        <f t="shared" si="8"/>
        <v>2005</v>
      </c>
      <c r="H144" s="342">
        <f>F144+1</f>
        <v>2005</v>
      </c>
      <c r="I144" s="342">
        <f>H144+1</f>
        <v>2006</v>
      </c>
      <c r="J144" s="342">
        <f t="shared" si="8"/>
        <v>2007</v>
      </c>
      <c r="K144" s="342">
        <f t="shared" si="8"/>
        <v>2008</v>
      </c>
      <c r="L144" s="342">
        <f>K144+1</f>
        <v>2009</v>
      </c>
      <c r="M144" s="342">
        <f>L144+1</f>
        <v>2010</v>
      </c>
      <c r="N144" s="342">
        <f>M144+1</f>
        <v>2011</v>
      </c>
      <c r="O144" s="342">
        <f>N144+1</f>
        <v>2012</v>
      </c>
      <c r="P144" s="342">
        <f t="shared" ref="P144:T144" si="9">O144+1</f>
        <v>2013</v>
      </c>
      <c r="Q144" s="342">
        <f t="shared" si="9"/>
        <v>2014</v>
      </c>
      <c r="R144" s="342">
        <f t="shared" si="9"/>
        <v>2015</v>
      </c>
      <c r="S144" s="342">
        <f t="shared" si="9"/>
        <v>2016</v>
      </c>
      <c r="T144" s="342">
        <f t="shared" si="9"/>
        <v>2017</v>
      </c>
    </row>
    <row r="145" spans="1:25" ht="15" customHeight="1">
      <c r="A145" s="8"/>
      <c r="B145" s="344" t="s">
        <v>61</v>
      </c>
      <c r="C145" s="10">
        <f t="shared" ref="C145:P145" si="10">$C4/$C74*C74</f>
        <v>9622521.7963562012</v>
      </c>
      <c r="D145" s="10">
        <f t="shared" si="10"/>
        <v>10116189.231288617</v>
      </c>
      <c r="E145" s="10">
        <f t="shared" si="10"/>
        <v>10301425.195242651</v>
      </c>
      <c r="F145" s="10">
        <f t="shared" si="10"/>
        <v>11449904.109080689</v>
      </c>
      <c r="G145" s="10">
        <f t="shared" si="10"/>
        <v>12862969.147427039</v>
      </c>
      <c r="H145" s="10">
        <f t="shared" si="10"/>
        <v>12862969.147427039</v>
      </c>
      <c r="I145" s="10">
        <f t="shared" si="10"/>
        <v>13228491.651127357</v>
      </c>
      <c r="J145" s="10">
        <f t="shared" si="10"/>
        <v>15937756.879666083</v>
      </c>
      <c r="K145" s="10">
        <f t="shared" si="10"/>
        <v>17474141.381993685</v>
      </c>
      <c r="L145" s="10">
        <f t="shared" si="10"/>
        <v>18083611.176878054</v>
      </c>
      <c r="M145" s="10">
        <f t="shared" si="10"/>
        <v>18829185.710441332</v>
      </c>
      <c r="N145" s="10">
        <f t="shared" si="10"/>
        <v>20862230.344508674</v>
      </c>
      <c r="O145" s="10">
        <f t="shared" si="10"/>
        <v>22909981.568372529</v>
      </c>
      <c r="P145" s="10">
        <f t="shared" si="10"/>
        <v>25427576.361906253</v>
      </c>
      <c r="Q145" s="10">
        <f t="shared" ref="Q145:T145" si="11">$C4/$C74*Q74</f>
        <v>25863884.67974982</v>
      </c>
      <c r="R145" s="10">
        <f t="shared" si="11"/>
        <v>27629173.178535383</v>
      </c>
      <c r="S145" s="10">
        <f t="shared" si="11"/>
        <v>29870932.301801283</v>
      </c>
      <c r="T145" s="10">
        <f t="shared" si="11"/>
        <v>32118955.959430318</v>
      </c>
      <c r="V145" s="696"/>
      <c r="W145" s="696"/>
      <c r="X145" s="696"/>
      <c r="Y145" s="696"/>
    </row>
    <row r="146" spans="1:25" ht="15" customHeight="1">
      <c r="B146" s="345" t="s">
        <v>62</v>
      </c>
      <c r="C146" s="10">
        <f t="shared" ref="C146:O146" si="12">$C5/$C75*C75</f>
        <v>1522104.8673850477</v>
      </c>
      <c r="D146" s="10">
        <f t="shared" si="12"/>
        <v>1463308.7264809352</v>
      </c>
      <c r="E146" s="10">
        <f t="shared" si="12"/>
        <v>1522484.4461978653</v>
      </c>
      <c r="F146" s="10">
        <f t="shared" si="12"/>
        <v>1686900.7062734095</v>
      </c>
      <c r="G146" s="10">
        <f t="shared" si="12"/>
        <v>1819278.0457418684</v>
      </c>
      <c r="H146" s="10">
        <f t="shared" si="12"/>
        <v>1819278.0457418684</v>
      </c>
      <c r="I146" s="10">
        <f t="shared" si="12"/>
        <v>2024511.3722217295</v>
      </c>
      <c r="J146" s="10">
        <f t="shared" si="12"/>
        <v>2632508.6791670644</v>
      </c>
      <c r="K146" s="10">
        <f t="shared" si="12"/>
        <v>2892814.8795781573</v>
      </c>
      <c r="L146" s="10">
        <f t="shared" si="12"/>
        <v>3055890.2697824072</v>
      </c>
      <c r="M146" s="10">
        <f t="shared" si="12"/>
        <v>3953067.997969137</v>
      </c>
      <c r="N146" s="10">
        <f t="shared" si="12"/>
        <v>4625669.2789851492</v>
      </c>
      <c r="O146" s="10">
        <f t="shared" si="12"/>
        <v>5361339.338977634</v>
      </c>
      <c r="P146" s="10">
        <f t="shared" ref="P146:T146" si="13">$C5/$C75*P75</f>
        <v>6161766.433105154</v>
      </c>
      <c r="Q146" s="10">
        <f t="shared" si="13"/>
        <v>6596333.7339290073</v>
      </c>
      <c r="R146" s="10">
        <f t="shared" si="13"/>
        <v>7360199.9189741714</v>
      </c>
      <c r="S146" s="10">
        <f t="shared" si="13"/>
        <v>8109043.4656448504</v>
      </c>
      <c r="T146" s="10">
        <f t="shared" si="13"/>
        <v>8845973.3776271828</v>
      </c>
      <c r="V146" s="696"/>
      <c r="W146" s="696"/>
      <c r="X146" s="696"/>
    </row>
    <row r="147" spans="1:25" ht="15" customHeight="1">
      <c r="B147" s="345" t="s">
        <v>588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V147" s="696"/>
      <c r="W147" s="696"/>
      <c r="X147" s="696"/>
    </row>
    <row r="148" spans="1:25" ht="15" customHeight="1">
      <c r="B148" s="345" t="s">
        <v>310</v>
      </c>
      <c r="C148" s="10">
        <f t="shared" ref="C148:O148" si="14">$C7/$C77*C77</f>
        <v>1351.7391923325758</v>
      </c>
      <c r="D148" s="10">
        <f t="shared" si="14"/>
        <v>1109.0095178705465</v>
      </c>
      <c r="E148" s="10">
        <f t="shared" si="14"/>
        <v>1223.3761244009465</v>
      </c>
      <c r="F148" s="10">
        <f t="shared" si="14"/>
        <v>998.10856608349172</v>
      </c>
      <c r="G148" s="10">
        <f t="shared" si="14"/>
        <v>1022.3681492869099</v>
      </c>
      <c r="H148" s="10">
        <f t="shared" si="14"/>
        <v>1022.3681492869099</v>
      </c>
      <c r="I148" s="10">
        <f t="shared" si="14"/>
        <v>1202.5821959408738</v>
      </c>
      <c r="J148" s="10">
        <f t="shared" si="14"/>
        <v>1330.8114214446557</v>
      </c>
      <c r="K148" s="10">
        <f t="shared" si="14"/>
        <v>1604.5981461689469</v>
      </c>
      <c r="L148" s="10">
        <f t="shared" si="14"/>
        <v>1760.5526096194924</v>
      </c>
      <c r="M148" s="10">
        <f t="shared" si="14"/>
        <v>1909.575763583347</v>
      </c>
      <c r="N148" s="10">
        <f t="shared" si="14"/>
        <v>1722.4304074426923</v>
      </c>
      <c r="O148" s="10">
        <f t="shared" si="14"/>
        <v>1940.7666562734562</v>
      </c>
      <c r="P148" s="10">
        <f t="shared" ref="P148:T148" si="15">$C7/$C77*P77</f>
        <v>1511.0254680986195</v>
      </c>
      <c r="Q148" s="10">
        <f t="shared" si="15"/>
        <v>1902.6444540966561</v>
      </c>
      <c r="R148" s="10">
        <f t="shared" si="15"/>
        <v>1424.3840995149831</v>
      </c>
      <c r="S148" s="10">
        <f t="shared" si="15"/>
        <v>1278.8266002944738</v>
      </c>
      <c r="T148" s="10">
        <f t="shared" si="15"/>
        <v>1379.3305878514921</v>
      </c>
      <c r="V148" s="696"/>
      <c r="W148" s="696"/>
      <c r="X148" s="696"/>
    </row>
    <row r="149" spans="1:25" ht="15" customHeight="1">
      <c r="B149" s="345" t="s">
        <v>311</v>
      </c>
      <c r="C149" s="10">
        <f t="shared" ref="C149:O149" si="16">$C8/$C78*C78</f>
        <v>2518.4640153952569</v>
      </c>
      <c r="D149" s="10">
        <f t="shared" si="16"/>
        <v>3217.4296014632582</v>
      </c>
      <c r="E149" s="10">
        <f t="shared" si="16"/>
        <v>2919.9275492731626</v>
      </c>
      <c r="F149" s="10">
        <f t="shared" si="16"/>
        <v>2556.3139299297122</v>
      </c>
      <c r="G149" s="10">
        <f t="shared" si="16"/>
        <v>2247.7932832140573</v>
      </c>
      <c r="H149" s="10">
        <f t="shared" si="16"/>
        <v>2247.7932832140573</v>
      </c>
      <c r="I149" s="10">
        <f t="shared" si="16"/>
        <v>2038.4399872284343</v>
      </c>
      <c r="J149" s="10">
        <f t="shared" si="16"/>
        <v>1972.3284200750795</v>
      </c>
      <c r="K149" s="10">
        <f t="shared" si="16"/>
        <v>2181.6817160607025</v>
      </c>
      <c r="L149" s="10">
        <f t="shared" si="16"/>
        <v>2038.4399872284343</v>
      </c>
      <c r="M149" s="10">
        <f t="shared" si="16"/>
        <v>2941.9647383242809</v>
      </c>
      <c r="N149" s="10">
        <f t="shared" si="16"/>
        <v>2941.9647383242809</v>
      </c>
      <c r="O149" s="10">
        <f t="shared" si="16"/>
        <v>3746.3221386900955</v>
      </c>
      <c r="P149" s="10">
        <f t="shared" ref="P149:T149" si="17">$C8/$C78*P78</f>
        <v>3614.0990043833863</v>
      </c>
      <c r="Q149" s="10">
        <f t="shared" si="17"/>
        <v>3603.0804098578269</v>
      </c>
      <c r="R149" s="10">
        <f t="shared" si="17"/>
        <v>3559.0060317555908</v>
      </c>
      <c r="S149" s="10">
        <f t="shared" si="17"/>
        <v>3911.6010565734819</v>
      </c>
      <c r="T149" s="10">
        <f t="shared" si="17"/>
        <v>3030.1134945287536</v>
      </c>
      <c r="V149" s="696"/>
      <c r="W149" s="696"/>
      <c r="X149" s="696"/>
    </row>
    <row r="150" spans="1:25" ht="15" customHeight="1">
      <c r="B150" s="345" t="s">
        <v>312</v>
      </c>
      <c r="C150" s="10">
        <f t="shared" ref="C150:O150" si="18">$C9/$C79*C79</f>
        <v>13652.29084378174</v>
      </c>
      <c r="D150" s="10">
        <f t="shared" si="18"/>
        <v>11933.283138777211</v>
      </c>
      <c r="E150" s="10">
        <f t="shared" si="18"/>
        <v>10047.171518058625</v>
      </c>
      <c r="F150" s="10">
        <f t="shared" si="18"/>
        <v>7580.7178601958576</v>
      </c>
      <c r="G150" s="10">
        <f t="shared" si="18"/>
        <v>2285.0967712552106</v>
      </c>
      <c r="H150" s="10">
        <f t="shared" si="18"/>
        <v>2285.0967712552106</v>
      </c>
      <c r="I150" s="10">
        <f t="shared" si="18"/>
        <v>11606.840742883611</v>
      </c>
      <c r="J150" s="10">
        <f t="shared" si="18"/>
        <v>26985.904727204394</v>
      </c>
      <c r="K150" s="10">
        <f t="shared" si="18"/>
        <v>47588.047045822801</v>
      </c>
      <c r="L150" s="10">
        <f t="shared" si="18"/>
        <v>74682.765904991727</v>
      </c>
      <c r="M150" s="10">
        <f t="shared" si="18"/>
        <v>60536.928749602324</v>
      </c>
      <c r="N150" s="10">
        <f t="shared" si="18"/>
        <v>104098.85291273738</v>
      </c>
      <c r="O150" s="10">
        <f t="shared" si="18"/>
        <v>110192.44430275128</v>
      </c>
      <c r="P150" s="10">
        <f t="shared" ref="P150:T150" si="19">$C9/$C79*P79</f>
        <v>103627.32500755772</v>
      </c>
      <c r="Q150" s="10">
        <f t="shared" si="19"/>
        <v>94922.194450395022</v>
      </c>
      <c r="R150" s="10">
        <f t="shared" si="19"/>
        <v>101015.78584040892</v>
      </c>
      <c r="S150" s="10">
        <f t="shared" si="19"/>
        <v>124302.01008081916</v>
      </c>
      <c r="T150" s="10">
        <f t="shared" si="19"/>
        <v>117881.97629491166</v>
      </c>
      <c r="V150" s="696"/>
      <c r="W150" s="696"/>
      <c r="X150" s="696"/>
    </row>
    <row r="151" spans="1:25" ht="15" customHeight="1">
      <c r="B151" s="345" t="s">
        <v>313</v>
      </c>
      <c r="C151" s="10">
        <f t="shared" ref="C151:O151" si="20">$C10/$C80*C80</f>
        <v>209629.4570521916</v>
      </c>
      <c r="D151" s="10">
        <f t="shared" si="20"/>
        <v>151775.16742623656</v>
      </c>
      <c r="E151" s="10">
        <f t="shared" si="20"/>
        <v>123809.53474127522</v>
      </c>
      <c r="F151" s="10">
        <f t="shared" si="20"/>
        <v>145024.8422953838</v>
      </c>
      <c r="G151" s="10">
        <f t="shared" si="20"/>
        <v>127452.56735157668</v>
      </c>
      <c r="H151" s="10">
        <f t="shared" si="20"/>
        <v>127452.56735157668</v>
      </c>
      <c r="I151" s="10">
        <f t="shared" si="20"/>
        <v>118559.28186172308</v>
      </c>
      <c r="J151" s="10">
        <f t="shared" si="20"/>
        <v>180062.24416504803</v>
      </c>
      <c r="K151" s="10">
        <f t="shared" si="20"/>
        <v>232350.47692466923</v>
      </c>
      <c r="L151" s="10">
        <f t="shared" si="20"/>
        <v>259030.33339423005</v>
      </c>
      <c r="M151" s="10">
        <f t="shared" si="20"/>
        <v>291389.03481514315</v>
      </c>
      <c r="N151" s="10">
        <f t="shared" si="20"/>
        <v>334676.83406696073</v>
      </c>
      <c r="O151" s="10">
        <f t="shared" si="20"/>
        <v>355570.69756721921</v>
      </c>
      <c r="P151" s="10">
        <f t="shared" ref="P151:T151" si="21">$C10/$C80*P80</f>
        <v>288656.76035741705</v>
      </c>
      <c r="Q151" s="10">
        <f t="shared" si="21"/>
        <v>322515.53402963077</v>
      </c>
      <c r="R151" s="10">
        <f t="shared" si="21"/>
        <v>316193.80097057822</v>
      </c>
      <c r="S151" s="10">
        <f t="shared" si="21"/>
        <v>340302.105009338</v>
      </c>
      <c r="T151" s="10">
        <f t="shared" si="21"/>
        <v>449164.49124658218</v>
      </c>
      <c r="V151" s="696"/>
      <c r="W151" s="696"/>
      <c r="X151" s="696"/>
    </row>
    <row r="152" spans="1:25" ht="15" customHeight="1">
      <c r="B152" s="345" t="s">
        <v>314</v>
      </c>
      <c r="C152" s="10">
        <f t="shared" ref="C152:O152" si="22">$C11/$C81*C81</f>
        <v>318685.47588871967</v>
      </c>
      <c r="D152" s="10">
        <f t="shared" si="22"/>
        <v>304196.72726018215</v>
      </c>
      <c r="E152" s="10">
        <f t="shared" si="22"/>
        <v>344860.19289766345</v>
      </c>
      <c r="F152" s="10">
        <f t="shared" si="22"/>
        <v>378439.43107216887</v>
      </c>
      <c r="G152" s="10">
        <f t="shared" si="22"/>
        <v>475493.34731493774</v>
      </c>
      <c r="H152" s="10">
        <f t="shared" si="22"/>
        <v>475493.34731493774</v>
      </c>
      <c r="I152" s="10">
        <f t="shared" si="22"/>
        <v>370788.46541215497</v>
      </c>
      <c r="J152" s="10">
        <f t="shared" si="22"/>
        <v>425903.75507410697</v>
      </c>
      <c r="K152" s="10">
        <f t="shared" si="22"/>
        <v>474359.87092086161</v>
      </c>
      <c r="L152" s="10">
        <f t="shared" si="22"/>
        <v>439930.52545079909</v>
      </c>
      <c r="M152" s="10">
        <f t="shared" si="22"/>
        <v>469259.22714751901</v>
      </c>
      <c r="N152" s="10">
        <f t="shared" si="22"/>
        <v>499012.9824920175</v>
      </c>
      <c r="O152" s="10">
        <f t="shared" si="22"/>
        <v>608960.19271740236</v>
      </c>
      <c r="P152" s="10">
        <f t="shared" ref="P152:T152" si="23">$C11/$C81*P81</f>
        <v>676543.72271419188</v>
      </c>
      <c r="Q152" s="10">
        <f t="shared" si="23"/>
        <v>611085.46095629514</v>
      </c>
      <c r="R152" s="10">
        <f t="shared" si="23"/>
        <v>724149.73126538948</v>
      </c>
      <c r="S152" s="10">
        <f t="shared" si="23"/>
        <v>737893.13254356256</v>
      </c>
      <c r="T152" s="10">
        <f t="shared" si="23"/>
        <v>698221.4587508979</v>
      </c>
      <c r="V152" s="696"/>
      <c r="W152" s="696"/>
      <c r="X152" s="696"/>
    </row>
    <row r="153" spans="1:25" ht="15" customHeight="1">
      <c r="B153" s="345" t="s">
        <v>315</v>
      </c>
      <c r="C153" s="10">
        <f t="shared" ref="C153:O153" si="24">$C12/$C82*C82</f>
        <v>356.39313818682922</v>
      </c>
      <c r="D153" s="10">
        <f t="shared" si="24"/>
        <v>452.26564907086151</v>
      </c>
      <c r="E153" s="10">
        <f t="shared" si="24"/>
        <v>337.21561553529148</v>
      </c>
      <c r="F153" s="10">
        <f t="shared" si="24"/>
        <v>392.75701103522186</v>
      </c>
      <c r="G153" s="10">
        <f t="shared" si="24"/>
        <v>325.31388792816358</v>
      </c>
      <c r="H153" s="10">
        <f t="shared" si="24"/>
        <v>325.31388792816358</v>
      </c>
      <c r="I153" s="10">
        <f t="shared" si="24"/>
        <v>309.44491778532631</v>
      </c>
      <c r="J153" s="10">
        <f t="shared" si="24"/>
        <v>404.65873864234982</v>
      </c>
      <c r="K153" s="10">
        <f t="shared" si="24"/>
        <v>444.33116399944294</v>
      </c>
      <c r="L153" s="10">
        <f t="shared" si="24"/>
        <v>321.34664539245426</v>
      </c>
      <c r="M153" s="10">
        <f t="shared" si="24"/>
        <v>436.3966789280243</v>
      </c>
      <c r="N153" s="10">
        <f t="shared" si="24"/>
        <v>472.1018617494081</v>
      </c>
      <c r="O153" s="10">
        <f t="shared" si="24"/>
        <v>472.1018617494081</v>
      </c>
      <c r="P153" s="10">
        <f t="shared" ref="P153:T153" si="25">$C12/$C82*P82</f>
        <v>480.03634682082674</v>
      </c>
      <c r="Q153" s="10">
        <f t="shared" si="25"/>
        <v>416.56046624947771</v>
      </c>
      <c r="R153" s="10">
        <f t="shared" si="25"/>
        <v>309.44491778532631</v>
      </c>
      <c r="S153" s="10">
        <f t="shared" si="25"/>
        <v>313.41216032103563</v>
      </c>
      <c r="T153" s="10">
        <f t="shared" si="25"/>
        <v>269.77249242823319</v>
      </c>
      <c r="V153" s="696"/>
      <c r="W153" s="696"/>
      <c r="X153" s="696"/>
    </row>
    <row r="154" spans="1:25" ht="15" customHeight="1">
      <c r="B154" s="345" t="s">
        <v>316</v>
      </c>
      <c r="C154" s="10">
        <f t="shared" ref="C154:O154" si="26">$C13/$C83*C83</f>
        <v>1458.1414377873161</v>
      </c>
      <c r="D154" s="10">
        <f t="shared" si="26"/>
        <v>1612.7767636899257</v>
      </c>
      <c r="E154" s="10">
        <f t="shared" si="26"/>
        <v>2696.7742605962694</v>
      </c>
      <c r="F154" s="10">
        <f t="shared" si="26"/>
        <v>1903.605360420896</v>
      </c>
      <c r="G154" s="10">
        <f t="shared" si="26"/>
        <v>938.58319854085846</v>
      </c>
      <c r="H154" s="10">
        <f t="shared" si="26"/>
        <v>938.58319854085846</v>
      </c>
      <c r="I154" s="10">
        <f t="shared" si="26"/>
        <v>1652.4352086986944</v>
      </c>
      <c r="J154" s="10">
        <f t="shared" si="26"/>
        <v>1480.5819469940302</v>
      </c>
      <c r="K154" s="10">
        <f t="shared" si="26"/>
        <v>1877.1663970817169</v>
      </c>
      <c r="L154" s="10">
        <f t="shared" si="26"/>
        <v>1731.7520987162318</v>
      </c>
      <c r="M154" s="10">
        <f t="shared" si="26"/>
        <v>2022.5806954472021</v>
      </c>
      <c r="N154" s="10">
        <f t="shared" si="26"/>
        <v>2405.9456638652991</v>
      </c>
      <c r="O154" s="10">
        <f t="shared" si="26"/>
        <v>2868.6275223009334</v>
      </c>
      <c r="P154" s="10">
        <f t="shared" ref="P154:T154" si="27">$C13/$C83*P83</f>
        <v>3265.2119723886203</v>
      </c>
      <c r="Q154" s="10">
        <f t="shared" si="27"/>
        <v>3119.7976740231352</v>
      </c>
      <c r="R154" s="10">
        <f t="shared" si="27"/>
        <v>3278.43145405821</v>
      </c>
      <c r="S154" s="10">
        <f t="shared" si="27"/>
        <v>2577.7989255699631</v>
      </c>
      <c r="T154" s="10">
        <f t="shared" si="27"/>
        <v>2458.8235905436572</v>
      </c>
      <c r="V154" s="696"/>
      <c r="W154" s="696"/>
      <c r="X154" s="696"/>
    </row>
    <row r="155" spans="1:25" ht="15" customHeight="1">
      <c r="B155" s="345" t="s">
        <v>317</v>
      </c>
      <c r="C155" s="10">
        <f t="shared" ref="C155:O155" si="28">$C14/$C84*C84</f>
        <v>17376.131962405969</v>
      </c>
      <c r="D155" s="10">
        <f t="shared" si="28"/>
        <v>30932.833861781059</v>
      </c>
      <c r="E155" s="10">
        <f t="shared" si="28"/>
        <v>13546.020703156459</v>
      </c>
      <c r="F155" s="10">
        <f t="shared" si="28"/>
        <v>14495.894106121697</v>
      </c>
      <c r="G155" s="10">
        <f t="shared" si="28"/>
        <v>18212.790030768287</v>
      </c>
      <c r="H155" s="10">
        <f t="shared" si="28"/>
        <v>18212.790030768287</v>
      </c>
      <c r="I155" s="10">
        <f t="shared" si="28"/>
        <v>34112.84481953425</v>
      </c>
      <c r="J155" s="10">
        <f t="shared" si="28"/>
        <v>66697.632425602686</v>
      </c>
      <c r="K155" s="10">
        <f t="shared" si="28"/>
        <v>68184.390795461324</v>
      </c>
      <c r="L155" s="10">
        <f t="shared" si="28"/>
        <v>91766.030495163563</v>
      </c>
      <c r="M155" s="10">
        <f t="shared" si="28"/>
        <v>53605.899002125254</v>
      </c>
      <c r="N155" s="10">
        <f t="shared" si="28"/>
        <v>97713.063974598117</v>
      </c>
      <c r="O155" s="10">
        <f t="shared" si="28"/>
        <v>114397.79679190058</v>
      </c>
      <c r="P155" s="10">
        <f t="shared" ref="P155:T155" si="29">$C14/$C84*P84</f>
        <v>107211.79800425051</v>
      </c>
      <c r="Q155" s="10">
        <f t="shared" si="29"/>
        <v>92963.696959771914</v>
      </c>
      <c r="R155" s="10">
        <f t="shared" si="29"/>
        <v>91146.547841055799</v>
      </c>
      <c r="S155" s="10">
        <f t="shared" si="29"/>
        <v>114026.10719943592</v>
      </c>
      <c r="T155" s="10">
        <f t="shared" si="29"/>
        <v>130586.94348591683</v>
      </c>
      <c r="V155" s="696"/>
      <c r="W155" s="696"/>
      <c r="X155" s="696"/>
    </row>
    <row r="156" spans="1:25" ht="15" customHeight="1">
      <c r="B156" s="345" t="s">
        <v>318</v>
      </c>
      <c r="C156" s="10">
        <f t="shared" ref="C156:O156" si="30">$C15/$C85*C85</f>
        <v>139992.18512327725</v>
      </c>
      <c r="D156" s="10">
        <f t="shared" si="30"/>
        <v>176683.83608250821</v>
      </c>
      <c r="E156" s="10">
        <f t="shared" si="30"/>
        <v>183192.91116312487</v>
      </c>
      <c r="F156" s="10">
        <f t="shared" si="30"/>
        <v>207226.41915309412</v>
      </c>
      <c r="G156" s="10">
        <f t="shared" si="30"/>
        <v>222309.94890721544</v>
      </c>
      <c r="H156" s="10">
        <f t="shared" si="30"/>
        <v>222309.94890721544</v>
      </c>
      <c r="I156" s="10">
        <f t="shared" si="30"/>
        <v>222309.94890721544</v>
      </c>
      <c r="J156" s="10">
        <f t="shared" si="30"/>
        <v>267998.64899231319</v>
      </c>
      <c r="K156" s="10">
        <f t="shared" si="30"/>
        <v>270439.55214754445</v>
      </c>
      <c r="L156" s="10">
        <f t="shared" si="30"/>
        <v>249472.81991671192</v>
      </c>
      <c r="M156" s="10">
        <f t="shared" si="30"/>
        <v>321510.75662622909</v>
      </c>
      <c r="N156" s="10">
        <f t="shared" si="30"/>
        <v>361942.12683852104</v>
      </c>
      <c r="O156" s="10">
        <f t="shared" si="30"/>
        <v>374084.0553542868</v>
      </c>
      <c r="P156" s="10">
        <f t="shared" ref="P156:T156" si="31">$C15/$C85*P85</f>
        <v>429286.01901874738</v>
      </c>
      <c r="Q156" s="10">
        <f t="shared" si="31"/>
        <v>548326.98828156374</v>
      </c>
      <c r="R156" s="10">
        <f t="shared" si="31"/>
        <v>610288.37606820313</v>
      </c>
      <c r="S156" s="10">
        <f t="shared" si="31"/>
        <v>632632.02802762773</v>
      </c>
      <c r="T156" s="10">
        <f t="shared" si="31"/>
        <v>697472.42979223223</v>
      </c>
      <c r="V156" s="696"/>
      <c r="W156" s="696"/>
      <c r="X156" s="696"/>
    </row>
    <row r="157" spans="1:25" ht="15" customHeight="1">
      <c r="B157" s="345" t="s">
        <v>319</v>
      </c>
      <c r="C157" s="10">
        <f t="shared" ref="C157:O157" si="32">$C16/$C86*C86</f>
        <v>701335.50026155682</v>
      </c>
      <c r="D157" s="10">
        <f t="shared" si="32"/>
        <v>734183.64526799764</v>
      </c>
      <c r="E157" s="10">
        <f t="shared" si="32"/>
        <v>737345.75180595682</v>
      </c>
      <c r="F157" s="10">
        <f t="shared" si="32"/>
        <v>804181.18544918683</v>
      </c>
      <c r="G157" s="10">
        <f t="shared" si="32"/>
        <v>849600.53390351089</v>
      </c>
      <c r="H157" s="10">
        <f t="shared" si="32"/>
        <v>849600.53390351089</v>
      </c>
      <c r="I157" s="10">
        <f t="shared" si="32"/>
        <v>886683.41966685141</v>
      </c>
      <c r="J157" s="10">
        <f t="shared" si="32"/>
        <v>878346.95697586786</v>
      </c>
      <c r="K157" s="10">
        <f t="shared" si="32"/>
        <v>908530.70120184275</v>
      </c>
      <c r="L157" s="10">
        <f t="shared" si="32"/>
        <v>929946.78639074869</v>
      </c>
      <c r="M157" s="10">
        <f t="shared" si="32"/>
        <v>1004400.0221481533</v>
      </c>
      <c r="N157" s="10">
        <f t="shared" si="32"/>
        <v>943457.60523475648</v>
      </c>
      <c r="O157" s="10">
        <f t="shared" si="32"/>
        <v>945038.65850373614</v>
      </c>
      <c r="P157" s="10">
        <f t="shared" ref="P157:T157" si="33">$C16/$C86*P86</f>
        <v>1064911.2427154649</v>
      </c>
      <c r="Q157" s="10">
        <f t="shared" si="33"/>
        <v>1056287.3157937578</v>
      </c>
      <c r="R157" s="10">
        <f t="shared" si="33"/>
        <v>975366.13484507275</v>
      </c>
      <c r="S157" s="10">
        <f t="shared" si="33"/>
        <v>1038464.5334888963</v>
      </c>
      <c r="T157" s="10">
        <f t="shared" si="33"/>
        <v>1042489.0327190263</v>
      </c>
      <c r="V157" s="696"/>
      <c r="W157" s="696"/>
      <c r="X157" s="696"/>
    </row>
    <row r="158" spans="1:25" ht="15" customHeight="1">
      <c r="B158" s="345" t="s">
        <v>320</v>
      </c>
      <c r="C158" s="10">
        <f t="shared" ref="C158:O158" si="34">$C17/$C87*C87</f>
        <v>1573.4532918149753</v>
      </c>
      <c r="D158" s="10">
        <f t="shared" si="34"/>
        <v>1418.5487553495909</v>
      </c>
      <c r="E158" s="10">
        <f t="shared" si="34"/>
        <v>1394.1511109086889</v>
      </c>
      <c r="F158" s="10">
        <f t="shared" si="34"/>
        <v>1219.8822220451027</v>
      </c>
      <c r="G158" s="10">
        <f t="shared" si="34"/>
        <v>1171.0869331632987</v>
      </c>
      <c r="H158" s="10">
        <f t="shared" si="34"/>
        <v>1171.0869331632987</v>
      </c>
      <c r="I158" s="10">
        <f t="shared" si="34"/>
        <v>1394.1511109086889</v>
      </c>
      <c r="J158" s="10">
        <f t="shared" si="34"/>
        <v>1544.0223553313729</v>
      </c>
      <c r="K158" s="10">
        <f t="shared" si="34"/>
        <v>1822.8525775131106</v>
      </c>
      <c r="L158" s="10">
        <f t="shared" si="34"/>
        <v>1923.9285330539906</v>
      </c>
      <c r="M158" s="10">
        <f t="shared" si="34"/>
        <v>2140.0219552448375</v>
      </c>
      <c r="N158" s="10">
        <f t="shared" si="34"/>
        <v>1868.1624886176432</v>
      </c>
      <c r="O158" s="10">
        <f t="shared" si="34"/>
        <v>2126.0804441357504</v>
      </c>
      <c r="P158" s="10">
        <f t="shared" ref="P158:T158" si="35">$C17/$C87*P87</f>
        <v>1728.7473775267742</v>
      </c>
      <c r="Q158" s="10">
        <f t="shared" si="35"/>
        <v>1916.9577774994473</v>
      </c>
      <c r="R158" s="10">
        <f t="shared" si="35"/>
        <v>1589.3322664359052</v>
      </c>
      <c r="S158" s="10">
        <f t="shared" si="35"/>
        <v>1453.4025331223081</v>
      </c>
      <c r="T158" s="10">
        <f t="shared" si="35"/>
        <v>1533.5662219995579</v>
      </c>
      <c r="V158" s="696"/>
      <c r="W158" s="696"/>
      <c r="X158" s="696"/>
    </row>
    <row r="159" spans="1:25" ht="15" customHeight="1">
      <c r="B159" s="345" t="s">
        <v>321</v>
      </c>
      <c r="C159" s="10">
        <f t="shared" ref="C159:O159" si="36">$C18/$C88*C88</f>
        <v>3576.9366545334665</v>
      </c>
      <c r="D159" s="10">
        <f t="shared" si="36"/>
        <v>4089.2259736311048</v>
      </c>
      <c r="E159" s="10">
        <f t="shared" si="36"/>
        <v>4776.5887441275017</v>
      </c>
      <c r="F159" s="10">
        <f t="shared" si="36"/>
        <v>3774.670129505635</v>
      </c>
      <c r="G159" s="10">
        <f t="shared" si="36"/>
        <v>2632.9489174946716</v>
      </c>
      <c r="H159" s="10">
        <f t="shared" si="36"/>
        <v>2632.9489174946716</v>
      </c>
      <c r="I159" s="10">
        <f t="shared" si="36"/>
        <v>2656.2493503928545</v>
      </c>
      <c r="J159" s="10">
        <f t="shared" si="36"/>
        <v>2563.0476188001226</v>
      </c>
      <c r="K159" s="10">
        <f t="shared" si="36"/>
        <v>3145.5584412546959</v>
      </c>
      <c r="L159" s="10">
        <f t="shared" si="36"/>
        <v>2947.5047616201409</v>
      </c>
      <c r="M159" s="10">
        <f t="shared" si="36"/>
        <v>3856.2216446492753</v>
      </c>
      <c r="N159" s="10">
        <f t="shared" si="36"/>
        <v>3914.4727268947327</v>
      </c>
      <c r="O159" s="10">
        <f t="shared" si="36"/>
        <v>4997.9428566602392</v>
      </c>
      <c r="P159" s="10">
        <f t="shared" ref="P159:T159" si="37">$C18/$C88*P88</f>
        <v>5347.4493501329835</v>
      </c>
      <c r="Q159" s="10">
        <f t="shared" si="37"/>
        <v>5324.1489172348001</v>
      </c>
      <c r="R159" s="10">
        <f t="shared" si="37"/>
        <v>5347.4493501329835</v>
      </c>
      <c r="S159" s="10">
        <f t="shared" si="37"/>
        <v>4928.0415579656901</v>
      </c>
      <c r="T159" s="10">
        <f t="shared" si="37"/>
        <v>4240.6787874692936</v>
      </c>
      <c r="V159" s="696"/>
      <c r="W159" s="696"/>
      <c r="X159" s="696"/>
    </row>
    <row r="160" spans="1:25" ht="15" customHeight="1">
      <c r="B160" s="345" t="s">
        <v>322</v>
      </c>
      <c r="C160" s="10">
        <f t="shared" ref="C160:O160" si="38">$C19/$C89*C89</f>
        <v>24379.614948680857</v>
      </c>
      <c r="D160" s="10">
        <f t="shared" si="38"/>
        <v>21036.301063336912</v>
      </c>
      <c r="E160" s="10">
        <f t="shared" si="38"/>
        <v>13926.471087226528</v>
      </c>
      <c r="F160" s="10">
        <f t="shared" si="38"/>
        <v>11507.662951024025</v>
      </c>
      <c r="G160" s="10">
        <f t="shared" si="38"/>
        <v>16235.33339905619</v>
      </c>
      <c r="H160" s="10">
        <f t="shared" si="38"/>
        <v>16235.33339905619</v>
      </c>
      <c r="I160" s="10">
        <f t="shared" si="38"/>
        <v>25067.64795700775</v>
      </c>
      <c r="J160" s="10">
        <f t="shared" si="38"/>
        <v>44308.167222254924</v>
      </c>
      <c r="K160" s="10">
        <f t="shared" si="38"/>
        <v>61166.526959423885</v>
      </c>
      <c r="L160" s="10">
        <f t="shared" si="38"/>
        <v>94773.300609388956</v>
      </c>
      <c r="M160" s="10">
        <f t="shared" si="38"/>
        <v>56622.099552013118</v>
      </c>
      <c r="N160" s="10">
        <f t="shared" si="38"/>
        <v>99391.025233048276</v>
      </c>
      <c r="O160" s="10">
        <f t="shared" si="38"/>
        <v>131275.31430117215</v>
      </c>
      <c r="P160" s="10">
        <f t="shared" ref="P160:T160" si="39">$C19/$C89*P89</f>
        <v>95103.138082507474</v>
      </c>
      <c r="Q160" s="10">
        <f t="shared" si="39"/>
        <v>85611.148578318869</v>
      </c>
      <c r="R160" s="10">
        <f t="shared" si="39"/>
        <v>95066.489474383197</v>
      </c>
      <c r="S160" s="10">
        <f t="shared" si="39"/>
        <v>118081.81537643124</v>
      </c>
      <c r="T160" s="10">
        <f t="shared" si="39"/>
        <v>122589.59417571772</v>
      </c>
      <c r="V160" s="696"/>
      <c r="W160" s="696"/>
      <c r="X160" s="696"/>
    </row>
    <row r="161" spans="2:24" ht="15" customHeight="1">
      <c r="B161" s="345" t="s">
        <v>323</v>
      </c>
      <c r="C161" s="10">
        <f t="shared" ref="C161:O161" si="40">$C20/$C90*C90</f>
        <v>202689.42607590149</v>
      </c>
      <c r="D161" s="10">
        <f t="shared" si="40"/>
        <v>196533.56623157894</v>
      </c>
      <c r="E161" s="10">
        <f t="shared" si="40"/>
        <v>178892.48027008394</v>
      </c>
      <c r="F161" s="10">
        <f t="shared" si="40"/>
        <v>201928.39374273948</v>
      </c>
      <c r="G161" s="10">
        <f t="shared" si="40"/>
        <v>215091.77286997123</v>
      </c>
      <c r="H161" s="10">
        <f t="shared" si="40"/>
        <v>215091.77286997123</v>
      </c>
      <c r="I161" s="10">
        <f t="shared" si="40"/>
        <v>188063.68703905685</v>
      </c>
      <c r="J161" s="10">
        <f t="shared" si="40"/>
        <v>201658.65236718146</v>
      </c>
      <c r="K161" s="10">
        <f t="shared" si="40"/>
        <v>231384.1519536761</v>
      </c>
      <c r="L161" s="10">
        <f t="shared" si="40"/>
        <v>257225.37573213514</v>
      </c>
      <c r="M161" s="10">
        <f t="shared" si="40"/>
        <v>298387.90964229015</v>
      </c>
      <c r="N161" s="10">
        <f t="shared" si="40"/>
        <v>352120.39165344927</v>
      </c>
      <c r="O161" s="10">
        <f t="shared" si="40"/>
        <v>356921.78813838214</v>
      </c>
      <c r="P161" s="10">
        <f t="shared" ref="P161:T161" si="41">$C20/$C90*P90</f>
        <v>315489.51285266911</v>
      </c>
      <c r="Q161" s="10">
        <f t="shared" si="41"/>
        <v>409575.30464730912</v>
      </c>
      <c r="R161" s="10">
        <f t="shared" si="41"/>
        <v>451061.52820813382</v>
      </c>
      <c r="S161" s="10">
        <f t="shared" si="41"/>
        <v>489634.54491293174</v>
      </c>
      <c r="T161" s="10">
        <f t="shared" si="41"/>
        <v>535005.04428179201</v>
      </c>
      <c r="V161" s="696"/>
      <c r="W161" s="696"/>
      <c r="X161" s="696"/>
    </row>
    <row r="162" spans="2:24" ht="15" customHeight="1">
      <c r="B162" s="345" t="s">
        <v>324</v>
      </c>
      <c r="C162" s="10">
        <f t="shared" ref="C162:O162" si="42">$C21/$C91*C91</f>
        <v>357654.30661981879</v>
      </c>
      <c r="D162" s="10">
        <f t="shared" si="42"/>
        <v>374344.4540430216</v>
      </c>
      <c r="E162" s="10">
        <f t="shared" si="42"/>
        <v>414141.01808737579</v>
      </c>
      <c r="F162" s="10">
        <f t="shared" si="42"/>
        <v>457146.9824578875</v>
      </c>
      <c r="G162" s="10">
        <f t="shared" si="42"/>
        <v>521720.1170201783</v>
      </c>
      <c r="H162" s="10">
        <f t="shared" si="42"/>
        <v>521720.1170201783</v>
      </c>
      <c r="I162" s="10">
        <f t="shared" si="42"/>
        <v>434167.67612259916</v>
      </c>
      <c r="J162" s="10">
        <f t="shared" si="42"/>
        <v>449316.045662063</v>
      </c>
      <c r="K162" s="10">
        <f t="shared" si="42"/>
        <v>483464.06513237976</v>
      </c>
      <c r="L162" s="10">
        <f t="shared" si="42"/>
        <v>463694.159123249</v>
      </c>
      <c r="M162" s="10">
        <f t="shared" si="42"/>
        <v>531605.07002474368</v>
      </c>
      <c r="N162" s="10">
        <f t="shared" si="42"/>
        <v>514659.43630263157</v>
      </c>
      <c r="O162" s="10">
        <f t="shared" si="42"/>
        <v>604009.14138285897</v>
      </c>
      <c r="P162" s="10">
        <f t="shared" ref="P162:T162" si="43">$C21/$C91*P91</f>
        <v>699392.5190762626</v>
      </c>
      <c r="Q162" s="10">
        <f t="shared" si="43"/>
        <v>615177.85451788735</v>
      </c>
      <c r="R162" s="10">
        <f t="shared" si="43"/>
        <v>625191.18353549903</v>
      </c>
      <c r="S162" s="10">
        <f t="shared" si="43"/>
        <v>697466.87888056808</v>
      </c>
      <c r="T162" s="10">
        <f t="shared" si="43"/>
        <v>704784.31162420742</v>
      </c>
      <c r="V162" s="696"/>
      <c r="W162" s="696"/>
      <c r="X162" s="696"/>
    </row>
    <row r="163" spans="2:24" ht="15" customHeight="1">
      <c r="B163" s="345" t="s">
        <v>325</v>
      </c>
      <c r="C163" s="10">
        <f t="shared" ref="C163:O163" si="44">$C22/$C92*C92</f>
        <v>160.68958403478121</v>
      </c>
      <c r="D163" s="10">
        <f t="shared" si="44"/>
        <v>99.299225156991227</v>
      </c>
      <c r="E163" s="10">
        <f t="shared" si="44"/>
        <v>141.31043580033366</v>
      </c>
      <c r="F163" s="10">
        <f t="shared" si="44"/>
        <v>126.03363193002733</v>
      </c>
      <c r="G163" s="10">
        <f t="shared" si="44"/>
        <v>141.31043580033366</v>
      </c>
      <c r="H163" s="10">
        <f t="shared" si="44"/>
        <v>141.31043580033366</v>
      </c>
      <c r="I163" s="10">
        <f t="shared" si="44"/>
        <v>91.660823221838058</v>
      </c>
      <c r="J163" s="10">
        <f t="shared" si="44"/>
        <v>156.58723967064</v>
      </c>
      <c r="K163" s="10">
        <f t="shared" si="44"/>
        <v>179.50244547609952</v>
      </c>
      <c r="L163" s="10">
        <f t="shared" si="44"/>
        <v>103.1184261245678</v>
      </c>
      <c r="M163" s="10">
        <f t="shared" si="44"/>
        <v>198.59845031398245</v>
      </c>
      <c r="N163" s="10">
        <f t="shared" si="44"/>
        <v>244.42886192490147</v>
      </c>
      <c r="O163" s="10">
        <f t="shared" si="44"/>
        <v>244.42886192490147</v>
      </c>
      <c r="P163" s="10">
        <f t="shared" ref="P163:T163" si="45">$C22/$C92*P92</f>
        <v>210.0560532167122</v>
      </c>
      <c r="Q163" s="10">
        <f t="shared" si="45"/>
        <v>374.28169482250536</v>
      </c>
      <c r="R163" s="10">
        <f t="shared" si="45"/>
        <v>110.75682805972097</v>
      </c>
      <c r="S163" s="10">
        <f t="shared" si="45"/>
        <v>118.39522999487414</v>
      </c>
      <c r="T163" s="10">
        <f t="shared" si="45"/>
        <v>103.1184261245678</v>
      </c>
      <c r="V163" s="696"/>
      <c r="W163" s="696"/>
      <c r="X163" s="696"/>
    </row>
    <row r="164" spans="2:24" ht="15" customHeight="1">
      <c r="B164" s="345" t="s">
        <v>326</v>
      </c>
      <c r="C164" s="10">
        <f t="shared" ref="C164:O164" si="46">$C23/$C93*C93</f>
        <v>461.59336339974743</v>
      </c>
      <c r="D164" s="10">
        <f t="shared" si="46"/>
        <v>686.95042068463817</v>
      </c>
      <c r="E164" s="10">
        <f t="shared" si="46"/>
        <v>645.31706185526627</v>
      </c>
      <c r="F164" s="10">
        <f t="shared" si="46"/>
        <v>582.8670236112082</v>
      </c>
      <c r="G164" s="10">
        <f t="shared" si="46"/>
        <v>489.19196624512119</v>
      </c>
      <c r="H164" s="10">
        <f t="shared" si="46"/>
        <v>489.19196624512119</v>
      </c>
      <c r="I164" s="10">
        <f t="shared" si="46"/>
        <v>811.85049717275433</v>
      </c>
      <c r="J164" s="10">
        <f t="shared" si="46"/>
        <v>759.80879863603923</v>
      </c>
      <c r="K164" s="10">
        <f t="shared" si="46"/>
        <v>697.35876039198126</v>
      </c>
      <c r="L164" s="10">
        <f t="shared" si="46"/>
        <v>655.72540156260925</v>
      </c>
      <c r="M164" s="10">
        <f t="shared" si="46"/>
        <v>884.70887512415527</v>
      </c>
      <c r="N164" s="10">
        <f t="shared" si="46"/>
        <v>1144.9173678077304</v>
      </c>
      <c r="O164" s="10">
        <f t="shared" si="46"/>
        <v>1249.0007648811604</v>
      </c>
      <c r="P164" s="10">
        <f t="shared" ref="P164:T164" si="47">$C23/$C93*P93</f>
        <v>1259.4091045885034</v>
      </c>
      <c r="Q164" s="10">
        <f t="shared" si="47"/>
        <v>1072.0589898563294</v>
      </c>
      <c r="R164" s="10">
        <f t="shared" si="47"/>
        <v>1186.5507266371023</v>
      </c>
      <c r="S164" s="10">
        <f t="shared" si="47"/>
        <v>1249.0007648811604</v>
      </c>
      <c r="T164" s="10">
        <f t="shared" si="47"/>
        <v>988.79227219758536</v>
      </c>
      <c r="V164" s="696"/>
      <c r="W164" s="696"/>
      <c r="X164" s="696"/>
    </row>
    <row r="165" spans="2:24" ht="15" customHeight="1">
      <c r="B165" s="345" t="s">
        <v>327</v>
      </c>
      <c r="C165" s="10">
        <f t="shared" ref="C165:O165" si="48">$C24/$C94*C94</f>
        <v>5477.0814575355198</v>
      </c>
      <c r="D165" s="10">
        <f t="shared" si="48"/>
        <v>19959.766480971979</v>
      </c>
      <c r="E165" s="10">
        <f t="shared" si="48"/>
        <v>8477.1208992545089</v>
      </c>
      <c r="F165" s="10">
        <f t="shared" si="48"/>
        <v>9363.3653569038433</v>
      </c>
      <c r="G165" s="10">
        <f t="shared" si="48"/>
        <v>2157.8125925375111</v>
      </c>
      <c r="H165" s="10">
        <f t="shared" si="48"/>
        <v>2157.8125925375111</v>
      </c>
      <c r="I165" s="10">
        <f t="shared" si="48"/>
        <v>17879.018623882235</v>
      </c>
      <c r="J165" s="10">
        <f t="shared" si="48"/>
        <v>44081.028676123446</v>
      </c>
      <c r="K165" s="10">
        <f t="shared" si="48"/>
        <v>49552.624892914988</v>
      </c>
      <c r="L165" s="10">
        <f t="shared" si="48"/>
        <v>65427.960395155249</v>
      </c>
      <c r="M165" s="10">
        <f t="shared" si="48"/>
        <v>54446.235593848272</v>
      </c>
      <c r="N165" s="10">
        <f t="shared" si="48"/>
        <v>97294.228502807426</v>
      </c>
      <c r="O165" s="10">
        <f t="shared" si="48"/>
        <v>85695.985817918307</v>
      </c>
      <c r="P165" s="10">
        <f t="shared" ref="P165:T165" si="49">$C24/$C94*P94</f>
        <v>110318.16879348026</v>
      </c>
      <c r="Q165" s="10">
        <f t="shared" si="49"/>
        <v>97679.552180046259</v>
      </c>
      <c r="R165" s="10">
        <f t="shared" si="49"/>
        <v>92439.150169598026</v>
      </c>
      <c r="S165" s="10">
        <f t="shared" si="49"/>
        <v>114325.53503676421</v>
      </c>
      <c r="T165" s="10">
        <f t="shared" si="49"/>
        <v>118294.36891232428</v>
      </c>
      <c r="V165" s="696"/>
      <c r="W165" s="696"/>
      <c r="X165" s="696"/>
    </row>
    <row r="166" spans="2:24" ht="15" customHeight="1">
      <c r="B166" s="345" t="s">
        <v>328</v>
      </c>
      <c r="C166" s="10">
        <f t="shared" ref="C166:O166" si="50">$C25/$C95*C95</f>
        <v>148953.56265578227</v>
      </c>
      <c r="D166" s="10">
        <f t="shared" si="50"/>
        <v>124011.0670156726</v>
      </c>
      <c r="E166" s="10">
        <f t="shared" si="50"/>
        <v>118885.11155635944</v>
      </c>
      <c r="F166" s="10">
        <f t="shared" si="50"/>
        <v>140068.27688821984</v>
      </c>
      <c r="G166" s="10">
        <f t="shared" si="50"/>
        <v>119996.76454753579</v>
      </c>
      <c r="H166" s="10">
        <f t="shared" si="50"/>
        <v>119996.76454753579</v>
      </c>
      <c r="I166" s="10">
        <f t="shared" si="50"/>
        <v>140500.58638478842</v>
      </c>
      <c r="J166" s="10">
        <f t="shared" si="50"/>
        <v>241166.94058575772</v>
      </c>
      <c r="K166" s="10">
        <f t="shared" si="50"/>
        <v>290017.91369800724</v>
      </c>
      <c r="L166" s="10">
        <f t="shared" si="50"/>
        <v>251110.05900683504</v>
      </c>
      <c r="M166" s="10">
        <f t="shared" si="50"/>
        <v>311509.87152741663</v>
      </c>
      <c r="N166" s="10">
        <f t="shared" si="50"/>
        <v>339980.5398014331</v>
      </c>
      <c r="O166" s="10">
        <f t="shared" si="50"/>
        <v>370303.96306074347</v>
      </c>
      <c r="P166" s="10">
        <f t="shared" ref="P166:T166" si="51">$C25/$C95*P95</f>
        <v>394822.08736613294</v>
      </c>
      <c r="Q166" s="10">
        <f t="shared" si="51"/>
        <v>443981.85297593143</v>
      </c>
      <c r="R166" s="10">
        <f t="shared" si="51"/>
        <v>450651.77092298953</v>
      </c>
      <c r="S166" s="10">
        <f t="shared" si="51"/>
        <v>456086.51887985168</v>
      </c>
      <c r="T166" s="10">
        <f t="shared" si="51"/>
        <v>593128.62929209147</v>
      </c>
      <c r="V166" s="696"/>
      <c r="W166" s="696"/>
      <c r="X166" s="696"/>
    </row>
    <row r="167" spans="2:24" ht="15" customHeight="1">
      <c r="B167" s="345" t="s">
        <v>329</v>
      </c>
      <c r="C167" s="10">
        <f t="shared" ref="C167:O167" si="52">$C26/$C96*C96</f>
        <v>658690.66881745821</v>
      </c>
      <c r="D167" s="10">
        <f t="shared" si="52"/>
        <v>652356.3408067195</v>
      </c>
      <c r="E167" s="10">
        <f t="shared" si="52"/>
        <v>654466.55078160262</v>
      </c>
      <c r="F167" s="10">
        <f t="shared" si="52"/>
        <v>705865.23659839819</v>
      </c>
      <c r="G167" s="10">
        <f t="shared" si="52"/>
        <v>783189.35924947192</v>
      </c>
      <c r="H167" s="10">
        <f t="shared" si="52"/>
        <v>783189.35924947192</v>
      </c>
      <c r="I167" s="10">
        <f t="shared" si="52"/>
        <v>810169.90107119153</v>
      </c>
      <c r="J167" s="10">
        <f t="shared" si="52"/>
        <v>843782.53138540103</v>
      </c>
      <c r="K167" s="10">
        <f t="shared" si="52"/>
        <v>832628.56437530462</v>
      </c>
      <c r="L167" s="10">
        <f t="shared" si="52"/>
        <v>897592.88574492012</v>
      </c>
      <c r="M167" s="10">
        <f t="shared" si="52"/>
        <v>922011.02973999607</v>
      </c>
      <c r="N167" s="10">
        <f t="shared" si="52"/>
        <v>913570.18984046369</v>
      </c>
      <c r="O167" s="10">
        <f t="shared" si="52"/>
        <v>929999.6817877678</v>
      </c>
      <c r="P167" s="10">
        <f t="shared" ref="P167:T167" si="53">$C26/$C96*P96</f>
        <v>1015010.9979187729</v>
      </c>
      <c r="Q167" s="10">
        <f t="shared" si="53"/>
        <v>1035811.6390997635</v>
      </c>
      <c r="R167" s="10">
        <f t="shared" si="53"/>
        <v>1059626.8659591584</v>
      </c>
      <c r="S167" s="10">
        <f t="shared" si="53"/>
        <v>1054954.2581576316</v>
      </c>
      <c r="T167" s="10">
        <f t="shared" si="53"/>
        <v>1008529.6387102033</v>
      </c>
      <c r="V167" s="696"/>
      <c r="W167" s="696"/>
      <c r="X167" s="696"/>
    </row>
    <row r="168" spans="2:24" ht="15" customHeight="1">
      <c r="B168" s="345" t="s">
        <v>330</v>
      </c>
      <c r="C168" s="10">
        <f t="shared" ref="C168:O168" si="54">$C27/$C97*C97</f>
        <v>3149.8057932878164</v>
      </c>
      <c r="D168" s="10">
        <f t="shared" si="54"/>
        <v>3275.9728045485635</v>
      </c>
      <c r="E168" s="10">
        <f t="shared" si="54"/>
        <v>2671.6906794542219</v>
      </c>
      <c r="F168" s="10">
        <f t="shared" si="54"/>
        <v>2838.368296706924</v>
      </c>
      <c r="G168" s="10">
        <f t="shared" si="54"/>
        <v>2657.7503696476319</v>
      </c>
      <c r="H168" s="10">
        <f t="shared" si="54"/>
        <v>2657.7503696476319</v>
      </c>
      <c r="I168" s="10">
        <f t="shared" si="54"/>
        <v>3012.925219502481</v>
      </c>
      <c r="J168" s="10">
        <f t="shared" si="54"/>
        <v>3386.2830821485336</v>
      </c>
      <c r="K168" s="10">
        <f t="shared" si="54"/>
        <v>3226.8786700123133</v>
      </c>
      <c r="L168" s="10">
        <f t="shared" si="54"/>
        <v>3543.2630925792605</v>
      </c>
      <c r="M168" s="10">
        <f t="shared" si="54"/>
        <v>3648.7245667682428</v>
      </c>
      <c r="N168" s="10">
        <f t="shared" si="54"/>
        <v>2746.8471323245312</v>
      </c>
      <c r="O168" s="10">
        <f t="shared" si="54"/>
        <v>1980.7361933884747</v>
      </c>
      <c r="P168" s="10">
        <f t="shared" ref="P168:T168" si="55">$C27/$C97*P97</f>
        <v>1619.5003392698911</v>
      </c>
      <c r="Q168" s="10">
        <f t="shared" si="55"/>
        <v>1284.3268034853666</v>
      </c>
      <c r="R168" s="10">
        <f t="shared" si="55"/>
        <v>1156.4396135205661</v>
      </c>
      <c r="S168" s="10">
        <f t="shared" si="55"/>
        <v>1152.1969105359517</v>
      </c>
      <c r="T168" s="10">
        <f t="shared" si="55"/>
        <v>1270.9925941051504</v>
      </c>
      <c r="V168" s="696"/>
      <c r="W168" s="696"/>
      <c r="X168" s="696"/>
    </row>
    <row r="169" spans="2:24" ht="15" customHeight="1">
      <c r="B169" s="345" t="s">
        <v>331</v>
      </c>
      <c r="C169" s="10">
        <f t="shared" ref="C169:O169" si="56">$C28/$C98*C98</f>
        <v>8912.0303831771162</v>
      </c>
      <c r="D169" s="10">
        <f t="shared" si="56"/>
        <v>9185.2655682035038</v>
      </c>
      <c r="E169" s="10">
        <f t="shared" si="56"/>
        <v>12348.936224666028</v>
      </c>
      <c r="F169" s="10">
        <f t="shared" si="56"/>
        <v>10302.044528317945</v>
      </c>
      <c r="G169" s="10">
        <f t="shared" si="56"/>
        <v>6777.9149567752556</v>
      </c>
      <c r="H169" s="10">
        <f t="shared" si="56"/>
        <v>6777.9149567752556</v>
      </c>
      <c r="I169" s="10">
        <f t="shared" si="56"/>
        <v>7341.1320115880144</v>
      </c>
      <c r="J169" s="10">
        <f t="shared" si="56"/>
        <v>11988.477309585862</v>
      </c>
      <c r="K169" s="10">
        <f t="shared" si="56"/>
        <v>8512.6234855985513</v>
      </c>
      <c r="L169" s="10">
        <f t="shared" si="56"/>
        <v>6546.1913685094351</v>
      </c>
      <c r="M169" s="10">
        <f t="shared" si="56"/>
        <v>7527.7982354688138</v>
      </c>
      <c r="N169" s="10">
        <f t="shared" si="56"/>
        <v>8567.3359994946477</v>
      </c>
      <c r="O169" s="10">
        <f t="shared" si="56"/>
        <v>20134.205113763532</v>
      </c>
      <c r="P169" s="10">
        <f t="shared" ref="P169:T169" si="57">$C28/$C98*P98</f>
        <v>18750.300350509326</v>
      </c>
      <c r="Q169" s="10">
        <f t="shared" si="57"/>
        <v>18245.014192763021</v>
      </c>
      <c r="R169" s="10">
        <f t="shared" si="57"/>
        <v>20147.078646444967</v>
      </c>
      <c r="S169" s="10">
        <f t="shared" si="57"/>
        <v>17569.153726987712</v>
      </c>
      <c r="T169" s="10">
        <f t="shared" si="57"/>
        <v>16867.546195849533</v>
      </c>
      <c r="V169" s="696"/>
      <c r="W169" s="696"/>
      <c r="X169" s="696"/>
    </row>
    <row r="170" spans="2:24" ht="15" customHeight="1">
      <c r="B170" s="345" t="s">
        <v>332</v>
      </c>
      <c r="C170" s="10">
        <f t="shared" ref="C170:O170" si="58">$C29/$C99*C99</f>
        <v>49109.114773323177</v>
      </c>
      <c r="D170" s="10">
        <f t="shared" si="58"/>
        <v>31455.617462090097</v>
      </c>
      <c r="E170" s="10">
        <f t="shared" si="58"/>
        <v>32228.904971401244</v>
      </c>
      <c r="F170" s="10">
        <f t="shared" si="58"/>
        <v>24848.305299198186</v>
      </c>
      <c r="G170" s="10">
        <f t="shared" si="58"/>
        <v>34583.135833081848</v>
      </c>
      <c r="H170" s="10">
        <f t="shared" si="58"/>
        <v>34583.135833081848</v>
      </c>
      <c r="I170" s="10">
        <f t="shared" si="58"/>
        <v>55616.556086345045</v>
      </c>
      <c r="J170" s="10">
        <f t="shared" si="58"/>
        <v>77766.947186391</v>
      </c>
      <c r="K170" s="10">
        <f t="shared" si="58"/>
        <v>92708.58028296972</v>
      </c>
      <c r="L170" s="10">
        <f t="shared" si="58"/>
        <v>105141.3250160056</v>
      </c>
      <c r="M170" s="10">
        <f t="shared" si="58"/>
        <v>133177.29327025308</v>
      </c>
      <c r="N170" s="10">
        <f t="shared" si="58"/>
        <v>161324.95860917881</v>
      </c>
      <c r="O170" s="10">
        <f t="shared" si="58"/>
        <v>172322.8254082707</v>
      </c>
      <c r="P170" s="10">
        <f t="shared" ref="P170:T170" si="59">$C29/$C99*P99</f>
        <v>146778.56135069247</v>
      </c>
      <c r="Q170" s="10">
        <f t="shared" si="59"/>
        <v>128503.19988063903</v>
      </c>
      <c r="R170" s="10">
        <f t="shared" si="59"/>
        <v>141099.19419897394</v>
      </c>
      <c r="S170" s="10">
        <f t="shared" si="59"/>
        <v>127953.30654068444</v>
      </c>
      <c r="T170" s="10">
        <f t="shared" si="59"/>
        <v>121672.49354839057</v>
      </c>
      <c r="V170" s="696"/>
      <c r="W170" s="696"/>
      <c r="X170" s="696"/>
    </row>
    <row r="171" spans="2:24" ht="15" customHeight="1">
      <c r="B171" s="345" t="s">
        <v>333</v>
      </c>
      <c r="C171" s="10">
        <f t="shared" ref="C171:O171" si="60">$C30/$C100*C100</f>
        <v>28633.332219272561</v>
      </c>
      <c r="D171" s="10">
        <f t="shared" si="60"/>
        <v>47351.908083326271</v>
      </c>
      <c r="E171" s="10">
        <f t="shared" si="60"/>
        <v>47235.532558271676</v>
      </c>
      <c r="F171" s="10">
        <f t="shared" si="60"/>
        <v>53183.614949951108</v>
      </c>
      <c r="G171" s="10">
        <f t="shared" si="60"/>
        <v>55627.500976097654</v>
      </c>
      <c r="H171" s="10">
        <f t="shared" si="60"/>
        <v>55627.500976097654</v>
      </c>
      <c r="I171" s="10">
        <f t="shared" si="60"/>
        <v>30891.236595048187</v>
      </c>
      <c r="J171" s="10">
        <f t="shared" si="60"/>
        <v>8094.5642982420113</v>
      </c>
      <c r="K171" s="10">
        <f t="shared" si="60"/>
        <v>10241.04620480459</v>
      </c>
      <c r="L171" s="10">
        <f t="shared" si="60"/>
        <v>9103.1521820485232</v>
      </c>
      <c r="M171" s="10">
        <f t="shared" si="60"/>
        <v>13357.324153488815</v>
      </c>
      <c r="N171" s="10">
        <f t="shared" si="60"/>
        <v>13085.781261694752</v>
      </c>
      <c r="O171" s="10">
        <f t="shared" si="60"/>
        <v>23262.174397024566</v>
      </c>
      <c r="P171" s="10">
        <f t="shared" ref="P171:T171" si="61">$C30/$C100*P100</f>
        <v>69062.408812956201</v>
      </c>
      <c r="Q171" s="10">
        <f t="shared" si="61"/>
        <v>94820.191691707136</v>
      </c>
      <c r="R171" s="10">
        <f t="shared" si="61"/>
        <v>112496.34088611102</v>
      </c>
      <c r="S171" s="10">
        <f t="shared" si="61"/>
        <v>156848.34654580767</v>
      </c>
      <c r="T171" s="10">
        <f t="shared" si="61"/>
        <v>184274.17861700783</v>
      </c>
      <c r="V171" s="696"/>
      <c r="W171" s="696"/>
      <c r="X171" s="696"/>
    </row>
    <row r="172" spans="2:24" ht="15" customHeight="1">
      <c r="B172" s="345" t="s">
        <v>334</v>
      </c>
      <c r="C172" s="10">
        <f t="shared" ref="C172:O172" si="62">$C31/$C101*C101</f>
        <v>3913.7005394911944</v>
      </c>
      <c r="D172" s="10">
        <f t="shared" si="62"/>
        <v>1632.011523803686</v>
      </c>
      <c r="E172" s="10">
        <f t="shared" si="62"/>
        <v>636.20788216075891</v>
      </c>
      <c r="F172" s="10">
        <f t="shared" si="62"/>
        <v>6583.3685197504619</v>
      </c>
      <c r="G172" s="10">
        <f t="shared" si="62"/>
        <v>442.57939628574536</v>
      </c>
      <c r="H172" s="10">
        <f t="shared" si="62"/>
        <v>442.57939628574536</v>
      </c>
      <c r="I172" s="10">
        <f t="shared" si="62"/>
        <v>304.27333494644995</v>
      </c>
      <c r="J172" s="10">
        <f t="shared" si="62"/>
        <v>608.5466698928999</v>
      </c>
      <c r="K172" s="10">
        <f t="shared" si="62"/>
        <v>359.59575948216809</v>
      </c>
      <c r="L172" s="10">
        <f t="shared" si="62"/>
        <v>248.95091041073175</v>
      </c>
      <c r="M172" s="10">
        <f t="shared" si="62"/>
        <v>248.95091041073175</v>
      </c>
      <c r="N172" s="10">
        <f t="shared" si="62"/>
        <v>193.62848587501361</v>
      </c>
      <c r="O172" s="10">
        <f t="shared" si="62"/>
        <v>110.64484907143634</v>
      </c>
      <c r="P172" s="10">
        <f t="shared" ref="P172:T172" si="63">$C31/$C101*P101</f>
        <v>27.661212267859085</v>
      </c>
      <c r="Q172" s="10">
        <f t="shared" si="63"/>
        <v>110.64484907143634</v>
      </c>
      <c r="R172" s="10">
        <f t="shared" si="63"/>
        <v>0</v>
      </c>
      <c r="S172" s="10">
        <f t="shared" si="63"/>
        <v>27.661212267859085</v>
      </c>
      <c r="T172" s="10">
        <f t="shared" si="63"/>
        <v>165.96727360715451</v>
      </c>
      <c r="V172" s="696"/>
      <c r="W172" s="696"/>
      <c r="X172" s="696"/>
    </row>
    <row r="173" spans="2:24" ht="15" customHeight="1">
      <c r="B173" s="345" t="s">
        <v>335</v>
      </c>
      <c r="C173" s="10">
        <f t="shared" ref="C173:O173" si="64">$C32/$C102*C102</f>
        <v>702.90834077976524</v>
      </c>
      <c r="D173" s="10">
        <f t="shared" si="64"/>
        <v>734.63360107045446</v>
      </c>
      <c r="E173" s="10">
        <f t="shared" si="64"/>
        <v>673.41413431458329</v>
      </c>
      <c r="F173" s="10">
        <f t="shared" si="64"/>
        <v>662.70072763230587</v>
      </c>
      <c r="G173" s="10">
        <f t="shared" si="64"/>
        <v>855.54204791330017</v>
      </c>
      <c r="H173" s="10">
        <f t="shared" si="64"/>
        <v>855.54204791330017</v>
      </c>
      <c r="I173" s="10">
        <f t="shared" si="64"/>
        <v>816.51463785643227</v>
      </c>
      <c r="J173" s="10">
        <f t="shared" si="64"/>
        <v>793.55733782298057</v>
      </c>
      <c r="K173" s="10">
        <f t="shared" si="64"/>
        <v>775.95674113066752</v>
      </c>
      <c r="L173" s="10">
        <f t="shared" si="64"/>
        <v>759.12138777280302</v>
      </c>
      <c r="M173" s="10">
        <f t="shared" si="64"/>
        <v>697.13667768248342</v>
      </c>
      <c r="N173" s="10">
        <f t="shared" si="64"/>
        <v>562.4538508195667</v>
      </c>
      <c r="O173" s="10">
        <f t="shared" si="64"/>
        <v>312.21928045494315</v>
      </c>
      <c r="P173" s="10">
        <f t="shared" ref="P173:T173" si="65">$C32/$C102*P102</f>
        <v>320.63695713387546</v>
      </c>
      <c r="Q173" s="10">
        <f t="shared" si="65"/>
        <v>264.774193719143</v>
      </c>
      <c r="R173" s="10">
        <f t="shared" si="65"/>
        <v>211.97240364220406</v>
      </c>
      <c r="S173" s="10">
        <f t="shared" si="65"/>
        <v>216.5638636488944</v>
      </c>
      <c r="T173" s="10">
        <f t="shared" si="65"/>
        <v>220.39008032113634</v>
      </c>
      <c r="V173" s="696"/>
      <c r="W173" s="696"/>
      <c r="X173" s="696"/>
    </row>
    <row r="174" spans="2:24" ht="15" customHeight="1">
      <c r="B174" s="345" t="s">
        <v>336</v>
      </c>
      <c r="C174" s="10">
        <f t="shared" ref="C174:O174" si="66">$C33/$C103*C103</f>
        <v>2836.8181960421616</v>
      </c>
      <c r="D174" s="10">
        <f t="shared" si="66"/>
        <v>2939.8484738303164</v>
      </c>
      <c r="E174" s="10">
        <f t="shared" si="66"/>
        <v>4229.6148655525303</v>
      </c>
      <c r="F174" s="10">
        <f t="shared" si="66"/>
        <v>4319.693788149003</v>
      </c>
      <c r="G174" s="10">
        <f t="shared" si="66"/>
        <v>2080.0042126821736</v>
      </c>
      <c r="H174" s="10">
        <f t="shared" si="66"/>
        <v>2080.0042126821736</v>
      </c>
      <c r="I174" s="10">
        <f t="shared" si="66"/>
        <v>2378.9024558431947</v>
      </c>
      <c r="J174" s="10">
        <f t="shared" si="66"/>
        <v>3034.0218929084463</v>
      </c>
      <c r="K174" s="10">
        <f t="shared" si="66"/>
        <v>1740.1610047045745</v>
      </c>
      <c r="L174" s="10">
        <f t="shared" si="66"/>
        <v>1211.9709585707155</v>
      </c>
      <c r="M174" s="10">
        <f t="shared" si="66"/>
        <v>1654.1765785897603</v>
      </c>
      <c r="N174" s="10">
        <f t="shared" si="66"/>
        <v>1862.9958991543092</v>
      </c>
      <c r="O174" s="10">
        <f t="shared" si="66"/>
        <v>3709.6138123819869</v>
      </c>
      <c r="P174" s="10">
        <f t="shared" ref="P174:T174" si="67">$C33/$C103*P103</f>
        <v>3640.0073721938043</v>
      </c>
      <c r="Q174" s="10">
        <f t="shared" si="67"/>
        <v>3644.1018686754619</v>
      </c>
      <c r="R174" s="10">
        <f t="shared" si="67"/>
        <v>4086.3074886945069</v>
      </c>
      <c r="S174" s="10">
        <f t="shared" si="67"/>
        <v>3627.7238827488309</v>
      </c>
      <c r="T174" s="10">
        <f t="shared" si="67"/>
        <v>4696.3874644615225</v>
      </c>
      <c r="V174" s="696"/>
      <c r="W174" s="696"/>
      <c r="X174" s="696"/>
    </row>
    <row r="175" spans="2:24" ht="15" customHeight="1">
      <c r="B175" s="345" t="s">
        <v>337</v>
      </c>
      <c r="C175" s="10">
        <f t="shared" ref="C175:O175" si="68">$C34/$C104*C104</f>
        <v>26982.794066264105</v>
      </c>
      <c r="D175" s="10">
        <f t="shared" si="68"/>
        <v>19762.41320941571</v>
      </c>
      <c r="E175" s="10">
        <f t="shared" si="68"/>
        <v>19127.750729864318</v>
      </c>
      <c r="F175" s="10">
        <f t="shared" si="68"/>
        <v>14275.023770832891</v>
      </c>
      <c r="G175" s="10">
        <f t="shared" si="68"/>
        <v>14109.035122334833</v>
      </c>
      <c r="H175" s="10">
        <f t="shared" si="68"/>
        <v>14109.035122334833</v>
      </c>
      <c r="I175" s="10">
        <f t="shared" si="68"/>
        <v>35980.48057149056</v>
      </c>
      <c r="J175" s="10">
        <f t="shared" si="68"/>
        <v>55303.512064293769</v>
      </c>
      <c r="K175" s="10">
        <f t="shared" si="68"/>
        <v>58759.981568312134</v>
      </c>
      <c r="L175" s="10">
        <f t="shared" si="68"/>
        <v>65087.078287532182</v>
      </c>
      <c r="M175" s="10">
        <f t="shared" si="68"/>
        <v>87270.972957390128</v>
      </c>
      <c r="N175" s="10">
        <f t="shared" si="68"/>
        <v>102932.49014508915</v>
      </c>
      <c r="O175" s="10">
        <f t="shared" si="68"/>
        <v>100745.34560017358</v>
      </c>
      <c r="P175" s="10">
        <f t="shared" ref="P175:T175" si="69">$C34/$C104*P104</f>
        <v>97835.6622323841</v>
      </c>
      <c r="Q175" s="10">
        <f t="shared" si="69"/>
        <v>85884.479540524015</v>
      </c>
      <c r="R175" s="10">
        <f t="shared" si="69"/>
        <v>87690.826597708743</v>
      </c>
      <c r="S175" s="10">
        <f t="shared" si="69"/>
        <v>80231.101453443131</v>
      </c>
      <c r="T175" s="10">
        <f t="shared" si="69"/>
        <v>67762.42473979498</v>
      </c>
      <c r="V175" s="696"/>
      <c r="W175" s="696"/>
      <c r="X175" s="696"/>
    </row>
    <row r="176" spans="2:24" ht="15" customHeight="1">
      <c r="B176" s="345" t="s">
        <v>338</v>
      </c>
      <c r="C176" s="10">
        <f t="shared" ref="C176:O176" si="70">$C35/$C105*C105</f>
        <v>9237.8642064694359</v>
      </c>
      <c r="D176" s="10">
        <f t="shared" si="70"/>
        <v>18765.773013528826</v>
      </c>
      <c r="E176" s="10">
        <f t="shared" si="70"/>
        <v>18261.794907320309</v>
      </c>
      <c r="F176" s="10">
        <f t="shared" si="70"/>
        <v>30016.343090360086</v>
      </c>
      <c r="G176" s="10">
        <f t="shared" si="70"/>
        <v>34893.072412201305</v>
      </c>
      <c r="H176" s="10">
        <f t="shared" si="70"/>
        <v>34893.072412201305</v>
      </c>
      <c r="I176" s="10">
        <f t="shared" si="70"/>
        <v>19877.4894242829</v>
      </c>
      <c r="J176" s="10">
        <f t="shared" si="70"/>
        <v>1082.0706398006353</v>
      </c>
      <c r="K176" s="10">
        <f t="shared" si="70"/>
        <v>1852.8606845901288</v>
      </c>
      <c r="L176" s="10">
        <f t="shared" si="70"/>
        <v>1215.4766090911244</v>
      </c>
      <c r="M176" s="10">
        <f t="shared" si="70"/>
        <v>1912.1522264970129</v>
      </c>
      <c r="N176" s="10">
        <f t="shared" si="70"/>
        <v>3824.3044529940257</v>
      </c>
      <c r="O176" s="10">
        <f t="shared" si="70"/>
        <v>8389.7531798241034</v>
      </c>
      <c r="P176" s="10">
        <f t="shared" ref="P176:T176" si="71">$C35/$C105*P105</f>
        <v>48544.949936261371</v>
      </c>
      <c r="Q176" s="10">
        <f t="shared" si="71"/>
        <v>72839.65923260714</v>
      </c>
      <c r="R176" s="10">
        <f t="shared" si="71"/>
        <v>89396.82231010453</v>
      </c>
      <c r="S176" s="10">
        <f t="shared" si="71"/>
        <v>127106.24296288284</v>
      </c>
      <c r="T176" s="10">
        <f t="shared" si="71"/>
        <v>151623.29554137943</v>
      </c>
      <c r="V176" s="696"/>
      <c r="W176" s="696"/>
      <c r="X176" s="696"/>
    </row>
    <row r="177" spans="2:24" ht="15" customHeight="1">
      <c r="B177" s="345" t="s">
        <v>339</v>
      </c>
      <c r="C177" s="10">
        <f t="shared" ref="C177:O177" si="72">$C36/$C106*C106</f>
        <v>5019.3239342547804</v>
      </c>
      <c r="D177" s="10">
        <f t="shared" si="72"/>
        <v>3056.633913938274</v>
      </c>
      <c r="E177" s="10">
        <f t="shared" si="72"/>
        <v>1018.8779713127579</v>
      </c>
      <c r="F177" s="10">
        <f t="shared" si="72"/>
        <v>2662.2295379462385</v>
      </c>
      <c r="G177" s="10">
        <f t="shared" si="72"/>
        <v>1577.6175039681414</v>
      </c>
      <c r="H177" s="10">
        <f t="shared" si="72"/>
        <v>1577.6175039681414</v>
      </c>
      <c r="I177" s="10">
        <f t="shared" si="72"/>
        <v>1084.6120339780971</v>
      </c>
      <c r="J177" s="10">
        <f t="shared" si="72"/>
        <v>262.93625066135689</v>
      </c>
      <c r="K177" s="10">
        <f t="shared" si="72"/>
        <v>493.00546999004416</v>
      </c>
      <c r="L177" s="10">
        <f t="shared" si="72"/>
        <v>361.53734465936571</v>
      </c>
      <c r="M177" s="10">
        <f t="shared" si="72"/>
        <v>723.07468931873143</v>
      </c>
      <c r="N177" s="10">
        <f t="shared" si="72"/>
        <v>690.2076579860618</v>
      </c>
      <c r="O177" s="10">
        <f t="shared" si="72"/>
        <v>131.46812533067845</v>
      </c>
      <c r="P177" s="10">
        <f t="shared" ref="P177:T177" si="73">$C36/$C106*P106</f>
        <v>0</v>
      </c>
      <c r="Q177" s="10">
        <f t="shared" si="73"/>
        <v>32.867031332669612</v>
      </c>
      <c r="R177" s="10">
        <f t="shared" si="73"/>
        <v>0</v>
      </c>
      <c r="S177" s="10">
        <f t="shared" si="73"/>
        <v>131.46812533067845</v>
      </c>
      <c r="T177" s="10">
        <f t="shared" si="73"/>
        <v>0</v>
      </c>
      <c r="V177" s="696"/>
      <c r="W177" s="696"/>
      <c r="X177" s="696"/>
    </row>
    <row r="178" spans="2:24" ht="15" customHeight="1">
      <c r="B178" s="345" t="s">
        <v>340</v>
      </c>
      <c r="C178" s="10">
        <f t="shared" ref="C178:O178" si="74">$C37/$C107*C107</f>
        <v>3282.9606468792977</v>
      </c>
      <c r="D178" s="10">
        <f t="shared" si="74"/>
        <v>3489.0481367221164</v>
      </c>
      <c r="E178" s="10">
        <f t="shared" si="74"/>
        <v>2820.5884422016215</v>
      </c>
      <c r="F178" s="10">
        <f t="shared" si="74"/>
        <v>2872.6995474196174</v>
      </c>
      <c r="G178" s="10">
        <f t="shared" si="74"/>
        <v>2815.7966164344498</v>
      </c>
      <c r="H178" s="10">
        <f t="shared" si="74"/>
        <v>2815.7966164344498</v>
      </c>
      <c r="I178" s="10">
        <f t="shared" si="74"/>
        <v>3111.6918575573209</v>
      </c>
      <c r="J178" s="10">
        <f t="shared" si="74"/>
        <v>3392.0136649368833</v>
      </c>
      <c r="K178" s="10">
        <f t="shared" si="74"/>
        <v>3315.3444526621311</v>
      </c>
      <c r="L178" s="10">
        <f t="shared" si="74"/>
        <v>3428.5513364115695</v>
      </c>
      <c r="M178" s="10">
        <f t="shared" si="74"/>
        <v>3610.0417373432097</v>
      </c>
      <c r="N178" s="10">
        <f t="shared" si="74"/>
        <v>2867.9077216524452</v>
      </c>
      <c r="O178" s="10">
        <f t="shared" si="74"/>
        <v>2180.2807240632624</v>
      </c>
      <c r="P178" s="10">
        <f t="shared" ref="P178:T178" si="75">$C37/$C107*P107</f>
        <v>1774.7724685163314</v>
      </c>
      <c r="Q178" s="10">
        <f t="shared" si="75"/>
        <v>1402.8069933396046</v>
      </c>
      <c r="R178" s="10">
        <f t="shared" si="75"/>
        <v>1251.8644816736864</v>
      </c>
      <c r="S178" s="10">
        <f t="shared" si="75"/>
        <v>1233.2961568258947</v>
      </c>
      <c r="T178" s="10">
        <f t="shared" si="75"/>
        <v>1363.2744307604355</v>
      </c>
      <c r="V178" s="696"/>
      <c r="W178" s="696"/>
      <c r="X178" s="696"/>
    </row>
    <row r="179" spans="2:24" ht="15" customHeight="1">
      <c r="B179" s="345" t="s">
        <v>341</v>
      </c>
      <c r="C179" s="10">
        <f t="shared" ref="C179:O179" si="76">$C38/$C108*C108</f>
        <v>10713.097809558192</v>
      </c>
      <c r="D179" s="10">
        <f t="shared" si="76"/>
        <v>11059.223352063396</v>
      </c>
      <c r="E179" s="10">
        <f t="shared" si="76"/>
        <v>15239.9102660153</v>
      </c>
      <c r="F179" s="10">
        <f t="shared" si="76"/>
        <v>12669.441046265185</v>
      </c>
      <c r="G179" s="10">
        <f t="shared" si="76"/>
        <v>8011.8945311906409</v>
      </c>
      <c r="H179" s="10">
        <f t="shared" si="76"/>
        <v>8011.8945311906409</v>
      </c>
      <c r="I179" s="10">
        <f t="shared" si="76"/>
        <v>8730.4500945261243</v>
      </c>
      <c r="J179" s="10">
        <f t="shared" si="76"/>
        <v>13926.913282102279</v>
      </c>
      <c r="K179" s="10">
        <f t="shared" si="76"/>
        <v>9589.4506088771795</v>
      </c>
      <c r="L179" s="10">
        <f t="shared" si="76"/>
        <v>7505.6394752042779</v>
      </c>
      <c r="M179" s="10">
        <f t="shared" si="76"/>
        <v>8834.9672673749228</v>
      </c>
      <c r="N179" s="10">
        <f t="shared" si="76"/>
        <v>10112.036473121168</v>
      </c>
      <c r="O179" s="10">
        <f t="shared" si="76"/>
        <v>21001.419419305268</v>
      </c>
      <c r="P179" s="10">
        <f t="shared" ref="P179:T179" si="77">$C38/$C108*P108</f>
        <v>18793.494142874417</v>
      </c>
      <c r="Q179" s="10">
        <f t="shared" si="77"/>
        <v>18225.182015509083</v>
      </c>
      <c r="R179" s="10">
        <f t="shared" si="77"/>
        <v>20263.266886060635</v>
      </c>
      <c r="S179" s="10">
        <f t="shared" si="77"/>
        <v>19234.425965830284</v>
      </c>
      <c r="T179" s="10">
        <f t="shared" si="77"/>
        <v>18839.220405995766</v>
      </c>
      <c r="V179" s="696"/>
      <c r="W179" s="696"/>
      <c r="X179" s="696"/>
    </row>
    <row r="180" spans="2:24" ht="15" customHeight="1">
      <c r="B180" s="345" t="s">
        <v>342</v>
      </c>
      <c r="C180" s="10">
        <f t="shared" ref="C180:O180" si="78">$C39/$C109*C109</f>
        <v>67436.188642778929</v>
      </c>
      <c r="D180" s="10">
        <f t="shared" si="78"/>
        <v>45426.774596624942</v>
      </c>
      <c r="E180" s="10">
        <f t="shared" si="78"/>
        <v>45341.530133129687</v>
      </c>
      <c r="F180" s="10">
        <f t="shared" si="78"/>
        <v>31037.509158624776</v>
      </c>
      <c r="G180" s="10">
        <f t="shared" si="78"/>
        <v>40832.098014230338</v>
      </c>
      <c r="H180" s="10">
        <f t="shared" si="78"/>
        <v>40832.098014230338</v>
      </c>
      <c r="I180" s="10">
        <f t="shared" si="78"/>
        <v>67990.984083820716</v>
      </c>
      <c r="J180" s="10">
        <f t="shared" si="78"/>
        <v>91765.664952649196</v>
      </c>
      <c r="K180" s="10">
        <f t="shared" si="78"/>
        <v>93104.0030295248</v>
      </c>
      <c r="L180" s="10">
        <f t="shared" si="78"/>
        <v>106001.49035635788</v>
      </c>
      <c r="M180" s="10">
        <f t="shared" si="78"/>
        <v>139076.34219251943</v>
      </c>
      <c r="N180" s="10">
        <f t="shared" si="78"/>
        <v>187520.77079687663</v>
      </c>
      <c r="O180" s="10">
        <f t="shared" si="78"/>
        <v>198790.08887095022</v>
      </c>
      <c r="P180" s="10">
        <f t="shared" ref="P180:T180" si="79">$C39/$C109*P109</f>
        <v>169764.34905081362</v>
      </c>
      <c r="Q180" s="10">
        <f t="shared" si="79"/>
        <v>149706.32679037855</v>
      </c>
      <c r="R180" s="10">
        <f t="shared" si="79"/>
        <v>158801.91104532298</v>
      </c>
      <c r="S180" s="10">
        <f t="shared" si="79"/>
        <v>138795.03546298505</v>
      </c>
      <c r="T180" s="10">
        <f t="shared" si="79"/>
        <v>127909.31747464013</v>
      </c>
      <c r="V180" s="696"/>
      <c r="W180" s="696"/>
      <c r="X180" s="696"/>
    </row>
    <row r="181" spans="2:24" ht="15" customHeight="1">
      <c r="B181" s="345" t="s">
        <v>343</v>
      </c>
      <c r="C181" s="10">
        <f t="shared" ref="C181:O181" si="80">$C40/$C110*C110</f>
        <v>32446.803930441427</v>
      </c>
      <c r="D181" s="10">
        <f t="shared" si="80"/>
        <v>58642.969775000893</v>
      </c>
      <c r="E181" s="10">
        <f t="shared" si="80"/>
        <v>55245.810953233216</v>
      </c>
      <c r="F181" s="10">
        <f t="shared" si="80"/>
        <v>66690.231926944849</v>
      </c>
      <c r="G181" s="10">
        <f t="shared" si="80"/>
        <v>66457.726760436024</v>
      </c>
      <c r="H181" s="10">
        <f t="shared" si="80"/>
        <v>66457.726760436024</v>
      </c>
      <c r="I181" s="10">
        <f t="shared" si="80"/>
        <v>35689.543059102965</v>
      </c>
      <c r="J181" s="10">
        <f t="shared" si="80"/>
        <v>8615.6081145210555</v>
      </c>
      <c r="K181" s="10">
        <f t="shared" si="80"/>
        <v>9442.2931509968403</v>
      </c>
      <c r="L181" s="10">
        <f t="shared" si="80"/>
        <v>7918.0926149946135</v>
      </c>
      <c r="M181" s="10">
        <f t="shared" si="80"/>
        <v>13239.87753730747</v>
      </c>
      <c r="N181" s="10">
        <f t="shared" si="80"/>
        <v>14983.666286123576</v>
      </c>
      <c r="O181" s="10">
        <f t="shared" si="80"/>
        <v>25846.824343563167</v>
      </c>
      <c r="P181" s="10">
        <f t="shared" ref="P181:T181" si="81">$C40/$C110*P110</f>
        <v>79904.275556862442</v>
      </c>
      <c r="Q181" s="10">
        <f t="shared" si="81"/>
        <v>108024.48375073401</v>
      </c>
      <c r="R181" s="10">
        <f t="shared" si="81"/>
        <v>115826.32378247422</v>
      </c>
      <c r="S181" s="10">
        <f t="shared" si="81"/>
        <v>170749.21089333409</v>
      </c>
      <c r="T181" s="10">
        <f t="shared" si="81"/>
        <v>204488.29394450202</v>
      </c>
      <c r="V181" s="696"/>
      <c r="W181" s="696"/>
      <c r="X181" s="696"/>
    </row>
    <row r="182" spans="2:24" ht="15" customHeight="1">
      <c r="B182" s="345" t="s">
        <v>344</v>
      </c>
      <c r="C182" s="10">
        <f t="shared" ref="C182:O182" si="82">$C41/$C111*C111</f>
        <v>5928.9169191140609</v>
      </c>
      <c r="D182" s="10">
        <f t="shared" si="82"/>
        <v>2942.4702192341015</v>
      </c>
      <c r="E182" s="10">
        <f t="shared" si="82"/>
        <v>907.49081527780697</v>
      </c>
      <c r="F182" s="10">
        <f t="shared" si="82"/>
        <v>7974.9192857746675</v>
      </c>
      <c r="G182" s="10">
        <f t="shared" si="82"/>
        <v>1264.9871970539127</v>
      </c>
      <c r="H182" s="10">
        <f t="shared" si="82"/>
        <v>1264.9871970539127</v>
      </c>
      <c r="I182" s="10">
        <f t="shared" si="82"/>
        <v>412.49582512627586</v>
      </c>
      <c r="J182" s="10">
        <f t="shared" si="82"/>
        <v>577.49415517678619</v>
      </c>
      <c r="K182" s="10">
        <f t="shared" si="82"/>
        <v>604.99387685187128</v>
      </c>
      <c r="L182" s="10">
        <f t="shared" si="82"/>
        <v>467.49526847644603</v>
      </c>
      <c r="M182" s="10">
        <f t="shared" si="82"/>
        <v>824.99165025255172</v>
      </c>
      <c r="N182" s="10">
        <f t="shared" si="82"/>
        <v>384.99610345119083</v>
      </c>
      <c r="O182" s="10">
        <f t="shared" si="82"/>
        <v>164.99833005051036</v>
      </c>
      <c r="P182" s="10">
        <f t="shared" ref="P182:T182" si="83">$C41/$C111*P111</f>
        <v>27.499721675085059</v>
      </c>
      <c r="Q182" s="10">
        <f t="shared" si="83"/>
        <v>109.99888670034024</v>
      </c>
      <c r="R182" s="812">
        <f t="shared" si="83"/>
        <v>-27.499721675085059</v>
      </c>
      <c r="S182" s="10">
        <f t="shared" si="83"/>
        <v>0</v>
      </c>
      <c r="T182" s="10">
        <f t="shared" si="83"/>
        <v>164.99833005051036</v>
      </c>
      <c r="V182" s="696"/>
      <c r="W182" s="696"/>
      <c r="X182" s="696"/>
    </row>
    <row r="183" spans="2:24" ht="15" customHeight="1">
      <c r="B183" s="345" t="s">
        <v>345</v>
      </c>
      <c r="C183" s="10">
        <f t="shared" ref="C183:O183" si="84">$C42/$C112*C112</f>
        <v>525.48101978452974</v>
      </c>
      <c r="D183" s="10">
        <f t="shared" si="84"/>
        <v>447.80696026100071</v>
      </c>
      <c r="E183" s="10">
        <f t="shared" si="84"/>
        <v>505.64504123404583</v>
      </c>
      <c r="F183" s="10">
        <f t="shared" si="84"/>
        <v>656.37458558804212</v>
      </c>
      <c r="G183" s="10">
        <f t="shared" si="84"/>
        <v>702.82031727851779</v>
      </c>
      <c r="H183" s="10">
        <f t="shared" si="84"/>
        <v>702.82031727851779</v>
      </c>
      <c r="I183" s="10">
        <f t="shared" si="84"/>
        <v>739.62636880681919</v>
      </c>
      <c r="J183" s="10">
        <f t="shared" si="84"/>
        <v>842.15751234994468</v>
      </c>
      <c r="K183" s="10">
        <f t="shared" si="84"/>
        <v>709.83099376009898</v>
      </c>
      <c r="L183" s="10">
        <f t="shared" si="84"/>
        <v>977.98936918058087</v>
      </c>
      <c r="M183" s="10">
        <f t="shared" si="84"/>
        <v>809.7331336226315</v>
      </c>
      <c r="N183" s="10">
        <f t="shared" si="84"/>
        <v>425.02226169586174</v>
      </c>
      <c r="O183" s="10">
        <f t="shared" si="84"/>
        <v>111.29448914510195</v>
      </c>
      <c r="P183" s="10">
        <f t="shared" ref="P183:T183" si="85">$C42/$C112*P112</f>
        <v>127.0685112286597</v>
      </c>
      <c r="Q183" s="10">
        <f t="shared" si="85"/>
        <v>110.41815458490429</v>
      </c>
      <c r="R183" s="10">
        <f t="shared" si="85"/>
        <v>87.633456019765305</v>
      </c>
      <c r="S183" s="10">
        <f t="shared" si="85"/>
        <v>104.28381266352072</v>
      </c>
      <c r="T183" s="10">
        <f t="shared" si="85"/>
        <v>98.14947074213714</v>
      </c>
      <c r="V183" s="696"/>
      <c r="W183" s="696"/>
      <c r="X183" s="696"/>
    </row>
    <row r="184" spans="2:24" ht="15" customHeight="1">
      <c r="B184" s="345" t="s">
        <v>346</v>
      </c>
      <c r="C184" s="10">
        <f t="shared" ref="C184:O184" si="86">$C43/$C113*C113</f>
        <v>692.17623320912151</v>
      </c>
      <c r="D184" s="10">
        <f t="shared" si="86"/>
        <v>705.68507330102148</v>
      </c>
      <c r="E184" s="10">
        <f t="shared" si="86"/>
        <v>875.72966927717118</v>
      </c>
      <c r="F184" s="10">
        <f t="shared" si="86"/>
        <v>1594.1680872764039</v>
      </c>
      <c r="G184" s="10">
        <f t="shared" si="86"/>
        <v>722.68953289863646</v>
      </c>
      <c r="H184" s="10">
        <f t="shared" si="86"/>
        <v>722.68953289863646</v>
      </c>
      <c r="I184" s="10">
        <f t="shared" si="86"/>
        <v>799.20960108790382</v>
      </c>
      <c r="J184" s="10">
        <f t="shared" si="86"/>
        <v>850.22297988074877</v>
      </c>
      <c r="K184" s="10">
        <f t="shared" si="86"/>
        <v>629.16500511175411</v>
      </c>
      <c r="L184" s="10">
        <f t="shared" si="86"/>
        <v>161.54236617734227</v>
      </c>
      <c r="M184" s="10">
        <f t="shared" si="86"/>
        <v>195.55128537257221</v>
      </c>
      <c r="N184" s="10">
        <f t="shared" si="86"/>
        <v>148.78902147913104</v>
      </c>
      <c r="O184" s="10">
        <f t="shared" si="86"/>
        <v>2980.0315444820244</v>
      </c>
      <c r="P184" s="10">
        <f t="shared" ref="P184:T184" si="87">$C43/$C113*P113</f>
        <v>4081.0703034275939</v>
      </c>
      <c r="Q184" s="10">
        <f t="shared" si="87"/>
        <v>4132.0836822204392</v>
      </c>
      <c r="R184" s="10">
        <f t="shared" si="87"/>
        <v>4535.9395976637943</v>
      </c>
      <c r="S184" s="10">
        <f t="shared" si="87"/>
        <v>1993.7728878203559</v>
      </c>
      <c r="T184" s="10">
        <f t="shared" si="87"/>
        <v>2665.4490419261474</v>
      </c>
      <c r="V184" s="696"/>
      <c r="W184" s="696"/>
      <c r="X184" s="696"/>
    </row>
    <row r="185" spans="2:24" ht="15" customHeight="1">
      <c r="B185" s="345" t="s">
        <v>347</v>
      </c>
      <c r="C185" s="10">
        <f t="shared" ref="C185:O185" si="88">$C44/$C114*C114</f>
        <v>5699.5365065654769</v>
      </c>
      <c r="D185" s="10">
        <f t="shared" si="88"/>
        <v>3528.7054801104441</v>
      </c>
      <c r="E185" s="10">
        <f t="shared" si="88"/>
        <v>3993.8070620161188</v>
      </c>
      <c r="F185" s="10">
        <f t="shared" si="88"/>
        <v>313.43802258860677</v>
      </c>
      <c r="G185" s="10">
        <f t="shared" si="88"/>
        <v>262.88350281625088</v>
      </c>
      <c r="H185" s="10">
        <f t="shared" si="88"/>
        <v>262.88350281625088</v>
      </c>
      <c r="I185" s="10">
        <f t="shared" si="88"/>
        <v>20717.242202711463</v>
      </c>
      <c r="J185" s="10">
        <f t="shared" si="88"/>
        <v>39958.292428070134</v>
      </c>
      <c r="K185" s="10">
        <f t="shared" si="88"/>
        <v>59502.669772062938</v>
      </c>
      <c r="L185" s="10">
        <f t="shared" si="88"/>
        <v>65366.994065656225</v>
      </c>
      <c r="M185" s="10">
        <f t="shared" si="88"/>
        <v>82130.872822169447</v>
      </c>
      <c r="N185" s="10">
        <f t="shared" si="88"/>
        <v>73951.151523002263</v>
      </c>
      <c r="O185" s="10">
        <f t="shared" si="88"/>
        <v>71261.651071112923</v>
      </c>
      <c r="P185" s="10">
        <f t="shared" ref="P185:T185" si="89">$C44/$C114*P114</f>
        <v>72687.28852869336</v>
      </c>
      <c r="Q185" s="10">
        <f t="shared" si="89"/>
        <v>62566.273670267707</v>
      </c>
      <c r="R185" s="10">
        <f t="shared" si="89"/>
        <v>68430.597963860986</v>
      </c>
      <c r="S185" s="10">
        <f t="shared" si="89"/>
        <v>69006.919489265856</v>
      </c>
      <c r="T185" s="10">
        <f t="shared" si="89"/>
        <v>61605.73779459294</v>
      </c>
      <c r="V185" s="696"/>
      <c r="W185" s="696"/>
      <c r="X185" s="696"/>
    </row>
    <row r="186" spans="2:24" ht="15" customHeight="1">
      <c r="B186" s="345" t="s">
        <v>348</v>
      </c>
      <c r="C186" s="10">
        <f t="shared" ref="C186:O186" si="90">$C45/$C115*C115</f>
        <v>4734.0217711855857</v>
      </c>
      <c r="D186" s="10">
        <f t="shared" si="90"/>
        <v>5857.0102385465416</v>
      </c>
      <c r="E186" s="10">
        <f t="shared" si="90"/>
        <v>9169.4581883672072</v>
      </c>
      <c r="F186" s="10">
        <f t="shared" si="90"/>
        <v>10645.003184196414</v>
      </c>
      <c r="G186" s="10">
        <f t="shared" si="90"/>
        <v>10193.305736493596</v>
      </c>
      <c r="H186" s="10">
        <f t="shared" si="90"/>
        <v>10193.305736493596</v>
      </c>
      <c r="I186" s="10">
        <f t="shared" si="90"/>
        <v>15568.505364157132</v>
      </c>
      <c r="J186" s="10">
        <f t="shared" si="90"/>
        <v>391.47112134244236</v>
      </c>
      <c r="K186" s="10">
        <f t="shared" si="90"/>
        <v>2785.4675941673786</v>
      </c>
      <c r="L186" s="10">
        <f t="shared" si="90"/>
        <v>2499.3925439555937</v>
      </c>
      <c r="M186" s="10">
        <f t="shared" si="90"/>
        <v>2032.6385146626817</v>
      </c>
      <c r="N186" s="10">
        <f t="shared" si="90"/>
        <v>1580.9410669598635</v>
      </c>
      <c r="O186" s="10">
        <f t="shared" si="90"/>
        <v>5510.7088619743809</v>
      </c>
      <c r="P186" s="10">
        <f t="shared" ref="P186:T186" si="91">$C45/$C115*P115</f>
        <v>36512.210355977797</v>
      </c>
      <c r="Q186" s="10">
        <f t="shared" si="91"/>
        <v>58344.253661614006</v>
      </c>
      <c r="R186" s="10">
        <f t="shared" si="91"/>
        <v>86740.966540531168</v>
      </c>
      <c r="S186" s="10">
        <f t="shared" si="91"/>
        <v>112683.45662026302</v>
      </c>
      <c r="T186" s="10">
        <f t="shared" si="91"/>
        <v>130224.37417272247</v>
      </c>
      <c r="V186" s="696"/>
      <c r="W186" s="696"/>
      <c r="X186" s="696"/>
    </row>
    <row r="187" spans="2:24" ht="15" customHeight="1">
      <c r="B187" s="345" t="s">
        <v>349</v>
      </c>
      <c r="C187" s="10">
        <f t="shared" ref="C187:O187" si="92">$C46/$C116*C116</f>
        <v>2181.0088385003992</v>
      </c>
      <c r="D187" s="10">
        <f t="shared" si="92"/>
        <v>1624.4514275333186</v>
      </c>
      <c r="E187" s="10">
        <f t="shared" si="92"/>
        <v>1341.9381357883935</v>
      </c>
      <c r="F187" s="10">
        <f t="shared" si="92"/>
        <v>34395.993269944614</v>
      </c>
      <c r="G187" s="10">
        <f t="shared" si="92"/>
        <v>53571.582947131399</v>
      </c>
      <c r="H187" s="10">
        <f t="shared" si="92"/>
        <v>53571.582947131399</v>
      </c>
      <c r="I187" s="10">
        <f t="shared" si="92"/>
        <v>3672.6727926840244</v>
      </c>
      <c r="J187" s="10">
        <f t="shared" si="92"/>
        <v>1165.3673284478155</v>
      </c>
      <c r="K187" s="10">
        <f t="shared" si="92"/>
        <v>1906.9647192782436</v>
      </c>
      <c r="L187" s="10">
        <f t="shared" si="92"/>
        <v>1341.9381357883935</v>
      </c>
      <c r="M187" s="10">
        <f t="shared" si="92"/>
        <v>1377.2522972565093</v>
      </c>
      <c r="N187" s="10">
        <f t="shared" si="92"/>
        <v>1165.3673284478155</v>
      </c>
      <c r="O187" s="10">
        <f t="shared" si="92"/>
        <v>35.314161468115621</v>
      </c>
      <c r="P187" s="10">
        <f t="shared" ref="P187:T187" si="93">$C46/$C116*P116</f>
        <v>0</v>
      </c>
      <c r="Q187" s="10">
        <f t="shared" si="93"/>
        <v>0</v>
      </c>
      <c r="R187" s="10">
        <f t="shared" si="93"/>
        <v>0</v>
      </c>
      <c r="S187" s="10">
        <f t="shared" si="93"/>
        <v>176.57080734057811</v>
      </c>
      <c r="T187" s="10">
        <f t="shared" si="93"/>
        <v>0</v>
      </c>
      <c r="V187" s="696"/>
      <c r="W187" s="696"/>
      <c r="X187" s="696"/>
    </row>
    <row r="188" spans="2:24" ht="15" customHeight="1">
      <c r="B188" s="345" t="s">
        <v>305</v>
      </c>
      <c r="C188" s="10">
        <f t="shared" ref="C188:O188" si="94">$C47/$C117*C117</f>
        <v>369648.78561815858</v>
      </c>
      <c r="D188" s="10">
        <f t="shared" si="94"/>
        <v>441469.63918303355</v>
      </c>
      <c r="E188" s="10">
        <f t="shared" si="94"/>
        <v>415047.51613965997</v>
      </c>
      <c r="F188" s="10">
        <f t="shared" si="94"/>
        <v>433090.40108826</v>
      </c>
      <c r="G188" s="10">
        <f t="shared" si="94"/>
        <v>476148.67567746138</v>
      </c>
      <c r="H188" s="10">
        <f t="shared" si="94"/>
        <v>476148.67567746138</v>
      </c>
      <c r="I188" s="10">
        <f t="shared" si="94"/>
        <v>525506.66941820784</v>
      </c>
      <c r="J188" s="10">
        <f t="shared" si="94"/>
        <v>622999.41046250763</v>
      </c>
      <c r="K188" s="10">
        <f t="shared" si="94"/>
        <v>722327.02116259711</v>
      </c>
      <c r="L188" s="10">
        <f t="shared" si="94"/>
        <v>819575.11291945819</v>
      </c>
      <c r="M188" s="10">
        <f t="shared" si="94"/>
        <v>867159.39932627452</v>
      </c>
      <c r="N188" s="10">
        <f t="shared" si="94"/>
        <v>1080799.3895820708</v>
      </c>
      <c r="O188" s="10">
        <f t="shared" si="94"/>
        <v>1315601.5432013094</v>
      </c>
      <c r="P188" s="10">
        <f t="shared" ref="P188:T188" si="95">$C47/$C117*P117</f>
        <v>1361412.1222741955</v>
      </c>
      <c r="Q188" s="10">
        <f t="shared" si="95"/>
        <v>1391075.8483761312</v>
      </c>
      <c r="R188" s="10">
        <f t="shared" si="95"/>
        <v>1491932.5171227122</v>
      </c>
      <c r="S188" s="10">
        <f t="shared" si="95"/>
        <v>1582146.9418657124</v>
      </c>
      <c r="T188" s="10">
        <f t="shared" si="95"/>
        <v>1657009.6238219375</v>
      </c>
      <c r="V188" s="696"/>
      <c r="W188" s="696"/>
      <c r="X188" s="696"/>
    </row>
    <row r="189" spans="2:24" ht="15" customHeight="1">
      <c r="B189" s="345" t="s">
        <v>306</v>
      </c>
      <c r="C189" s="10">
        <f t="shared" ref="C189:O189" si="96">$C48/$C118*C118</f>
        <v>93798.754603322246</v>
      </c>
      <c r="D189" s="10">
        <f t="shared" si="96"/>
        <v>92455.771833422739</v>
      </c>
      <c r="E189" s="10">
        <f t="shared" si="96"/>
        <v>136765.81020490843</v>
      </c>
      <c r="F189" s="10">
        <f t="shared" si="96"/>
        <v>119959.70108027187</v>
      </c>
      <c r="G189" s="10">
        <f t="shared" si="96"/>
        <v>108208.72768177929</v>
      </c>
      <c r="H189" s="10">
        <f t="shared" si="96"/>
        <v>108208.72768177929</v>
      </c>
      <c r="I189" s="10">
        <f t="shared" si="96"/>
        <v>116855.67037123609</v>
      </c>
      <c r="J189" s="10">
        <f t="shared" si="96"/>
        <v>125569.12800445795</v>
      </c>
      <c r="K189" s="10">
        <f t="shared" si="96"/>
        <v>123983.85517805754</v>
      </c>
      <c r="L189" s="10">
        <f t="shared" si="96"/>
        <v>148683.07096281362</v>
      </c>
      <c r="M189" s="10">
        <f t="shared" si="96"/>
        <v>182705.46469863789</v>
      </c>
      <c r="N189" s="10">
        <f t="shared" si="96"/>
        <v>211451.00622910133</v>
      </c>
      <c r="O189" s="10">
        <f t="shared" si="96"/>
        <v>237491.60671311934</v>
      </c>
      <c r="P189" s="10">
        <f t="shared" ref="P189:T189" si="97">$C48/$C118*P118</f>
        <v>247690.56475709402</v>
      </c>
      <c r="Q189" s="10">
        <f t="shared" si="97"/>
        <v>251770.1479746839</v>
      </c>
      <c r="R189" s="10">
        <f t="shared" si="97"/>
        <v>275338.60971543408</v>
      </c>
      <c r="S189" s="10">
        <f t="shared" si="97"/>
        <v>298729.69827281084</v>
      </c>
      <c r="T189" s="10">
        <f t="shared" si="97"/>
        <v>317475.82659059478</v>
      </c>
      <c r="V189" s="696"/>
      <c r="W189" s="696"/>
      <c r="X189" s="696"/>
    </row>
    <row r="190" spans="2:24" ht="15" customHeight="1">
      <c r="B190" s="345" t="s">
        <v>399</v>
      </c>
      <c r="C190" s="23">
        <f>IF(ISNUMBER(($C49/$C119)*C119)=TRUE,($C49/$C119)*C119,0)</f>
        <v>0</v>
      </c>
      <c r="D190" s="23">
        <f>IF(ISNUMBER(($C49/$C119)*D119)=TRUE,($C49/$C119)*D119,0)</f>
        <v>0</v>
      </c>
      <c r="E190" s="23">
        <f>IF(ISNUMBER(($C49/$C119)*E119)=TRUE,($C49/$C119)*E119,0)</f>
        <v>0</v>
      </c>
      <c r="F190" s="23">
        <f>IF(ISNUMBER(($C49/$C119)*F119)=TRUE,($C49/$C119)*F119,0)</f>
        <v>0</v>
      </c>
      <c r="G190" s="23">
        <f>IF(ISNUMBER(($C49/$C119)*G119)=TRUE,($C49/$C119)*G119,0)</f>
        <v>0</v>
      </c>
      <c r="H190" s="23">
        <f t="shared" ref="H190:O190" si="98">$H49/$H119*H119</f>
        <v>961509.61612300004</v>
      </c>
      <c r="I190" s="23">
        <f t="shared" si="98"/>
        <v>1170912.7334081323</v>
      </c>
      <c r="J190" s="23">
        <f t="shared" si="98"/>
        <v>1384176.8292290927</v>
      </c>
      <c r="K190" s="23">
        <f t="shared" si="98"/>
        <v>1624290.9664632494</v>
      </c>
      <c r="L190" s="23">
        <f t="shared" si="98"/>
        <v>3588635.5394092137</v>
      </c>
      <c r="M190" s="23">
        <f t="shared" si="98"/>
        <v>3835213.8667875081</v>
      </c>
      <c r="N190" s="23">
        <f t="shared" si="98"/>
        <v>4247334.1954049114</v>
      </c>
      <c r="O190" s="23">
        <f t="shared" si="98"/>
        <v>4481443.236251127</v>
      </c>
      <c r="P190" s="23">
        <f t="shared" ref="P190:T190" si="99">$H49/$H119*P119</f>
        <v>4759580.3447502637</v>
      </c>
      <c r="Q190" s="23">
        <f t="shared" si="99"/>
        <v>4930895.6684127497</v>
      </c>
      <c r="R190" s="23">
        <f t="shared" si="99"/>
        <v>4901319.9853793038</v>
      </c>
      <c r="S190" s="23">
        <f t="shared" si="99"/>
        <v>5386583.0914319223</v>
      </c>
      <c r="T190" s="23">
        <f t="shared" si="99"/>
        <v>5652281.4235087307</v>
      </c>
      <c r="V190" s="696"/>
      <c r="W190" s="696"/>
      <c r="X190" s="696"/>
    </row>
    <row r="191" spans="2:24" ht="15" customHeight="1">
      <c r="B191" s="345" t="s">
        <v>58</v>
      </c>
      <c r="C191" s="10">
        <f t="shared" ref="C191:O191" si="100">$C50/$C120*C120</f>
        <v>599694.25036325899</v>
      </c>
      <c r="D191" s="10">
        <f t="shared" si="100"/>
        <v>717494.38730483316</v>
      </c>
      <c r="E191" s="10">
        <f t="shared" si="100"/>
        <v>841549.61759202462</v>
      </c>
      <c r="F191" s="10">
        <f t="shared" si="100"/>
        <v>900387.17588285205</v>
      </c>
      <c r="G191" s="10">
        <f t="shared" si="100"/>
        <v>929379.25909221417</v>
      </c>
      <c r="H191" s="10">
        <f t="shared" si="100"/>
        <v>929379.25909221417</v>
      </c>
      <c r="I191" s="10">
        <f t="shared" si="100"/>
        <v>1033666.3710997208</v>
      </c>
      <c r="J191" s="10">
        <f t="shared" si="100"/>
        <v>1182943.9770468369</v>
      </c>
      <c r="K191" s="10">
        <f t="shared" si="100"/>
        <v>1255074.7569854651</v>
      </c>
      <c r="L191" s="10">
        <f t="shared" si="100"/>
        <v>1219708.0199746068</v>
      </c>
      <c r="M191" s="10">
        <f t="shared" si="100"/>
        <v>1426616.9349404371</v>
      </c>
      <c r="N191" s="10">
        <f t="shared" si="100"/>
        <v>1504547.3150740257</v>
      </c>
      <c r="O191" s="10">
        <f t="shared" si="100"/>
        <v>1541470.2474555506</v>
      </c>
      <c r="P191" s="10">
        <f t="shared" ref="P191:T191" si="101">$C50/$C120*P120</f>
        <v>1556389.8858629994</v>
      </c>
      <c r="Q191" s="10">
        <f t="shared" si="101"/>
        <v>1587298.0249756756</v>
      </c>
      <c r="R191" s="10">
        <f t="shared" si="101"/>
        <v>1578269.3384846984</v>
      </c>
      <c r="S191" s="10">
        <f t="shared" si="101"/>
        <v>1510769.7846794238</v>
      </c>
      <c r="T191" s="10">
        <f t="shared" si="101"/>
        <v>1489125.332111896</v>
      </c>
      <c r="V191" s="696"/>
      <c r="W191" s="696"/>
      <c r="X191" s="696"/>
    </row>
    <row r="192" spans="2:24" ht="15" customHeight="1">
      <c r="B192" s="345" t="s">
        <v>56</v>
      </c>
      <c r="C192" s="10">
        <f t="shared" ref="C192:O192" si="102">$C51/$C121*C121</f>
        <v>593307.80983565713</v>
      </c>
      <c r="D192" s="10">
        <f t="shared" si="102"/>
        <v>579132.95277729991</v>
      </c>
      <c r="E192" s="10">
        <f t="shared" si="102"/>
        <v>588467.55781934247</v>
      </c>
      <c r="F192" s="10">
        <f t="shared" si="102"/>
        <v>613714.2405681872</v>
      </c>
      <c r="G192" s="10">
        <f t="shared" si="102"/>
        <v>628590.14107437653</v>
      </c>
      <c r="H192" s="10">
        <f t="shared" si="102"/>
        <v>628590.14107437653</v>
      </c>
      <c r="I192" s="10">
        <f t="shared" si="102"/>
        <v>666261.93999404821</v>
      </c>
      <c r="J192" s="10">
        <f t="shared" si="102"/>
        <v>796297.6735526945</v>
      </c>
      <c r="K192" s="10">
        <f t="shared" si="102"/>
        <v>844682.64370304998</v>
      </c>
      <c r="L192" s="10">
        <f t="shared" si="102"/>
        <v>901780.51257508039</v>
      </c>
      <c r="M192" s="10">
        <f t="shared" si="102"/>
        <v>1027230.0357414491</v>
      </c>
      <c r="N192" s="10">
        <f t="shared" si="102"/>
        <v>1168510.5444858763</v>
      </c>
      <c r="O192" s="10">
        <f t="shared" si="102"/>
        <v>1284958.841361704</v>
      </c>
      <c r="P192" s="10">
        <f t="shared" ref="P192:T192" si="103">$C51/$C121*P121</f>
        <v>1328847.7034850526</v>
      </c>
      <c r="Q192" s="10">
        <f t="shared" si="103"/>
        <v>1350571.3837518138</v>
      </c>
      <c r="R192" s="10">
        <f t="shared" si="103"/>
        <v>1447809.8563519323</v>
      </c>
      <c r="S192" s="10">
        <f t="shared" si="103"/>
        <v>1545390.7179400795</v>
      </c>
      <c r="T192" s="10">
        <f t="shared" si="103"/>
        <v>1626491.856920219</v>
      </c>
      <c r="V192" s="696"/>
      <c r="W192" s="696"/>
      <c r="X192" s="696"/>
    </row>
    <row r="193" spans="2:25" ht="15" customHeight="1">
      <c r="B193" s="345" t="s">
        <v>63</v>
      </c>
      <c r="C193" s="10">
        <f t="shared" ref="C193:O193" si="104">$C52/$C122*C122</f>
        <v>336394.5325651429</v>
      </c>
      <c r="D193" s="10">
        <f t="shared" si="104"/>
        <v>327831.18630290095</v>
      </c>
      <c r="E193" s="10">
        <f t="shared" si="104"/>
        <v>336036.08885420667</v>
      </c>
      <c r="F193" s="10">
        <f t="shared" si="104"/>
        <v>354926.18069053465</v>
      </c>
      <c r="G193" s="10">
        <f t="shared" si="104"/>
        <v>364368.37570440694</v>
      </c>
      <c r="H193" s="10">
        <f t="shared" si="104"/>
        <v>364368.37570440694</v>
      </c>
      <c r="I193" s="10">
        <f t="shared" si="104"/>
        <v>383150.13317765301</v>
      </c>
      <c r="J193" s="10">
        <f t="shared" si="104"/>
        <v>453077.11364270758</v>
      </c>
      <c r="K193" s="10">
        <f t="shared" si="104"/>
        <v>485166.89234927372</v>
      </c>
      <c r="L193" s="10">
        <f t="shared" si="104"/>
        <v>522741.81091293239</v>
      </c>
      <c r="M193" s="10">
        <f t="shared" si="104"/>
        <v>596568.82844893425</v>
      </c>
      <c r="N193" s="10">
        <f t="shared" si="104"/>
        <v>681953.41198319639</v>
      </c>
      <c r="O193" s="10">
        <f t="shared" si="104"/>
        <v>749793.53050677921</v>
      </c>
      <c r="P193" s="10">
        <f t="shared" ref="P193:T193" si="105">$C52/$C122*P122</f>
        <v>790857.95592339069</v>
      </c>
      <c r="Q193" s="10">
        <f t="shared" si="105"/>
        <v>803960.71204771358</v>
      </c>
      <c r="R193" s="10">
        <f t="shared" si="105"/>
        <v>870780.20683489344</v>
      </c>
      <c r="S193" s="10">
        <f t="shared" si="105"/>
        <v>931510.17005515564</v>
      </c>
      <c r="T193" s="10">
        <f t="shared" si="105"/>
        <v>974547.42124157376</v>
      </c>
      <c r="V193" s="696"/>
      <c r="W193" s="696"/>
      <c r="X193" s="696"/>
    </row>
    <row r="194" spans="2:25" ht="15" customHeight="1">
      <c r="B194" s="345" t="s">
        <v>57</v>
      </c>
      <c r="C194" s="10">
        <f t="shared" ref="C194:O194" si="106">$C53/$C123*C123</f>
        <v>2814551.3015720411</v>
      </c>
      <c r="D194" s="10">
        <f t="shared" si="106"/>
        <v>2810772.9928045208</v>
      </c>
      <c r="E194" s="10">
        <f t="shared" si="106"/>
        <v>2909597.6256727562</v>
      </c>
      <c r="F194" s="10">
        <f t="shared" si="106"/>
        <v>3121167.3479403006</v>
      </c>
      <c r="G194" s="10">
        <f t="shared" si="106"/>
        <v>3502303.1861443189</v>
      </c>
      <c r="H194" s="10">
        <f t="shared" si="106"/>
        <v>3502303.1861443189</v>
      </c>
      <c r="I194" s="10">
        <f t="shared" si="106"/>
        <v>3627997.1224068017</v>
      </c>
      <c r="J194" s="10">
        <f t="shared" si="106"/>
        <v>4301730.6267801076</v>
      </c>
      <c r="K194" s="10">
        <f t="shared" si="106"/>
        <v>4678997.5847044867</v>
      </c>
      <c r="L194" s="10">
        <f t="shared" si="106"/>
        <v>4870134.2395252846</v>
      </c>
      <c r="M194" s="10">
        <f t="shared" si="106"/>
        <v>5459934.436192059</v>
      </c>
      <c r="N194" s="10">
        <f t="shared" si="106"/>
        <v>6162924.5276827551</v>
      </c>
      <c r="O194" s="10">
        <f t="shared" si="106"/>
        <v>6613589.1540827621</v>
      </c>
      <c r="P194" s="10">
        <f t="shared" ref="P194:T194" si="107">$C53/$C123*P123</f>
        <v>6917281.7997589037</v>
      </c>
      <c r="Q194" s="10">
        <f t="shared" si="107"/>
        <v>7105834.6656249892</v>
      </c>
      <c r="R194" s="10">
        <f t="shared" si="107"/>
        <v>7523156.4425659962</v>
      </c>
      <c r="S194" s="10">
        <f t="shared" si="107"/>
        <v>8351433.41361148</v>
      </c>
      <c r="T194" s="10">
        <f t="shared" si="107"/>
        <v>8676940.2895509172</v>
      </c>
      <c r="V194" s="696"/>
      <c r="W194" s="696"/>
      <c r="X194" s="696"/>
      <c r="Y194" s="696"/>
    </row>
    <row r="195" spans="2:25" ht="15" customHeight="1">
      <c r="B195" s="345" t="s">
        <v>53</v>
      </c>
      <c r="C195" s="10">
        <f t="shared" ref="C195:O195" si="108">$C54/$C124*C124</f>
        <v>322461.67719862855</v>
      </c>
      <c r="D195" s="10">
        <f t="shared" si="108"/>
        <v>398907.82299190591</v>
      </c>
      <c r="E195" s="10">
        <f t="shared" si="108"/>
        <v>422526.69230288337</v>
      </c>
      <c r="F195" s="10">
        <f t="shared" si="108"/>
        <v>439634.20832174201</v>
      </c>
      <c r="G195" s="10">
        <f t="shared" si="108"/>
        <v>489142.92194216169</v>
      </c>
      <c r="H195" s="10">
        <f t="shared" si="108"/>
        <v>489142.92194216169</v>
      </c>
      <c r="I195" s="10">
        <f t="shared" si="108"/>
        <v>555925.51146108739</v>
      </c>
      <c r="J195" s="10">
        <f t="shared" si="108"/>
        <v>688366.2001827535</v>
      </c>
      <c r="K195" s="10">
        <f t="shared" si="108"/>
        <v>730515.11096581933</v>
      </c>
      <c r="L195" s="10">
        <f t="shared" si="108"/>
        <v>801638.18518921419</v>
      </c>
      <c r="M195" s="10">
        <f t="shared" si="108"/>
        <v>880335.23301150417</v>
      </c>
      <c r="N195" s="10">
        <f t="shared" si="108"/>
        <v>887796.33538283349</v>
      </c>
      <c r="O195" s="10">
        <f t="shared" si="108"/>
        <v>969878.94586138753</v>
      </c>
      <c r="P195" s="10">
        <f t="shared" ref="P195:T195" si="109">$C54/$C124*P124</f>
        <v>1036422.6039745779</v>
      </c>
      <c r="Q195" s="10">
        <f t="shared" si="109"/>
        <v>1087681.7095923435</v>
      </c>
      <c r="R195" s="10">
        <f t="shared" si="109"/>
        <v>1191334.6065212905</v>
      </c>
      <c r="S195" s="10">
        <f t="shared" si="109"/>
        <v>1053417.0855706716</v>
      </c>
      <c r="T195" s="10">
        <f t="shared" si="109"/>
        <v>1054113.2345339109</v>
      </c>
      <c r="V195" s="696"/>
      <c r="W195" s="696"/>
      <c r="X195" s="696"/>
    </row>
    <row r="196" spans="2:25" ht="15" customHeight="1">
      <c r="B196" s="345" t="s">
        <v>240</v>
      </c>
      <c r="C196" s="10">
        <f t="shared" ref="C196:O196" si="110">$C55/$C125*C125</f>
        <v>119543.50602012797</v>
      </c>
      <c r="D196" s="10">
        <f t="shared" si="110"/>
        <v>120561.26339527973</v>
      </c>
      <c r="E196" s="10">
        <f t="shared" si="110"/>
        <v>123978.88931675702</v>
      </c>
      <c r="F196" s="10">
        <f t="shared" si="110"/>
        <v>137602.11176944288</v>
      </c>
      <c r="G196" s="10">
        <f t="shared" si="110"/>
        <v>151751.13613159614</v>
      </c>
      <c r="H196" s="10">
        <f t="shared" si="110"/>
        <v>151751.13613159614</v>
      </c>
      <c r="I196" s="10">
        <f t="shared" si="110"/>
        <v>161800.81991324885</v>
      </c>
      <c r="J196" s="10">
        <f t="shared" si="110"/>
        <v>202164.34743565504</v>
      </c>
      <c r="K196" s="10">
        <f t="shared" si="110"/>
        <v>221896.99714127733</v>
      </c>
      <c r="L196" s="10">
        <f t="shared" si="110"/>
        <v>231959.94273224878</v>
      </c>
      <c r="M196" s="10">
        <f t="shared" si="110"/>
        <v>270341.69466211257</v>
      </c>
      <c r="N196" s="10">
        <f t="shared" si="110"/>
        <v>308715.66145932797</v>
      </c>
      <c r="O196" s="10">
        <f t="shared" si="110"/>
        <v>349542.20027840819</v>
      </c>
      <c r="P196" s="10">
        <f t="shared" ref="P196:T196" si="111">$C55/$C125*P125</f>
        <v>395848.37171441654</v>
      </c>
      <c r="Q196" s="10">
        <f t="shared" si="111"/>
        <v>414928.94589579216</v>
      </c>
      <c r="R196" s="10">
        <f t="shared" si="111"/>
        <v>455072.41205677617</v>
      </c>
      <c r="S196" s="10">
        <f t="shared" si="111"/>
        <v>497551.91121466865</v>
      </c>
      <c r="T196" s="10">
        <f t="shared" si="111"/>
        <v>539729.75626093987</v>
      </c>
      <c r="V196" s="696"/>
      <c r="W196" s="696"/>
      <c r="X196" s="696"/>
    </row>
    <row r="197" spans="2:25" ht="15" customHeight="1">
      <c r="B197" s="345" t="s">
        <v>241</v>
      </c>
      <c r="C197" s="10">
        <f t="shared" ref="C197:O197" si="112">$C56/$C126*C126</f>
        <v>286800.44542485825</v>
      </c>
      <c r="D197" s="10">
        <f t="shared" si="112"/>
        <v>269041.63263939699</v>
      </c>
      <c r="E197" s="10">
        <f t="shared" si="112"/>
        <v>239391.91023140322</v>
      </c>
      <c r="F197" s="10">
        <f t="shared" si="112"/>
        <v>213153.52310129482</v>
      </c>
      <c r="G197" s="10">
        <f t="shared" si="112"/>
        <v>229671.54489920379</v>
      </c>
      <c r="H197" s="10">
        <f t="shared" si="112"/>
        <v>229671.54489920379</v>
      </c>
      <c r="I197" s="10">
        <f t="shared" si="112"/>
        <v>254294.27078537323</v>
      </c>
      <c r="J197" s="10">
        <f t="shared" si="112"/>
        <v>262078.22556055363</v>
      </c>
      <c r="K197" s="10">
        <f t="shared" si="112"/>
        <v>276287.38076529157</v>
      </c>
      <c r="L197" s="10">
        <f t="shared" si="112"/>
        <v>261364.9497512081</v>
      </c>
      <c r="M197" s="10">
        <f t="shared" si="112"/>
        <v>220854.6385227126</v>
      </c>
      <c r="N197" s="10">
        <f t="shared" si="112"/>
        <v>214334.42827379447</v>
      </c>
      <c r="O197" s="10">
        <f t="shared" si="112"/>
        <v>223136.4186638557</v>
      </c>
      <c r="P197" s="10">
        <f t="shared" ref="P197:T197" si="113">$C56/$C126*P126</f>
        <v>247861.00984164976</v>
      </c>
      <c r="Q197" s="10">
        <f t="shared" si="113"/>
        <v>250659.84691974908</v>
      </c>
      <c r="R197" s="10">
        <f t="shared" si="113"/>
        <v>246284.42791832579</v>
      </c>
      <c r="S197" s="10">
        <f t="shared" si="113"/>
        <v>261615.49739986929</v>
      </c>
      <c r="T197" s="10">
        <f t="shared" si="113"/>
        <v>244973.04601899008</v>
      </c>
      <c r="V197" s="696"/>
      <c r="W197" s="696"/>
      <c r="X197" s="696"/>
    </row>
    <row r="198" spans="2:25" ht="15" customHeight="1">
      <c r="B198" s="345" t="s">
        <v>242</v>
      </c>
      <c r="C198" s="10">
        <f t="shared" ref="C198:O198" si="114">$C57/$C127*C127</f>
        <v>63847.091710628563</v>
      </c>
      <c r="D198" s="10">
        <f t="shared" si="114"/>
        <v>63778.674159992326</v>
      </c>
      <c r="E198" s="10">
        <f t="shared" si="114"/>
        <v>69310.450006371102</v>
      </c>
      <c r="F198" s="10">
        <f t="shared" si="114"/>
        <v>64566.393999290682</v>
      </c>
      <c r="G198" s="10">
        <f t="shared" si="114"/>
        <v>35658.712562292778</v>
      </c>
      <c r="H198" s="10">
        <f t="shared" si="114"/>
        <v>35658.712562292778</v>
      </c>
      <c r="I198" s="10">
        <f t="shared" si="114"/>
        <v>27708.314042730752</v>
      </c>
      <c r="J198" s="10">
        <f t="shared" si="114"/>
        <v>25996.558131953541</v>
      </c>
      <c r="K198" s="10">
        <f t="shared" si="114"/>
        <v>30892.034728618561</v>
      </c>
      <c r="L198" s="10">
        <f t="shared" si="114"/>
        <v>26898.002023596844</v>
      </c>
      <c r="M198" s="10">
        <f t="shared" si="114"/>
        <v>28725.273125263939</v>
      </c>
      <c r="N198" s="10">
        <f t="shared" si="114"/>
        <v>29229.958556511559</v>
      </c>
      <c r="O198" s="10">
        <f t="shared" si="114"/>
        <v>20093.960177586647</v>
      </c>
      <c r="P198" s="10">
        <f t="shared" ref="P198:T198" si="115">$C57/$C127*P127</f>
        <v>7075.4848276987404</v>
      </c>
      <c r="Q198" s="10">
        <f t="shared" si="115"/>
        <v>6968.7031339222513</v>
      </c>
      <c r="R198" s="10">
        <f t="shared" si="115"/>
        <v>6968.7031339222513</v>
      </c>
      <c r="S198" s="10">
        <f t="shared" si="115"/>
        <v>6968.7031339222513</v>
      </c>
      <c r="T198" s="10">
        <f t="shared" si="115"/>
        <v>4253.2060337406765</v>
      </c>
      <c r="V198" s="696"/>
      <c r="W198" s="696"/>
      <c r="X198" s="696"/>
    </row>
    <row r="199" spans="2:25" ht="15" customHeight="1">
      <c r="B199" s="345" t="s">
        <v>243</v>
      </c>
      <c r="C199" s="10">
        <f t="shared" ref="C199:O199" si="116">$C58/$C128*C128</f>
        <v>51722.933662774842</v>
      </c>
      <c r="D199" s="10">
        <f t="shared" si="116"/>
        <v>57780.316438249713</v>
      </c>
      <c r="E199" s="10">
        <f t="shared" si="116"/>
        <v>57130.443365529187</v>
      </c>
      <c r="F199" s="10">
        <f t="shared" si="116"/>
        <v>49283.733725766877</v>
      </c>
      <c r="G199" s="10">
        <f t="shared" si="116"/>
        <v>35011.911792818421</v>
      </c>
      <c r="H199" s="10">
        <f t="shared" si="116"/>
        <v>35011.911792818421</v>
      </c>
      <c r="I199" s="10">
        <f t="shared" si="116"/>
        <v>31523.514989655763</v>
      </c>
      <c r="J199" s="10">
        <f t="shared" si="116"/>
        <v>36881.784476970461</v>
      </c>
      <c r="K199" s="10">
        <f t="shared" si="116"/>
        <v>61025.947570250901</v>
      </c>
      <c r="L199" s="10">
        <f t="shared" si="116"/>
        <v>63829.626934301756</v>
      </c>
      <c r="M199" s="10">
        <f t="shared" si="116"/>
        <v>59043.428527782846</v>
      </c>
      <c r="N199" s="10">
        <f t="shared" si="116"/>
        <v>59170.229933964052</v>
      </c>
      <c r="O199" s="10">
        <f t="shared" si="116"/>
        <v>29920.920376626877</v>
      </c>
      <c r="P199" s="10">
        <f t="shared" ref="P199:T199" si="117">$C58/$C128*P128</f>
        <v>26953.937555954759</v>
      </c>
      <c r="Q199" s="10">
        <f t="shared" si="117"/>
        <v>27392.454643173067</v>
      </c>
      <c r="R199" s="10">
        <f t="shared" si="117"/>
        <v>26922.464406128238</v>
      </c>
      <c r="S199" s="10">
        <f t="shared" si="117"/>
        <v>27998.872531288791</v>
      </c>
      <c r="T199" s="10">
        <f t="shared" si="117"/>
        <v>30918.876636789944</v>
      </c>
      <c r="V199" s="696"/>
      <c r="W199" s="696"/>
      <c r="X199" s="696"/>
    </row>
    <row r="200" spans="2:25" ht="15" customHeight="1">
      <c r="B200" s="345" t="s">
        <v>244</v>
      </c>
      <c r="C200" s="10">
        <f t="shared" ref="C200:O200" si="118">$C59/$C129*C129</f>
        <v>50000.817622705108</v>
      </c>
      <c r="D200" s="10">
        <f t="shared" si="118"/>
        <v>50658.33218647699</v>
      </c>
      <c r="E200" s="10">
        <f t="shared" si="118"/>
        <v>39882.787959166671</v>
      </c>
      <c r="F200" s="10">
        <f t="shared" si="118"/>
        <v>38738.661926453206</v>
      </c>
      <c r="G200" s="10">
        <f t="shared" si="118"/>
        <v>39007.986649158105</v>
      </c>
      <c r="H200" s="10">
        <f t="shared" si="118"/>
        <v>39007.986649158105</v>
      </c>
      <c r="I200" s="10">
        <f t="shared" si="118"/>
        <v>36935.331922479454</v>
      </c>
      <c r="J200" s="10">
        <f t="shared" si="118"/>
        <v>33757.997448210583</v>
      </c>
      <c r="K200" s="10">
        <f t="shared" si="118"/>
        <v>23597.151145223066</v>
      </c>
      <c r="L200" s="10">
        <f t="shared" si="118"/>
        <v>15853.525520919737</v>
      </c>
      <c r="M200" s="10">
        <f t="shared" si="118"/>
        <v>15898.190707601952</v>
      </c>
      <c r="N200" s="10">
        <f t="shared" si="118"/>
        <v>15683.575719438877</v>
      </c>
      <c r="O200" s="10">
        <f t="shared" si="118"/>
        <v>4000.7915586886252</v>
      </c>
      <c r="P200" s="10">
        <f t="shared" ref="P200:T200" si="119">$C59/$C129*P129</f>
        <v>1619.7916319448416</v>
      </c>
      <c r="Q200" s="10">
        <f t="shared" si="119"/>
        <v>1619.7916319448416</v>
      </c>
      <c r="R200" s="10">
        <f t="shared" si="119"/>
        <v>1619.7916319448416</v>
      </c>
      <c r="S200" s="10">
        <f t="shared" si="119"/>
        <v>1619.7916319448416</v>
      </c>
      <c r="T200" s="10">
        <f t="shared" si="119"/>
        <v>1242.136373942345</v>
      </c>
      <c r="V200" s="696"/>
      <c r="W200" s="696"/>
      <c r="X200" s="696"/>
    </row>
    <row r="201" spans="2:25" ht="15" customHeight="1">
      <c r="B201" s="344" t="s">
        <v>27</v>
      </c>
      <c r="C201" s="10">
        <f t="shared" ref="C201:O201" si="120">$C60/$C130*C130</f>
        <v>260896.12459428565</v>
      </c>
      <c r="D201" s="10">
        <f t="shared" si="120"/>
        <v>260858.59164845821</v>
      </c>
      <c r="E201" s="10">
        <f t="shared" si="120"/>
        <v>258930.13713655889</v>
      </c>
      <c r="F201" s="10">
        <f t="shared" si="120"/>
        <v>241614.602262876</v>
      </c>
      <c r="G201" s="10">
        <f t="shared" si="120"/>
        <v>143444.45354572934</v>
      </c>
      <c r="H201" s="10">
        <f t="shared" si="120"/>
        <v>143444.45354572934</v>
      </c>
      <c r="I201" s="10">
        <f t="shared" si="120"/>
        <v>117683.33413029663</v>
      </c>
      <c r="J201" s="10">
        <f t="shared" si="120"/>
        <v>106330.33844853443</v>
      </c>
      <c r="K201" s="10">
        <f t="shared" si="120"/>
        <v>39971.646799461712</v>
      </c>
      <c r="L201" s="10">
        <f t="shared" si="120"/>
        <v>27041.907093460024</v>
      </c>
      <c r="M201" s="10">
        <f t="shared" si="120"/>
        <v>20994.398350165295</v>
      </c>
      <c r="N201" s="10">
        <f t="shared" si="120"/>
        <v>22370.511985692712</v>
      </c>
      <c r="O201" s="10">
        <f t="shared" si="120"/>
        <v>15600.894890439702</v>
      </c>
      <c r="P201" s="10">
        <f t="shared" ref="P201:T201" si="121">$C60/$C130*P130</f>
        <v>9890.7322642420659</v>
      </c>
      <c r="Q201" s="10">
        <f t="shared" si="121"/>
        <v>9890.7322642420659</v>
      </c>
      <c r="R201" s="10">
        <f t="shared" si="121"/>
        <v>11826.827711421683</v>
      </c>
      <c r="S201" s="10">
        <f t="shared" si="121"/>
        <v>9513.0960831761531</v>
      </c>
      <c r="T201" s="10">
        <f t="shared" si="121"/>
        <v>7785.2666701106391</v>
      </c>
      <c r="V201" s="696"/>
      <c r="W201" s="696"/>
      <c r="X201" s="696"/>
    </row>
    <row r="202" spans="2:25" ht="15" customHeight="1">
      <c r="B202" s="344" t="s">
        <v>245</v>
      </c>
      <c r="C202" s="10">
        <f t="shared" ref="C202:O202" si="122">$C61/$C131*C131</f>
        <v>31542.733325661953</v>
      </c>
      <c r="D202" s="10">
        <f t="shared" si="122"/>
        <v>31973.296147175748</v>
      </c>
      <c r="E202" s="10">
        <f t="shared" si="122"/>
        <v>33147.456218273561</v>
      </c>
      <c r="F202" s="10">
        <f t="shared" si="122"/>
        <v>37006.70285053234</v>
      </c>
      <c r="G202" s="10">
        <f t="shared" si="122"/>
        <v>41095.702558446756</v>
      </c>
      <c r="H202" s="10">
        <f t="shared" si="122"/>
        <v>41095.702558446756</v>
      </c>
      <c r="I202" s="10">
        <f t="shared" si="122"/>
        <v>43539.749045955214</v>
      </c>
      <c r="J202" s="10">
        <f t="shared" si="122"/>
        <v>53775.598295755597</v>
      </c>
      <c r="K202" s="10">
        <f t="shared" si="122"/>
        <v>59046.578931968412</v>
      </c>
      <c r="L202" s="10">
        <f t="shared" si="122"/>
        <v>62173.813344256261</v>
      </c>
      <c r="M202" s="10">
        <f t="shared" si="122"/>
        <v>72613.395285217441</v>
      </c>
      <c r="N202" s="10">
        <f t="shared" si="122"/>
        <v>82248.221659879477</v>
      </c>
      <c r="O202" s="10">
        <f t="shared" si="122"/>
        <v>93184.458980228737</v>
      </c>
      <c r="P202" s="10">
        <f t="shared" ref="P202:T202" si="123">$C61/$C131*P131</f>
        <v>105252.01447558256</v>
      </c>
      <c r="Q202" s="10">
        <f t="shared" si="123"/>
        <v>110369.1800385627</v>
      </c>
      <c r="R202" s="10">
        <f t="shared" si="123"/>
        <v>121011.0977116095</v>
      </c>
      <c r="S202" s="10">
        <f t="shared" si="123"/>
        <v>132298.23114742604</v>
      </c>
      <c r="T202" s="10">
        <f t="shared" si="123"/>
        <v>144085.09252264409</v>
      </c>
      <c r="V202" s="696"/>
      <c r="W202" s="696"/>
      <c r="X202" s="696"/>
    </row>
    <row r="203" spans="2:25" ht="15" customHeight="1">
      <c r="B203" s="344" t="s">
        <v>247</v>
      </c>
      <c r="C203" s="10">
        <f t="shared" ref="C203:O203" si="124">$C62/$C132*C132</f>
        <v>1287920.9889484257</v>
      </c>
      <c r="D203" s="10">
        <f t="shared" si="124"/>
        <v>1305501.2946614164</v>
      </c>
      <c r="E203" s="10">
        <f t="shared" si="124"/>
        <v>1353443.411292183</v>
      </c>
      <c r="F203" s="10">
        <f t="shared" si="124"/>
        <v>1511020.2670420578</v>
      </c>
      <c r="G203" s="10">
        <f t="shared" si="124"/>
        <v>1677978.1680348197</v>
      </c>
      <c r="H203" s="10">
        <f t="shared" si="124"/>
        <v>1677978.1680348197</v>
      </c>
      <c r="I203" s="10">
        <f t="shared" si="124"/>
        <v>1777771.0026230302</v>
      </c>
      <c r="J203" s="10">
        <f t="shared" si="124"/>
        <v>2195710.8479884528</v>
      </c>
      <c r="K203" s="10">
        <f t="shared" si="124"/>
        <v>2410930.1989442008</v>
      </c>
      <c r="L203" s="10">
        <f t="shared" si="124"/>
        <v>2538618.2719898741</v>
      </c>
      <c r="M203" s="10">
        <f t="shared" si="124"/>
        <v>2964876.7245721119</v>
      </c>
      <c r="N203" s="10">
        <f t="shared" si="124"/>
        <v>3358276.211696004</v>
      </c>
      <c r="O203" s="10">
        <f t="shared" si="124"/>
        <v>3804813.5944769653</v>
      </c>
      <c r="P203" s="10">
        <f t="shared" ref="P203:T203" si="125">$C62/$C132*P132</f>
        <v>4297543.8169121174</v>
      </c>
      <c r="Q203" s="10">
        <f t="shared" si="125"/>
        <v>4506482.7463461254</v>
      </c>
      <c r="R203" s="10">
        <f t="shared" si="125"/>
        <v>4941002.7669249233</v>
      </c>
      <c r="S203" s="10">
        <f t="shared" si="125"/>
        <v>5401867.5850420957</v>
      </c>
      <c r="T203" s="10">
        <f t="shared" si="125"/>
        <v>5883136.789021275</v>
      </c>
      <c r="V203" s="696"/>
      <c r="W203" s="696"/>
      <c r="X203" s="696"/>
    </row>
    <row r="204" spans="2:25" ht="15" customHeight="1">
      <c r="B204" s="344" t="s">
        <v>246</v>
      </c>
      <c r="C204" s="10">
        <f t="shared" ref="C204:O204" si="126">$C63/$C133*C133</f>
        <v>23792.011479191824</v>
      </c>
      <c r="D204" s="10">
        <f t="shared" si="126"/>
        <v>24116.775838900478</v>
      </c>
      <c r="E204" s="10">
        <f t="shared" si="126"/>
        <v>25002.419755727449</v>
      </c>
      <c r="F204" s="10">
        <f t="shared" si="126"/>
        <v>27913.367238551731</v>
      </c>
      <c r="G204" s="10">
        <f t="shared" si="126"/>
        <v>30997.612569629742</v>
      </c>
      <c r="H204" s="10">
        <f t="shared" si="126"/>
        <v>30997.612569629742</v>
      </c>
      <c r="I204" s="10">
        <f t="shared" si="126"/>
        <v>32841.104745343386</v>
      </c>
      <c r="J204" s="10">
        <f t="shared" si="126"/>
        <v>40561.787678435932</v>
      </c>
      <c r="K204" s="10">
        <f t="shared" si="126"/>
        <v>44537.576032241872</v>
      </c>
      <c r="L204" s="10">
        <f t="shared" si="126"/>
        <v>46896.382298873956</v>
      </c>
      <c r="M204" s="10">
        <f t="shared" si="126"/>
        <v>54770.736458766638</v>
      </c>
      <c r="N204" s="10">
        <f t="shared" si="126"/>
        <v>62038.080646706287</v>
      </c>
      <c r="O204" s="10">
        <f t="shared" si="126"/>
        <v>70287.051374085539</v>
      </c>
      <c r="P204" s="10">
        <f t="shared" ref="P204:T204" si="127">$C63/$C133*P133</f>
        <v>79389.351289155355</v>
      </c>
      <c r="Q204" s="10">
        <f t="shared" si="127"/>
        <v>83249.120211473171</v>
      </c>
      <c r="R204" s="10">
        <f t="shared" si="127"/>
        <v>91276.091901708904</v>
      </c>
      <c r="S204" s="10">
        <f t="shared" si="127"/>
        <v>99789.73609035759</v>
      </c>
      <c r="T204" s="10">
        <f t="shared" si="127"/>
        <v>108680.31441302568</v>
      </c>
      <c r="V204" s="696"/>
      <c r="W204" s="696"/>
      <c r="X204" s="696"/>
    </row>
    <row r="205" spans="2:25" ht="15" customHeight="1">
      <c r="B205" s="344" t="s">
        <v>350</v>
      </c>
      <c r="C205" s="10">
        <f t="shared" ref="C205:O205" si="128">$C64/$C134*C134</f>
        <v>1040050.2745497108</v>
      </c>
      <c r="D205" s="10">
        <f t="shared" si="128"/>
        <v>1054247.1095577283</v>
      </c>
      <c r="E205" s="10">
        <f t="shared" si="128"/>
        <v>1092962.3816840372</v>
      </c>
      <c r="F205" s="10">
        <f t="shared" si="128"/>
        <v>1220212.3088858218</v>
      </c>
      <c r="G205" s="10">
        <f t="shared" si="128"/>
        <v>1355037.8240034413</v>
      </c>
      <c r="H205" s="10">
        <f t="shared" si="128"/>
        <v>1355037.8240034413</v>
      </c>
      <c r="I205" s="10">
        <f t="shared" si="128"/>
        <v>1435624.7279379019</v>
      </c>
      <c r="J205" s="10">
        <f t="shared" si="128"/>
        <v>1773128.7011222208</v>
      </c>
      <c r="K205" s="10">
        <f t="shared" si="128"/>
        <v>1946927.3634397741</v>
      </c>
      <c r="L205" s="10">
        <f t="shared" si="128"/>
        <v>2050040.843666777</v>
      </c>
      <c r="M205" s="10">
        <f t="shared" si="128"/>
        <v>2394262.4414522639</v>
      </c>
      <c r="N205" s="10">
        <f t="shared" si="128"/>
        <v>2711949.0449798536</v>
      </c>
      <c r="O205" s="10">
        <f t="shared" si="128"/>
        <v>3072546.7303528073</v>
      </c>
      <c r="P205" s="10">
        <f t="shared" ref="P205:T205" si="129">$C64/$C134*P134</f>
        <v>3470447.0732465452</v>
      </c>
      <c r="Q205" s="10">
        <f t="shared" si="129"/>
        <v>3639174.0314890621</v>
      </c>
      <c r="R205" s="10">
        <f t="shared" si="129"/>
        <v>3990067.1923104529</v>
      </c>
      <c r="S205" s="10">
        <f t="shared" si="129"/>
        <v>4362234.8832838172</v>
      </c>
      <c r="T205" s="10">
        <f t="shared" si="129"/>
        <v>4750879.9725602604</v>
      </c>
      <c r="V205" s="696"/>
      <c r="W205" s="696"/>
      <c r="X205" s="696"/>
    </row>
    <row r="206" spans="2:25" ht="15" customHeight="1">
      <c r="B206" s="344" t="s">
        <v>309</v>
      </c>
      <c r="C206" s="10">
        <f t="shared" ref="C206:O206" si="130">$C65/$C135*C135</f>
        <v>192273.64815775532</v>
      </c>
      <c r="D206" s="10">
        <f t="shared" si="130"/>
        <v>194898.21095638262</v>
      </c>
      <c r="E206" s="10">
        <f t="shared" si="130"/>
        <v>202055.48670862304</v>
      </c>
      <c r="F206" s="10">
        <f t="shared" si="130"/>
        <v>225580.12617039215</v>
      </c>
      <c r="G206" s="10">
        <f t="shared" si="130"/>
        <v>250505.26132084129</v>
      </c>
      <c r="H206" s="10">
        <f t="shared" si="130"/>
        <v>250505.26132084129</v>
      </c>
      <c r="I206" s="10">
        <f t="shared" si="130"/>
        <v>265403.32768587902</v>
      </c>
      <c r="J206" s="10">
        <f t="shared" si="130"/>
        <v>327797.54244629689</v>
      </c>
      <c r="K206" s="10">
        <f t="shared" si="130"/>
        <v>359927.6266032398</v>
      </c>
      <c r="L206" s="10">
        <f t="shared" si="130"/>
        <v>378990.1714653832</v>
      </c>
      <c r="M206" s="10">
        <f t="shared" si="130"/>
        <v>442626.27060449618</v>
      </c>
      <c r="N206" s="10">
        <f t="shared" si="130"/>
        <v>501356.85673653852</v>
      </c>
      <c r="O206" s="10">
        <f t="shared" si="130"/>
        <v>568020.3961639168</v>
      </c>
      <c r="P206" s="10">
        <f t="shared" ref="P206:T206" si="131">$C65/$C135*P135</f>
        <v>641580.0618873107</v>
      </c>
      <c r="Q206" s="10">
        <f t="shared" si="131"/>
        <v>672772.54228725645</v>
      </c>
      <c r="R206" s="10">
        <f t="shared" si="131"/>
        <v>737642.01042325085</v>
      </c>
      <c r="S206" s="10">
        <f t="shared" si="131"/>
        <v>806444.49182337162</v>
      </c>
      <c r="T206" s="10">
        <f t="shared" si="131"/>
        <v>878293.14278029848</v>
      </c>
      <c r="V206" s="696"/>
      <c r="W206" s="696"/>
      <c r="X206" s="696"/>
    </row>
    <row r="207" spans="2:25" ht="15" customHeight="1">
      <c r="B207" s="344" t="s">
        <v>308</v>
      </c>
      <c r="C207" s="10">
        <f t="shared" ref="C207:O207" si="132">$C66/$C136*C136</f>
        <v>156493.64214091594</v>
      </c>
      <c r="D207" s="10">
        <f t="shared" si="132"/>
        <v>158629.80273972952</v>
      </c>
      <c r="E207" s="10">
        <f t="shared" si="132"/>
        <v>164455.18838673187</v>
      </c>
      <c r="F207" s="10">
        <f t="shared" si="132"/>
        <v>183602.15181462516</v>
      </c>
      <c r="G207" s="10">
        <f t="shared" si="132"/>
        <v>203888.99412464359</v>
      </c>
      <c r="H207" s="10">
        <f t="shared" si="132"/>
        <v>203888.99412464359</v>
      </c>
      <c r="I207" s="10">
        <f t="shared" si="132"/>
        <v>216014.69459717502</v>
      </c>
      <c r="J207" s="10">
        <f t="shared" si="132"/>
        <v>266798.0339155664</v>
      </c>
      <c r="K207" s="10">
        <f t="shared" si="132"/>
        <v>292949.06365984352</v>
      </c>
      <c r="L207" s="10">
        <f t="shared" si="132"/>
        <v>308464.27909645822</v>
      </c>
      <c r="M207" s="10">
        <f t="shared" si="132"/>
        <v>360258.40180301544</v>
      </c>
      <c r="N207" s="10">
        <f t="shared" si="132"/>
        <v>408059.87338758301</v>
      </c>
      <c r="O207" s="10">
        <f t="shared" si="132"/>
        <v>462318.06312367966</v>
      </c>
      <c r="P207" s="10">
        <f t="shared" ref="P207:T207" si="133">$C66/$C136*P136</f>
        <v>522189.08608506451</v>
      </c>
      <c r="Q207" s="10">
        <f t="shared" si="133"/>
        <v>547576.98979400937</v>
      </c>
      <c r="R207" s="10">
        <f t="shared" si="133"/>
        <v>600374.96512558835</v>
      </c>
      <c r="S207" s="10">
        <f t="shared" si="133"/>
        <v>656374.06331611809</v>
      </c>
      <c r="T207" s="10">
        <f t="shared" si="133"/>
        <v>714852.47249435156</v>
      </c>
      <c r="V207" s="696"/>
      <c r="W207" s="696"/>
      <c r="X207" s="696"/>
    </row>
    <row r="208" spans="2:25" s="25" customFormat="1" ht="15" customHeight="1">
      <c r="B208" s="344" t="s">
        <v>278</v>
      </c>
      <c r="C208" s="10">
        <f t="shared" ref="C208:O208" si="134">$C67/$C137*C137</f>
        <v>14786.896649616267</v>
      </c>
      <c r="D208" s="10">
        <f t="shared" si="134"/>
        <v>14988.739903882122</v>
      </c>
      <c r="E208" s="10">
        <f t="shared" si="134"/>
        <v>15539.173610503998</v>
      </c>
      <c r="F208" s="10">
        <f t="shared" si="134"/>
        <v>17348.347232441298</v>
      </c>
      <c r="G208" s="10">
        <f t="shared" si="134"/>
        <v>19265.226643524249</v>
      </c>
      <c r="H208" s="10">
        <f t="shared" si="134"/>
        <v>19265.226643524249</v>
      </c>
      <c r="I208" s="10">
        <f t="shared" si="134"/>
        <v>20410.969545527078</v>
      </c>
      <c r="J208" s="10">
        <f t="shared" si="134"/>
        <v>25209.426401347897</v>
      </c>
      <c r="K208" s="10">
        <f t="shared" si="134"/>
        <v>27680.405853417051</v>
      </c>
      <c r="L208" s="10">
        <f t="shared" si="134"/>
        <v>29146.419961205327</v>
      </c>
      <c r="M208" s="10">
        <f t="shared" si="134"/>
        <v>34040.384527700407</v>
      </c>
      <c r="N208" s="10">
        <f t="shared" si="134"/>
        <v>38557.088275857117</v>
      </c>
      <c r="O208" s="10">
        <f t="shared" si="134"/>
        <v>43683.879582180503</v>
      </c>
      <c r="P208" s="10">
        <f t="shared" ref="P208:T208" si="135">$C67/$C137*P137</f>
        <v>49341.020771594565</v>
      </c>
      <c r="Q208" s="10">
        <f t="shared" si="135"/>
        <v>51739.893359380199</v>
      </c>
      <c r="R208" s="10">
        <f t="shared" si="135"/>
        <v>56728.710757048299</v>
      </c>
      <c r="S208" s="10">
        <f t="shared" si="135"/>
        <v>62019.998416322342</v>
      </c>
      <c r="T208" s="10">
        <f t="shared" si="135"/>
        <v>67545.553198757974</v>
      </c>
      <c r="V208" s="696"/>
      <c r="W208" s="696"/>
      <c r="X208" s="696"/>
    </row>
    <row r="209" spans="1:24" ht="15" customHeight="1">
      <c r="B209" s="345" t="s">
        <v>361</v>
      </c>
      <c r="C209" s="23">
        <f t="shared" ref="C209:O209" si="136">$C68/$C138*C138</f>
        <v>474983.24231960496</v>
      </c>
      <c r="D209" s="23">
        <f t="shared" si="136"/>
        <v>481466.83151504473</v>
      </c>
      <c r="E209" s="23">
        <f t="shared" si="136"/>
        <v>499147.8089945243</v>
      </c>
      <c r="F209" s="23">
        <f t="shared" si="136"/>
        <v>557261.906443713</v>
      </c>
      <c r="G209" s="23">
        <f t="shared" si="136"/>
        <v>618835.7186766878</v>
      </c>
      <c r="H209" s="23">
        <f t="shared" si="136"/>
        <v>618835.7186766878</v>
      </c>
      <c r="I209" s="23">
        <f t="shared" si="136"/>
        <v>655639.15967944206</v>
      </c>
      <c r="J209" s="23">
        <f t="shared" si="136"/>
        <v>809774.71966306143</v>
      </c>
      <c r="K209" s="23">
        <f t="shared" si="136"/>
        <v>889147.27900798561</v>
      </c>
      <c r="L209" s="23">
        <f t="shared" si="136"/>
        <v>936238.4402369801</v>
      </c>
      <c r="M209" s="23">
        <f t="shared" si="136"/>
        <v>1093441.8895254026</v>
      </c>
      <c r="N209" s="23">
        <f t="shared" si="136"/>
        <v>1238527.0038487152</v>
      </c>
      <c r="O209" s="23">
        <f t="shared" si="136"/>
        <v>1403209.2908136842</v>
      </c>
      <c r="P209" s="23">
        <f t="shared" ref="P209:T209" si="137">$C68/$C138*P138</f>
        <v>1584927.4246506046</v>
      </c>
      <c r="Q209" s="23">
        <f t="shared" si="137"/>
        <v>1661983.7743808648</v>
      </c>
      <c r="R209" s="23">
        <f t="shared" si="137"/>
        <v>1822234.0769990508</v>
      </c>
      <c r="S209" s="23">
        <f t="shared" si="137"/>
        <v>1992200.2996623383</v>
      </c>
      <c r="T209" s="23">
        <f t="shared" si="137"/>
        <v>2169691.6278541796</v>
      </c>
      <c r="V209" s="696"/>
      <c r="W209" s="696"/>
      <c r="X209" s="696"/>
    </row>
    <row r="210" spans="1:24" ht="15" customHeight="1">
      <c r="D210" s="30"/>
    </row>
    <row r="211" spans="1:24" ht="30.75" thickBot="1">
      <c r="B211" s="341" t="s">
        <v>77</v>
      </c>
      <c r="C211" s="342">
        <v>2001</v>
      </c>
      <c r="D211" s="342">
        <f t="shared" ref="D211:K211" si="138">C211+1</f>
        <v>2002</v>
      </c>
      <c r="E211" s="342">
        <f t="shared" si="138"/>
        <v>2003</v>
      </c>
      <c r="F211" s="342">
        <f t="shared" si="138"/>
        <v>2004</v>
      </c>
      <c r="G211" s="343">
        <f t="shared" si="138"/>
        <v>2005</v>
      </c>
      <c r="H211" s="342">
        <f>F211+1</f>
        <v>2005</v>
      </c>
      <c r="I211" s="342">
        <f>H211+1</f>
        <v>2006</v>
      </c>
      <c r="J211" s="342">
        <f t="shared" si="138"/>
        <v>2007</v>
      </c>
      <c r="K211" s="342">
        <f t="shared" si="138"/>
        <v>2008</v>
      </c>
      <c r="L211" s="342">
        <f>K211+1</f>
        <v>2009</v>
      </c>
      <c r="M211" s="342">
        <f>L211+1</f>
        <v>2010</v>
      </c>
      <c r="N211" s="342">
        <f>M211+1</f>
        <v>2011</v>
      </c>
      <c r="O211" s="342">
        <f>N211+1</f>
        <v>2012</v>
      </c>
      <c r="P211" s="342">
        <f t="shared" ref="P211:T211" si="139">O211+1</f>
        <v>2013</v>
      </c>
      <c r="Q211" s="342">
        <f t="shared" si="139"/>
        <v>2014</v>
      </c>
      <c r="R211" s="342">
        <f t="shared" si="139"/>
        <v>2015</v>
      </c>
      <c r="S211" s="342">
        <f t="shared" si="139"/>
        <v>2016</v>
      </c>
      <c r="T211" s="342">
        <f t="shared" si="139"/>
        <v>2017</v>
      </c>
    </row>
    <row r="212" spans="1:24" ht="15" customHeight="1">
      <c r="A212" s="8"/>
      <c r="B212" s="344" t="s">
        <v>61</v>
      </c>
      <c r="C212" s="31">
        <f t="shared" ref="C212:I213" si="140">C4/C145</f>
        <v>1</v>
      </c>
      <c r="D212" s="31">
        <f t="shared" si="140"/>
        <v>0.99999993345983118</v>
      </c>
      <c r="E212" s="31">
        <f t="shared" si="140"/>
        <v>1.1136958534143953</v>
      </c>
      <c r="F212" s="31">
        <f t="shared" si="140"/>
        <v>1.1201074941757327</v>
      </c>
      <c r="G212" s="31">
        <f t="shared" si="140"/>
        <v>1.1201074934781252</v>
      </c>
      <c r="H212" s="31">
        <f t="shared" si="140"/>
        <v>1.1201074934781252</v>
      </c>
      <c r="I212" s="31">
        <f t="shared" si="140"/>
        <v>1.1998313162056686</v>
      </c>
      <c r="J212" s="31">
        <f t="shared" ref="J212:O212" si="141">J4/J145</f>
        <v>1.1998318580403695</v>
      </c>
      <c r="K212" s="31">
        <f t="shared" si="141"/>
        <v>1.1998318577583229</v>
      </c>
      <c r="L212" s="31">
        <f t="shared" si="141"/>
        <v>1.2240533272087388</v>
      </c>
      <c r="M212" s="31">
        <f t="shared" si="141"/>
        <v>1.2295797551513719</v>
      </c>
      <c r="N212" s="31">
        <f t="shared" si="141"/>
        <v>1.2295964255270715</v>
      </c>
      <c r="O212" s="31">
        <f t="shared" si="141"/>
        <v>1.2295999228161414</v>
      </c>
      <c r="P212" s="31">
        <f t="shared" ref="P212:T212" si="142">P4/P145</f>
        <v>1.2295997803396717</v>
      </c>
      <c r="Q212" s="31">
        <f t="shared" si="142"/>
        <v>1.2295999081956133</v>
      </c>
      <c r="R212" s="31">
        <f t="shared" si="142"/>
        <v>1.2295999170398051</v>
      </c>
      <c r="S212" s="31">
        <f t="shared" si="142"/>
        <v>1.2295599231265832</v>
      </c>
      <c r="T212" s="31">
        <f t="shared" si="142"/>
        <v>1.229559923126583</v>
      </c>
    </row>
    <row r="213" spans="1:24" ht="15" customHeight="1">
      <c r="B213" s="345" t="s">
        <v>62</v>
      </c>
      <c r="C213" s="31">
        <f t="shared" si="140"/>
        <v>1</v>
      </c>
      <c r="D213" s="31">
        <f t="shared" si="140"/>
        <v>1.1531330716863486</v>
      </c>
      <c r="E213" s="31">
        <f t="shared" si="140"/>
        <v>1.4303843672187353</v>
      </c>
      <c r="F213" s="31">
        <f t="shared" si="140"/>
        <v>1.4407380300154362</v>
      </c>
      <c r="G213" s="31">
        <f t="shared" si="140"/>
        <v>1.4407380228638234</v>
      </c>
      <c r="H213" s="31">
        <f t="shared" si="140"/>
        <v>1.4407380228638234</v>
      </c>
      <c r="I213" s="31">
        <f t="shared" si="140"/>
        <v>1.7294574578678774</v>
      </c>
      <c r="J213" s="31">
        <f t="shared" ref="J213:O213" si="143">J5/J146</f>
        <v>1.7294574815230721</v>
      </c>
      <c r="K213" s="31">
        <f t="shared" si="143"/>
        <v>1.7294573486705069</v>
      </c>
      <c r="L213" s="31">
        <f t="shared" si="143"/>
        <v>1.6889862217965752</v>
      </c>
      <c r="M213" s="31">
        <f t="shared" si="143"/>
        <v>1.9404949353069179</v>
      </c>
      <c r="N213" s="31">
        <f t="shared" si="143"/>
        <v>2.115323952919907</v>
      </c>
      <c r="O213" s="31">
        <f t="shared" si="143"/>
        <v>2.5132853387941179</v>
      </c>
      <c r="P213" s="31">
        <f t="shared" ref="P213:T213" si="144">P5/P146</f>
        <v>2.7096203746912648</v>
      </c>
      <c r="Q213" s="31">
        <f t="shared" si="144"/>
        <v>2.8887796809741255</v>
      </c>
      <c r="R213" s="31">
        <f t="shared" si="144"/>
        <v>3.0683717833321471</v>
      </c>
      <c r="S213" s="31">
        <f t="shared" si="144"/>
        <v>3.0785770109928969</v>
      </c>
      <c r="T213" s="31">
        <f t="shared" si="144"/>
        <v>3.1450538249625923</v>
      </c>
    </row>
    <row r="214" spans="1:24" ht="15" customHeight="1">
      <c r="B214" s="345" t="s">
        <v>588</v>
      </c>
      <c r="C214" s="31">
        <f t="shared" ref="C214:T214" si="145">IF(ISERROR(C6/C147)=TRUE,0,C6/C147)</f>
        <v>0</v>
      </c>
      <c r="D214" s="31">
        <f t="shared" si="145"/>
        <v>0</v>
      </c>
      <c r="E214" s="31">
        <f t="shared" si="145"/>
        <v>0</v>
      </c>
      <c r="F214" s="31">
        <f t="shared" si="145"/>
        <v>0</v>
      </c>
      <c r="G214" s="31">
        <f t="shared" si="145"/>
        <v>0</v>
      </c>
      <c r="H214" s="31">
        <f t="shared" si="145"/>
        <v>0</v>
      </c>
      <c r="I214" s="31">
        <f t="shared" si="145"/>
        <v>0</v>
      </c>
      <c r="J214" s="31">
        <f t="shared" si="145"/>
        <v>0</v>
      </c>
      <c r="K214" s="31">
        <f t="shared" si="145"/>
        <v>0</v>
      </c>
      <c r="L214" s="31">
        <f t="shared" si="145"/>
        <v>0</v>
      </c>
      <c r="M214" s="31">
        <f t="shared" si="145"/>
        <v>0</v>
      </c>
      <c r="N214" s="31">
        <f t="shared" si="145"/>
        <v>0</v>
      </c>
      <c r="O214" s="31">
        <f t="shared" si="145"/>
        <v>0</v>
      </c>
      <c r="P214" s="31">
        <f t="shared" si="145"/>
        <v>0</v>
      </c>
      <c r="Q214" s="31">
        <f t="shared" si="145"/>
        <v>0</v>
      </c>
      <c r="R214" s="31">
        <f t="shared" si="145"/>
        <v>0</v>
      </c>
      <c r="S214" s="31">
        <f t="shared" si="145"/>
        <v>0</v>
      </c>
      <c r="T214" s="31">
        <f t="shared" si="145"/>
        <v>0</v>
      </c>
    </row>
    <row r="215" spans="1:24" ht="15" customHeight="1">
      <c r="B215" s="345" t="s">
        <v>310</v>
      </c>
      <c r="C215" s="31">
        <f t="shared" ref="C215:I224" si="146">C7/C148</f>
        <v>1</v>
      </c>
      <c r="D215" s="31">
        <f t="shared" si="146"/>
        <v>0.97579406773524169</v>
      </c>
      <c r="E215" s="31">
        <f t="shared" si="146"/>
        <v>0.97698222779626698</v>
      </c>
      <c r="F215" s="31">
        <f t="shared" si="146"/>
        <v>1.1911494371450457</v>
      </c>
      <c r="G215" s="31">
        <f t="shared" si="146"/>
        <v>1.1760949538956802</v>
      </c>
      <c r="H215" s="31">
        <f t="shared" si="146"/>
        <v>1.1760949538956802</v>
      </c>
      <c r="I215" s="31">
        <f t="shared" si="146"/>
        <v>1.1074708874747725</v>
      </c>
      <c r="J215" s="31">
        <f t="shared" ref="J215:O215" si="147">J7/J148</f>
        <v>1.2628392970775923</v>
      </c>
      <c r="K215" s="31">
        <f t="shared" si="147"/>
        <v>1.2628392970775917</v>
      </c>
      <c r="L215" s="31">
        <f t="shared" si="147"/>
        <v>1.2695249168856497</v>
      </c>
      <c r="M215" s="31">
        <f t="shared" si="147"/>
        <v>1.2979094781760001</v>
      </c>
      <c r="N215" s="31">
        <f t="shared" si="147"/>
        <v>1.3096386357339966</v>
      </c>
      <c r="O215" s="31">
        <f t="shared" si="147"/>
        <v>1.3155920209916436</v>
      </c>
      <c r="P215" s="31">
        <f t="shared" ref="P215:T215" si="148">P7/P148</f>
        <v>1.3096386357339984</v>
      </c>
      <c r="Q215" s="31">
        <f t="shared" si="148"/>
        <v>1.3048676388825073</v>
      </c>
      <c r="R215" s="31">
        <f t="shared" si="148"/>
        <v>1.3096386357339973</v>
      </c>
      <c r="S215" s="31">
        <f t="shared" si="148"/>
        <v>1.3096386357339982</v>
      </c>
      <c r="T215" s="31">
        <f t="shared" si="148"/>
        <v>1.3204659055571535</v>
      </c>
    </row>
    <row r="216" spans="1:24" ht="15" customHeight="1">
      <c r="B216" s="345" t="s">
        <v>311</v>
      </c>
      <c r="C216" s="31">
        <f t="shared" si="146"/>
        <v>1</v>
      </c>
      <c r="D216" s="31">
        <f t="shared" si="146"/>
        <v>1.1715896173254765</v>
      </c>
      <c r="E216" s="31">
        <f t="shared" si="146"/>
        <v>1.14275088596996</v>
      </c>
      <c r="F216" s="31">
        <f t="shared" si="146"/>
        <v>1.0782831149481669</v>
      </c>
      <c r="G216" s="31">
        <f t="shared" si="146"/>
        <v>0.9012079392164859</v>
      </c>
      <c r="H216" s="31">
        <f t="shared" si="146"/>
        <v>0.9012079392164859</v>
      </c>
      <c r="I216" s="31">
        <f t="shared" si="146"/>
        <v>0.84577687356600872</v>
      </c>
      <c r="J216" s="31">
        <f t="shared" ref="J216:O216" si="149">J8/J149</f>
        <v>1.0755349675330692</v>
      </c>
      <c r="K216" s="31">
        <f t="shared" si="149"/>
        <v>1.1213518824906039</v>
      </c>
      <c r="L216" s="31">
        <f t="shared" si="149"/>
        <v>1.0112259920159234</v>
      </c>
      <c r="M216" s="31">
        <f t="shared" si="149"/>
        <v>1.080058600127844</v>
      </c>
      <c r="N216" s="31">
        <f t="shared" si="149"/>
        <v>1.0641234212015644</v>
      </c>
      <c r="O216" s="31">
        <f t="shared" si="149"/>
        <v>1.0528787503786758</v>
      </c>
      <c r="P216" s="31">
        <f t="shared" ref="P216:T216" si="150">P8/P149</f>
        <v>1.0924137823456213</v>
      </c>
      <c r="Q216" s="31">
        <f t="shared" si="150"/>
        <v>1.1513986738818562</v>
      </c>
      <c r="R216" s="31">
        <f t="shared" si="150"/>
        <v>1.1117431352029019</v>
      </c>
      <c r="S216" s="31">
        <f t="shared" si="150"/>
        <v>1.0893962962528789</v>
      </c>
      <c r="T216" s="31">
        <f t="shared" si="150"/>
        <v>1.0876405950142618</v>
      </c>
    </row>
    <row r="217" spans="1:24" ht="15" customHeight="1">
      <c r="B217" s="345" t="s">
        <v>312</v>
      </c>
      <c r="C217" s="31">
        <f t="shared" si="146"/>
        <v>0.99999999999999989</v>
      </c>
      <c r="D217" s="31">
        <f t="shared" si="146"/>
        <v>1.00075038210094</v>
      </c>
      <c r="E217" s="31">
        <f t="shared" si="146"/>
        <v>1.0299963640761662</v>
      </c>
      <c r="F217" s="31">
        <f t="shared" si="146"/>
        <v>1.0301834018590199</v>
      </c>
      <c r="G217" s="31">
        <f t="shared" si="146"/>
        <v>0.95222225092233626</v>
      </c>
      <c r="H217" s="31">
        <f t="shared" si="146"/>
        <v>0.95222225092233626</v>
      </c>
      <c r="I217" s="31">
        <f t="shared" si="146"/>
        <v>1.2325299136908667</v>
      </c>
      <c r="J217" s="31">
        <f t="shared" ref="J217:O217" si="151">J9/J150</f>
        <v>1.3405724398589662</v>
      </c>
      <c r="K217" s="31">
        <f t="shared" si="151"/>
        <v>1.1969175227553233</v>
      </c>
      <c r="L217" s="31">
        <f t="shared" si="151"/>
        <v>1.2831300955130389</v>
      </c>
      <c r="M217" s="31">
        <f t="shared" si="151"/>
        <v>1.4596265821286876</v>
      </c>
      <c r="N217" s="31">
        <f t="shared" si="151"/>
        <v>1.4474435322900048</v>
      </c>
      <c r="O217" s="31">
        <f t="shared" si="151"/>
        <v>1.4528114706373201</v>
      </c>
      <c r="P217" s="31">
        <f t="shared" ref="P217:T217" si="152">P9/P150</f>
        <v>1.4352280084191407</v>
      </c>
      <c r="Q217" s="31">
        <f t="shared" si="152"/>
        <v>1.4254030705917482</v>
      </c>
      <c r="R217" s="31">
        <f t="shared" si="152"/>
        <v>1.4222327328762829</v>
      </c>
      <c r="S217" s="31">
        <f t="shared" si="152"/>
        <v>1.4352692830478186</v>
      </c>
      <c r="T217" s="31">
        <f t="shared" si="152"/>
        <v>1.4160840832853885</v>
      </c>
    </row>
    <row r="218" spans="1:24" ht="15" customHeight="1">
      <c r="B218" s="345" t="s">
        <v>313</v>
      </c>
      <c r="C218" s="31">
        <f t="shared" si="146"/>
        <v>1</v>
      </c>
      <c r="D218" s="31">
        <f t="shared" si="146"/>
        <v>1.0082509560737056</v>
      </c>
      <c r="E218" s="31">
        <f t="shared" si="146"/>
        <v>0.99706159525891314</v>
      </c>
      <c r="F218" s="31">
        <f t="shared" si="146"/>
        <v>1.0043242062607378</v>
      </c>
      <c r="G218" s="31">
        <f t="shared" si="146"/>
        <v>1.0446092212688816</v>
      </c>
      <c r="H218" s="31">
        <f t="shared" si="146"/>
        <v>1.0446092212688816</v>
      </c>
      <c r="I218" s="31">
        <f t="shared" si="146"/>
        <v>1.0299294661266349</v>
      </c>
      <c r="J218" s="31">
        <f t="shared" ref="J218:O218" si="153">J10/J151</f>
        <v>1.1169132993994304</v>
      </c>
      <c r="K218" s="31">
        <f t="shared" si="153"/>
        <v>1.1192656399808676</v>
      </c>
      <c r="L218" s="31">
        <f t="shared" si="153"/>
        <v>1.1346573966759421</v>
      </c>
      <c r="M218" s="31">
        <f t="shared" si="153"/>
        <v>1.1684944837118052</v>
      </c>
      <c r="N218" s="31">
        <f t="shared" si="153"/>
        <v>1.1807393004566029</v>
      </c>
      <c r="O218" s="31">
        <f t="shared" si="153"/>
        <v>1.198100348555837</v>
      </c>
      <c r="P218" s="31">
        <f t="shared" ref="P218:T218" si="154">P10/P151</f>
        <v>1.1917722914886515</v>
      </c>
      <c r="Q218" s="31">
        <f t="shared" si="154"/>
        <v>1.1945881301791892</v>
      </c>
      <c r="R218" s="31">
        <f t="shared" si="154"/>
        <v>1.1953715334081432</v>
      </c>
      <c r="S218" s="31">
        <f t="shared" si="154"/>
        <v>1.1965168654912557</v>
      </c>
      <c r="T218" s="31">
        <f t="shared" si="154"/>
        <v>1.1995222785085848</v>
      </c>
    </row>
    <row r="219" spans="1:24" ht="15" customHeight="1">
      <c r="B219" s="345" t="s">
        <v>314</v>
      </c>
      <c r="C219" s="31">
        <f t="shared" si="146"/>
        <v>1</v>
      </c>
      <c r="D219" s="31">
        <f t="shared" si="146"/>
        <v>0.97977766897054541</v>
      </c>
      <c r="E219" s="31">
        <f t="shared" si="146"/>
        <v>1.0188177272011569</v>
      </c>
      <c r="F219" s="31">
        <f t="shared" si="146"/>
        <v>1.0298655763809024</v>
      </c>
      <c r="G219" s="31">
        <f t="shared" si="146"/>
        <v>1.0322425896745675</v>
      </c>
      <c r="H219" s="31">
        <f t="shared" si="146"/>
        <v>1.0322425896745675</v>
      </c>
      <c r="I219" s="31">
        <f t="shared" si="146"/>
        <v>1.102028777003208</v>
      </c>
      <c r="J219" s="31">
        <f t="shared" ref="J219:O219" si="155">J11/J152</f>
        <v>1.1085583094209819</v>
      </c>
      <c r="K219" s="31">
        <f t="shared" si="155"/>
        <v>1.1872047493550597</v>
      </c>
      <c r="L219" s="31">
        <f t="shared" si="155"/>
        <v>1.2392313489599425</v>
      </c>
      <c r="M219" s="31">
        <f t="shared" si="155"/>
        <v>1.303920463718973</v>
      </c>
      <c r="N219" s="31">
        <f t="shared" si="155"/>
        <v>1.2838392568525983</v>
      </c>
      <c r="O219" s="31">
        <f t="shared" si="155"/>
        <v>1.2593374560895445</v>
      </c>
      <c r="P219" s="31">
        <f t="shared" ref="P219:T219" si="156">P11/P152</f>
        <v>1.3260013852742261</v>
      </c>
      <c r="Q219" s="31">
        <f t="shared" si="156"/>
        <v>1.273931243091835</v>
      </c>
      <c r="R219" s="31">
        <f t="shared" si="156"/>
        <v>1.3216461198287723</v>
      </c>
      <c r="S219" s="31">
        <f t="shared" si="156"/>
        <v>1.363208335416803</v>
      </c>
      <c r="T219" s="31">
        <f t="shared" si="156"/>
        <v>1.4188460959184548</v>
      </c>
    </row>
    <row r="220" spans="1:24" ht="15" customHeight="1">
      <c r="B220" s="345" t="s">
        <v>315</v>
      </c>
      <c r="C220" s="31">
        <f t="shared" si="146"/>
        <v>1</v>
      </c>
      <c r="D220" s="31">
        <f t="shared" si="146"/>
        <v>0.97799530200600682</v>
      </c>
      <c r="E220" s="31">
        <f t="shared" si="146"/>
        <v>1.0251898261034698</v>
      </c>
      <c r="F220" s="31">
        <f t="shared" si="146"/>
        <v>1.1814007344566251</v>
      </c>
      <c r="G220" s="31">
        <f t="shared" si="146"/>
        <v>1.1905195229031309</v>
      </c>
      <c r="H220" s="31">
        <f t="shared" si="146"/>
        <v>1.1905195229031309</v>
      </c>
      <c r="I220" s="31">
        <f t="shared" si="146"/>
        <v>1.1071190367316659</v>
      </c>
      <c r="J220" s="31">
        <f t="shared" ref="J220:O220" si="157">J12/J153</f>
        <v>1.268651892264542</v>
      </c>
      <c r="K220" s="31">
        <f t="shared" si="157"/>
        <v>1.2686518922645422</v>
      </c>
      <c r="L220" s="31">
        <f t="shared" si="157"/>
        <v>1.275141160255665</v>
      </c>
      <c r="M220" s="31">
        <f t="shared" si="157"/>
        <v>1.3039771074744007</v>
      </c>
      <c r="N220" s="31">
        <f t="shared" si="157"/>
        <v>1.3153746218006279</v>
      </c>
      <c r="O220" s="31">
        <f t="shared" si="157"/>
        <v>1.315374621800627</v>
      </c>
      <c r="P220" s="31">
        <f t="shared" ref="P220:T220" si="158">P12/P153</f>
        <v>1.3153746218006273</v>
      </c>
      <c r="Q220" s="31">
        <f t="shared" si="158"/>
        <v>1.3153746218006273</v>
      </c>
      <c r="R220" s="31">
        <f t="shared" si="158"/>
        <v>1.3153746218006275</v>
      </c>
      <c r="S220" s="31">
        <f t="shared" si="158"/>
        <v>1.3051478640171488</v>
      </c>
      <c r="T220" s="31">
        <f t="shared" si="158"/>
        <v>1.3153746218006273</v>
      </c>
    </row>
    <row r="221" spans="1:24" ht="15" customHeight="1">
      <c r="B221" s="345" t="s">
        <v>316</v>
      </c>
      <c r="C221" s="31">
        <f t="shared" si="146"/>
        <v>1</v>
      </c>
      <c r="D221" s="31">
        <f t="shared" si="146"/>
        <v>0.94585742676491458</v>
      </c>
      <c r="E221" s="31">
        <f t="shared" si="146"/>
        <v>1.1873360641212984</v>
      </c>
      <c r="F221" s="31">
        <f t="shared" si="146"/>
        <v>1.055855572346988</v>
      </c>
      <c r="G221" s="31">
        <f t="shared" si="146"/>
        <v>0.97566708915484157</v>
      </c>
      <c r="H221" s="31">
        <f t="shared" si="146"/>
        <v>0.97566708915484157</v>
      </c>
      <c r="I221" s="31">
        <f t="shared" si="146"/>
        <v>0.86336962162861952</v>
      </c>
      <c r="J221" s="31">
        <f t="shared" ref="J221:O221" si="159">J13/J154</f>
        <v>0.98153015896921436</v>
      </c>
      <c r="K221" s="31">
        <f t="shared" si="159"/>
        <v>0.92086784556624957</v>
      </c>
      <c r="L221" s="31">
        <f t="shared" si="159"/>
        <v>0.98874369658296835</v>
      </c>
      <c r="M221" s="31">
        <f t="shared" si="159"/>
        <v>1.0010793331300514</v>
      </c>
      <c r="N221" s="31">
        <f t="shared" si="159"/>
        <v>1.0311119114653842</v>
      </c>
      <c r="O221" s="31">
        <f t="shared" si="159"/>
        <v>1.0556077078529589</v>
      </c>
      <c r="P221" s="31">
        <f t="shared" ref="P221:T221" si="160">P13/P154</f>
        <v>1.0768300151055312</v>
      </c>
      <c r="Q221" s="31">
        <f t="shared" si="160"/>
        <v>1.0666448265405446</v>
      </c>
      <c r="R221" s="31">
        <f t="shared" si="160"/>
        <v>1.065143339317778</v>
      </c>
      <c r="S221" s="31">
        <f t="shared" si="160"/>
        <v>1.0430421779136652</v>
      </c>
      <c r="T221" s="31">
        <f t="shared" si="160"/>
        <v>1.0289785690727773</v>
      </c>
    </row>
    <row r="222" spans="1:24" ht="15" customHeight="1">
      <c r="B222" s="345" t="s">
        <v>317</v>
      </c>
      <c r="C222" s="31">
        <f t="shared" si="146"/>
        <v>1</v>
      </c>
      <c r="D222" s="31">
        <f t="shared" si="146"/>
        <v>0.98468551543489968</v>
      </c>
      <c r="E222" s="31">
        <f t="shared" si="146"/>
        <v>0.97590796166209826</v>
      </c>
      <c r="F222" s="31">
        <f t="shared" si="146"/>
        <v>1.0159378537009822</v>
      </c>
      <c r="G222" s="31">
        <f t="shared" si="146"/>
        <v>1.2196199219133577</v>
      </c>
      <c r="H222" s="31">
        <f t="shared" si="146"/>
        <v>1.2196199219133577</v>
      </c>
      <c r="I222" s="31">
        <f t="shared" si="146"/>
        <v>1.2639537611653349</v>
      </c>
      <c r="J222" s="31">
        <f t="shared" ref="J222:O222" si="161">J14/J155</f>
        <v>1.349319649106522</v>
      </c>
      <c r="K222" s="31">
        <f t="shared" si="161"/>
        <v>1.3050258318487911</v>
      </c>
      <c r="L222" s="31">
        <f t="shared" si="161"/>
        <v>1.3151658431619813</v>
      </c>
      <c r="M222" s="31">
        <f t="shared" si="161"/>
        <v>1.4695407645150536</v>
      </c>
      <c r="N222" s="31">
        <f t="shared" si="161"/>
        <v>1.4352987899587186</v>
      </c>
      <c r="O222" s="31">
        <f t="shared" si="161"/>
        <v>1.4159079995351522</v>
      </c>
      <c r="P222" s="31">
        <f t="shared" ref="P222:T222" si="162">P14/P155</f>
        <v>1.3679652272060154</v>
      </c>
      <c r="Q222" s="31">
        <f t="shared" si="162"/>
        <v>1.3521283721649278</v>
      </c>
      <c r="R222" s="31">
        <f t="shared" si="162"/>
        <v>1.3475976187440784</v>
      </c>
      <c r="S222" s="31">
        <f t="shared" si="162"/>
        <v>1.3662830326314133</v>
      </c>
      <c r="T222" s="31">
        <f t="shared" si="162"/>
        <v>1.3552343042211261</v>
      </c>
    </row>
    <row r="223" spans="1:24" ht="15" customHeight="1">
      <c r="B223" s="345" t="s">
        <v>318</v>
      </c>
      <c r="C223" s="31">
        <f t="shared" si="146"/>
        <v>1</v>
      </c>
      <c r="D223" s="31">
        <f t="shared" si="146"/>
        <v>0.99493186555056734</v>
      </c>
      <c r="E223" s="31">
        <f t="shared" si="146"/>
        <v>1.0081748002603759</v>
      </c>
      <c r="F223" s="31">
        <f t="shared" si="146"/>
        <v>1.0048136814933288</v>
      </c>
      <c r="G223" s="31">
        <f t="shared" si="146"/>
        <v>1.0613829349604587</v>
      </c>
      <c r="H223" s="31">
        <f t="shared" si="146"/>
        <v>1.0613829349604587</v>
      </c>
      <c r="I223" s="31">
        <f t="shared" si="146"/>
        <v>1.031922458420631</v>
      </c>
      <c r="J223" s="31">
        <f t="shared" ref="J223:O223" si="163">J15/J156</f>
        <v>1.0464508524305804</v>
      </c>
      <c r="K223" s="31">
        <f t="shared" si="163"/>
        <v>1.0541473480253594</v>
      </c>
      <c r="L223" s="31">
        <f t="shared" si="163"/>
        <v>1.1197837755672728</v>
      </c>
      <c r="M223" s="31">
        <f t="shared" si="163"/>
        <v>1.1537180709211117</v>
      </c>
      <c r="N223" s="31">
        <f t="shared" si="163"/>
        <v>1.1630494205993849</v>
      </c>
      <c r="O223" s="31">
        <f t="shared" si="163"/>
        <v>1.16819041542309</v>
      </c>
      <c r="P223" s="31">
        <f t="shared" ref="P223:T223" si="164">P15/P156</f>
        <v>1.1740722314578549</v>
      </c>
      <c r="Q223" s="31">
        <f t="shared" si="164"/>
        <v>1.1660256007414309</v>
      </c>
      <c r="R223" s="31">
        <f t="shared" si="164"/>
        <v>1.164625525037313</v>
      </c>
      <c r="S223" s="31">
        <f t="shared" si="164"/>
        <v>1.1690915052639428</v>
      </c>
      <c r="T223" s="31">
        <f t="shared" si="164"/>
        <v>1.1738761123132051</v>
      </c>
    </row>
    <row r="224" spans="1:24" ht="15" customHeight="1">
      <c r="B224" s="345" t="s">
        <v>319</v>
      </c>
      <c r="C224" s="31">
        <f t="shared" si="146"/>
        <v>1</v>
      </c>
      <c r="D224" s="31">
        <f t="shared" si="146"/>
        <v>1.0444617186330629</v>
      </c>
      <c r="E224" s="31">
        <f t="shared" si="146"/>
        <v>1.0191684643884849</v>
      </c>
      <c r="F224" s="31">
        <f t="shared" si="146"/>
        <v>1.0783211189133113</v>
      </c>
      <c r="G224" s="31">
        <f t="shared" si="146"/>
        <v>1.1719822091372221</v>
      </c>
      <c r="H224" s="31">
        <f t="shared" si="146"/>
        <v>1.1719822091372221</v>
      </c>
      <c r="I224" s="31">
        <f t="shared" si="146"/>
        <v>1.1516280735846953</v>
      </c>
      <c r="J224" s="31">
        <f t="shared" ref="J224:O224" si="165">J16/J157</f>
        <v>1.1626912088825714</v>
      </c>
      <c r="K224" s="31">
        <f t="shared" si="165"/>
        <v>1.1467009667205432</v>
      </c>
      <c r="L224" s="31">
        <f t="shared" si="165"/>
        <v>1.2579178405264861</v>
      </c>
      <c r="M224" s="31">
        <f t="shared" si="165"/>
        <v>1.290499974909957</v>
      </c>
      <c r="N224" s="31">
        <f t="shared" si="165"/>
        <v>1.3456613550612635</v>
      </c>
      <c r="O224" s="31">
        <f t="shared" si="165"/>
        <v>1.3648967079301715</v>
      </c>
      <c r="P224" s="31">
        <f t="shared" ref="P224:T224" si="166">P16/P157</f>
        <v>1.3921773565877555</v>
      </c>
      <c r="Q224" s="31">
        <f t="shared" si="166"/>
        <v>1.3769907080624191</v>
      </c>
      <c r="R224" s="31">
        <f t="shared" si="166"/>
        <v>1.4791990677369755</v>
      </c>
      <c r="S224" s="31">
        <f t="shared" si="166"/>
        <v>1.5276565235018795</v>
      </c>
      <c r="T224" s="31">
        <f t="shared" si="166"/>
        <v>1.4515759439714926</v>
      </c>
    </row>
    <row r="225" spans="2:20" ht="15" customHeight="1">
      <c r="B225" s="345" t="s">
        <v>320</v>
      </c>
      <c r="C225" s="31">
        <f t="shared" ref="C225:I234" si="167">C17/C158</f>
        <v>1</v>
      </c>
      <c r="D225" s="31">
        <f t="shared" si="167"/>
        <v>0.96753344097204408</v>
      </c>
      <c r="E225" s="31">
        <f t="shared" si="167"/>
        <v>0.99358197777939794</v>
      </c>
      <c r="F225" s="31">
        <f t="shared" si="167"/>
        <v>1.1793976562655459</v>
      </c>
      <c r="G225" s="31">
        <f t="shared" si="167"/>
        <v>1.1755393895749633</v>
      </c>
      <c r="H225" s="31">
        <f t="shared" si="167"/>
        <v>1.1755393895749633</v>
      </c>
      <c r="I225" s="31">
        <f t="shared" si="167"/>
        <v>1.0935554652008264</v>
      </c>
      <c r="J225" s="31">
        <f t="shared" ref="J225:O225" si="168">J17/J158</f>
        <v>1.2556931499763793</v>
      </c>
      <c r="K225" s="31">
        <f t="shared" si="168"/>
        <v>1.255693149976379</v>
      </c>
      <c r="L225" s="31">
        <f t="shared" si="168"/>
        <v>1.2623409372409602</v>
      </c>
      <c r="M225" s="31">
        <f t="shared" si="168"/>
        <v>1.2905344845324391</v>
      </c>
      <c r="N225" s="31">
        <f t="shared" si="168"/>
        <v>1.3022276608284449</v>
      </c>
      <c r="O225" s="31">
        <f t="shared" si="168"/>
        <v>1.3038260359084446</v>
      </c>
      <c r="P225" s="31">
        <f t="shared" ref="P225:T225" si="169">P17/P158</f>
        <v>1.302227660828446</v>
      </c>
      <c r="Q225" s="31">
        <f t="shared" si="169"/>
        <v>1.2929583623031649</v>
      </c>
      <c r="R225" s="31">
        <f t="shared" si="169"/>
        <v>1.329505618317613</v>
      </c>
      <c r="S225" s="31">
        <f t="shared" si="169"/>
        <v>1.302227660828446</v>
      </c>
      <c r="T225" s="31">
        <f t="shared" si="169"/>
        <v>1.3497593397701988</v>
      </c>
    </row>
    <row r="226" spans="2:20" ht="15" customHeight="1">
      <c r="B226" s="345" t="s">
        <v>321</v>
      </c>
      <c r="C226" s="31">
        <f t="shared" si="167"/>
        <v>1.0000000000000002</v>
      </c>
      <c r="D226" s="31">
        <f t="shared" si="167"/>
        <v>1.0776288892484505</v>
      </c>
      <c r="E226" s="31">
        <f t="shared" si="167"/>
        <v>1.1423883351604578</v>
      </c>
      <c r="F226" s="31">
        <f t="shared" si="167"/>
        <v>1.0473382250008074</v>
      </c>
      <c r="G226" s="31">
        <f t="shared" si="167"/>
        <v>0.87429157770762489</v>
      </c>
      <c r="H226" s="31">
        <f t="shared" si="167"/>
        <v>0.87429157770762489</v>
      </c>
      <c r="I226" s="31">
        <f t="shared" si="167"/>
        <v>0.78360898077665631</v>
      </c>
      <c r="J226" s="31">
        <f t="shared" ref="J226:O226" si="170">J18/J159</f>
        <v>0.9833382594467307</v>
      </c>
      <c r="K226" s="31">
        <f t="shared" si="170"/>
        <v>1.0033309935551935</v>
      </c>
      <c r="L226" s="31">
        <f t="shared" si="170"/>
        <v>0.94587891515993461</v>
      </c>
      <c r="M226" s="31">
        <f t="shared" si="170"/>
        <v>0.98463447477623811</v>
      </c>
      <c r="N226" s="31">
        <f t="shared" si="170"/>
        <v>1.036962406612562</v>
      </c>
      <c r="O226" s="31">
        <f t="shared" si="170"/>
        <v>0.99721415244040279</v>
      </c>
      <c r="P226" s="31">
        <f t="shared" ref="P226:T226" si="171">P18/P159</f>
        <v>1.0346065123763009</v>
      </c>
      <c r="Q226" s="31">
        <f t="shared" si="171"/>
        <v>1.0592177672368617</v>
      </c>
      <c r="R226" s="31">
        <f t="shared" si="171"/>
        <v>1.0472725893440635</v>
      </c>
      <c r="S226" s="31">
        <f t="shared" si="171"/>
        <v>1.0323708197988817</v>
      </c>
      <c r="T226" s="31">
        <f t="shared" si="171"/>
        <v>1.0243420322557155</v>
      </c>
    </row>
    <row r="227" spans="2:20" ht="15" customHeight="1">
      <c r="B227" s="345" t="s">
        <v>322</v>
      </c>
      <c r="C227" s="31">
        <f t="shared" si="167"/>
        <v>1</v>
      </c>
      <c r="D227" s="31">
        <f t="shared" si="167"/>
        <v>0.9620662488911762</v>
      </c>
      <c r="E227" s="31">
        <f t="shared" si="167"/>
        <v>0.99835073065655544</v>
      </c>
      <c r="F227" s="31">
        <f t="shared" si="167"/>
        <v>1.0142128953656411</v>
      </c>
      <c r="G227" s="31">
        <f t="shared" si="167"/>
        <v>1.1920812918861956</v>
      </c>
      <c r="H227" s="31">
        <f t="shared" si="167"/>
        <v>1.1920812918861956</v>
      </c>
      <c r="I227" s="31">
        <f t="shared" si="167"/>
        <v>1.2186553278609376</v>
      </c>
      <c r="J227" s="31">
        <f t="shared" ref="J227:O227" si="172">J19/J160</f>
        <v>1.3476204805941243</v>
      </c>
      <c r="K227" s="31">
        <f t="shared" si="172"/>
        <v>1.1813560866155575</v>
      </c>
      <c r="L227" s="31">
        <f t="shared" si="172"/>
        <v>1.2484200613102678</v>
      </c>
      <c r="M227" s="31">
        <f t="shared" si="172"/>
        <v>1.4378809027553145</v>
      </c>
      <c r="N227" s="31">
        <f t="shared" si="172"/>
        <v>1.4205200511484857</v>
      </c>
      <c r="O227" s="31">
        <f t="shared" si="172"/>
        <v>1.4418327877358372</v>
      </c>
      <c r="P227" s="31">
        <f t="shared" ref="P227:T227" si="173">P19/P160</f>
        <v>1.4138856814098391</v>
      </c>
      <c r="Q227" s="31">
        <f t="shared" si="173"/>
        <v>1.3552952304833852</v>
      </c>
      <c r="R227" s="31">
        <f t="shared" si="173"/>
        <v>1.3571198842249785</v>
      </c>
      <c r="S227" s="31">
        <f t="shared" si="173"/>
        <v>1.3810269687791328</v>
      </c>
      <c r="T227" s="31">
        <f t="shared" si="173"/>
        <v>1.3574465411919261</v>
      </c>
    </row>
    <row r="228" spans="2:20" ht="15" customHeight="1">
      <c r="B228" s="345" t="s">
        <v>323</v>
      </c>
      <c r="C228" s="31">
        <f t="shared" si="167"/>
        <v>1</v>
      </c>
      <c r="D228" s="31">
        <f t="shared" si="167"/>
        <v>1.0034437287388016</v>
      </c>
      <c r="E228" s="31">
        <f t="shared" si="167"/>
        <v>0.99729549215621838</v>
      </c>
      <c r="F228" s="31">
        <f t="shared" si="167"/>
        <v>0.99229390328845146</v>
      </c>
      <c r="G228" s="31">
        <f t="shared" si="167"/>
        <v>1.0418356116950078</v>
      </c>
      <c r="H228" s="31">
        <f t="shared" si="167"/>
        <v>1.0418356116950078</v>
      </c>
      <c r="I228" s="31">
        <f t="shared" si="167"/>
        <v>1.0166945347920542</v>
      </c>
      <c r="J228" s="31">
        <f t="shared" ref="J228:O228" si="174">J20/J161</f>
        <v>1.0926420019375205</v>
      </c>
      <c r="K228" s="31">
        <f t="shared" si="174"/>
        <v>1.1141136569576289</v>
      </c>
      <c r="L228" s="31">
        <f t="shared" si="174"/>
        <v>1.1273724924452324</v>
      </c>
      <c r="M228" s="31">
        <f t="shared" si="174"/>
        <v>1.1535676269127131</v>
      </c>
      <c r="N228" s="31">
        <f t="shared" si="174"/>
        <v>1.168684995222206</v>
      </c>
      <c r="O228" s="31">
        <f t="shared" si="174"/>
        <v>1.1899231567212991</v>
      </c>
      <c r="P228" s="31">
        <f t="shared" ref="P228:T228" si="175">P20/P161</f>
        <v>1.1833749798117605</v>
      </c>
      <c r="Q228" s="31">
        <f t="shared" si="175"/>
        <v>1.1803316192077091</v>
      </c>
      <c r="R228" s="31">
        <f t="shared" si="175"/>
        <v>1.1791178884884521</v>
      </c>
      <c r="S228" s="31">
        <f t="shared" si="175"/>
        <v>1.1786207006163532</v>
      </c>
      <c r="T228" s="31">
        <f t="shared" si="175"/>
        <v>1.1799048563021797</v>
      </c>
    </row>
    <row r="229" spans="2:20" ht="15" customHeight="1">
      <c r="B229" s="345" t="s">
        <v>324</v>
      </c>
      <c r="C229" s="31">
        <f t="shared" si="167"/>
        <v>1</v>
      </c>
      <c r="D229" s="31">
        <f t="shared" si="167"/>
        <v>0.98549943931559381</v>
      </c>
      <c r="E229" s="31">
        <f t="shared" si="167"/>
        <v>1.0240939989728786</v>
      </c>
      <c r="F229" s="31">
        <f t="shared" si="167"/>
        <v>1.0451923650750896</v>
      </c>
      <c r="G229" s="31">
        <f t="shared" si="167"/>
        <v>0.99420018914171682</v>
      </c>
      <c r="H229" s="31">
        <f t="shared" si="167"/>
        <v>0.99420018914171682</v>
      </c>
      <c r="I229" s="31">
        <f t="shared" si="167"/>
        <v>1.1336961995784705</v>
      </c>
      <c r="J229" s="31">
        <f t="shared" ref="J229:O229" si="176">J21/J162</f>
        <v>1.2001739625769636</v>
      </c>
      <c r="K229" s="31">
        <f t="shared" si="176"/>
        <v>1.1462476368347247</v>
      </c>
      <c r="L229" s="31">
        <f t="shared" si="176"/>
        <v>1.2030945921132903</v>
      </c>
      <c r="M229" s="31">
        <f t="shared" si="176"/>
        <v>1.2217632641811889</v>
      </c>
      <c r="N229" s="31">
        <f t="shared" si="176"/>
        <v>1.2534140939853051</v>
      </c>
      <c r="O229" s="31">
        <f t="shared" si="176"/>
        <v>1.3277107348529265</v>
      </c>
      <c r="P229" s="31">
        <f t="shared" ref="P229:T229" si="177">P21/P162</f>
        <v>1.3237964232128767</v>
      </c>
      <c r="Q229" s="31">
        <f t="shared" si="177"/>
        <v>1.3283193452557709</v>
      </c>
      <c r="R229" s="31">
        <f t="shared" si="177"/>
        <v>1.3880194258485206</v>
      </c>
      <c r="S229" s="31">
        <f t="shared" si="177"/>
        <v>1.4223878824325915</v>
      </c>
      <c r="T229" s="31">
        <f t="shared" si="177"/>
        <v>1.4402711754810507</v>
      </c>
    </row>
    <row r="230" spans="2:20" ht="15" customHeight="1">
      <c r="B230" s="345" t="s">
        <v>325</v>
      </c>
      <c r="C230" s="31">
        <f t="shared" si="167"/>
        <v>1</v>
      </c>
      <c r="D230" s="31">
        <f t="shared" si="167"/>
        <v>1.0470548741505443</v>
      </c>
      <c r="E230" s="31">
        <f t="shared" si="167"/>
        <v>0.8651735829528262</v>
      </c>
      <c r="F230" s="31">
        <f t="shared" si="167"/>
        <v>1.2510939436192905</v>
      </c>
      <c r="G230" s="31">
        <f t="shared" si="167"/>
        <v>1.1871473607018899</v>
      </c>
      <c r="H230" s="31">
        <f t="shared" si="167"/>
        <v>1.1871473607018899</v>
      </c>
      <c r="I230" s="31">
        <f t="shared" si="167"/>
        <v>1.2638172185038881</v>
      </c>
      <c r="J230" s="31">
        <f t="shared" ref="J230:O230" si="178">J22/J163</f>
        <v>1.3178279416895009</v>
      </c>
      <c r="K230" s="31">
        <f t="shared" si="178"/>
        <v>1.3178279416895005</v>
      </c>
      <c r="L230" s="31">
        <f t="shared" si="178"/>
        <v>1.32456874957538</v>
      </c>
      <c r="M230" s="31">
        <f t="shared" si="178"/>
        <v>1.3542412673653395</v>
      </c>
      <c r="N230" s="31">
        <f t="shared" si="178"/>
        <v>1.3663617584678351</v>
      </c>
      <c r="O230" s="31">
        <f t="shared" si="178"/>
        <v>1.366361758467834</v>
      </c>
      <c r="P230" s="31">
        <f t="shared" ref="P230:T230" si="179">P22/P163</f>
        <v>1.3663617584678338</v>
      </c>
      <c r="Q230" s="31">
        <f t="shared" si="179"/>
        <v>1.3663617584678345</v>
      </c>
      <c r="R230" s="31">
        <f t="shared" si="179"/>
        <v>1.3663617584678343</v>
      </c>
      <c r="S230" s="31">
        <f t="shared" si="179"/>
        <v>1.3663617584678345</v>
      </c>
      <c r="T230" s="31">
        <f t="shared" si="179"/>
        <v>1.5329346111144642</v>
      </c>
    </row>
    <row r="231" spans="2:20" ht="15" customHeight="1">
      <c r="B231" s="345" t="s">
        <v>326</v>
      </c>
      <c r="C231" s="31">
        <f t="shared" si="167"/>
        <v>1</v>
      </c>
      <c r="D231" s="31">
        <f t="shared" si="167"/>
        <v>1.2001587982555211</v>
      </c>
      <c r="E231" s="31">
        <f t="shared" si="167"/>
        <v>1.2622330656471741</v>
      </c>
      <c r="F231" s="31">
        <f t="shared" si="167"/>
        <v>1.1570663066021349</v>
      </c>
      <c r="G231" s="31">
        <f t="shared" si="167"/>
        <v>1.1760461765468282</v>
      </c>
      <c r="H231" s="31">
        <f t="shared" si="167"/>
        <v>1.1760461765468282</v>
      </c>
      <c r="I231" s="31">
        <f t="shared" si="167"/>
        <v>1.1916729646888837</v>
      </c>
      <c r="J231" s="31">
        <f t="shared" ref="J231:O231" si="180">J23/J164</f>
        <v>1.3382444671940001</v>
      </c>
      <c r="K231" s="31">
        <f t="shared" si="180"/>
        <v>1.2573022439800725</v>
      </c>
      <c r="L231" s="31">
        <f t="shared" si="180"/>
        <v>1.357479985568333</v>
      </c>
      <c r="M231" s="31">
        <f t="shared" si="180"/>
        <v>1.3986424304564045</v>
      </c>
      <c r="N231" s="31">
        <f t="shared" si="180"/>
        <v>1.2154776939183438</v>
      </c>
      <c r="O231" s="31">
        <f t="shared" si="180"/>
        <v>1.370043537293443</v>
      </c>
      <c r="P231" s="31">
        <f t="shared" ref="P231:T231" si="181">P23/P164</f>
        <v>1.3861781942337215</v>
      </c>
      <c r="Q231" s="31">
        <f t="shared" si="181"/>
        <v>1.4008367797011425</v>
      </c>
      <c r="R231" s="31">
        <f t="shared" si="181"/>
        <v>1.3393402212597036</v>
      </c>
      <c r="S231" s="31">
        <f t="shared" si="181"/>
        <v>1.3256574905761096</v>
      </c>
      <c r="T231" s="31">
        <f t="shared" si="181"/>
        <v>1.3465900311809209</v>
      </c>
    </row>
    <row r="232" spans="2:20" ht="15" customHeight="1">
      <c r="B232" s="345" t="s">
        <v>327</v>
      </c>
      <c r="C232" s="31">
        <f t="shared" si="167"/>
        <v>1</v>
      </c>
      <c r="D232" s="31">
        <f t="shared" si="167"/>
        <v>1.0783893585989406</v>
      </c>
      <c r="E232" s="31">
        <f t="shared" si="167"/>
        <v>1.0536371733279724</v>
      </c>
      <c r="F232" s="31">
        <f t="shared" si="167"/>
        <v>1.0833562907775121</v>
      </c>
      <c r="G232" s="31">
        <f t="shared" si="167"/>
        <v>1.0433727529842756</v>
      </c>
      <c r="H232" s="31">
        <f t="shared" si="167"/>
        <v>1.0433727529842756</v>
      </c>
      <c r="I232" s="31">
        <f t="shared" si="167"/>
        <v>1.3675608435571287</v>
      </c>
      <c r="J232" s="31">
        <f t="shared" ref="J232:O232" si="182">J24/J165</f>
        <v>1.4204627409481425</v>
      </c>
      <c r="K232" s="31">
        <f t="shared" si="182"/>
        <v>1.4277192729777148</v>
      </c>
      <c r="L232" s="31">
        <f t="shared" si="182"/>
        <v>1.4528811602598697</v>
      </c>
      <c r="M232" s="31">
        <f t="shared" si="182"/>
        <v>1.5846921852729245</v>
      </c>
      <c r="N232" s="31">
        <f t="shared" si="182"/>
        <v>1.5554715273535742</v>
      </c>
      <c r="O232" s="31">
        <f t="shared" si="182"/>
        <v>1.4919261063949318</v>
      </c>
      <c r="P232" s="31">
        <f t="shared" ref="P232:T232" si="183">P24/P165</f>
        <v>1.4817357812352534</v>
      </c>
      <c r="Q232" s="31">
        <f t="shared" si="183"/>
        <v>1.5148070783639003</v>
      </c>
      <c r="R232" s="31">
        <f t="shared" si="183"/>
        <v>1.5118384396459195</v>
      </c>
      <c r="S232" s="31">
        <f t="shared" si="183"/>
        <v>1.5174344388693461</v>
      </c>
      <c r="T232" s="31">
        <f t="shared" si="183"/>
        <v>1.5028430036548295</v>
      </c>
    </row>
    <row r="233" spans="2:20" ht="15" customHeight="1">
      <c r="B233" s="345" t="s">
        <v>328</v>
      </c>
      <c r="C233" s="31">
        <f t="shared" si="167"/>
        <v>1</v>
      </c>
      <c r="D233" s="31">
        <f t="shared" si="167"/>
        <v>1.0054176250906095</v>
      </c>
      <c r="E233" s="31">
        <f t="shared" si="167"/>
        <v>1.0233168097102419</v>
      </c>
      <c r="F233" s="31">
        <f t="shared" si="167"/>
        <v>1.0343083315675763</v>
      </c>
      <c r="G233" s="31">
        <f t="shared" si="167"/>
        <v>1.0941273704933108</v>
      </c>
      <c r="H233" s="31">
        <f t="shared" si="167"/>
        <v>1.0941273704933108</v>
      </c>
      <c r="I233" s="31">
        <f t="shared" si="167"/>
        <v>1.0676662075165624</v>
      </c>
      <c r="J233" s="31">
        <f t="shared" ref="J233:O233" si="184">J25/J166</f>
        <v>1.0748227370385603</v>
      </c>
      <c r="K233" s="31">
        <f t="shared" si="184"/>
        <v>1.0721542367399517</v>
      </c>
      <c r="L233" s="31">
        <f t="shared" si="184"/>
        <v>1.1327713898536322</v>
      </c>
      <c r="M233" s="31">
        <f t="shared" si="184"/>
        <v>1.1772581649288851</v>
      </c>
      <c r="N233" s="31">
        <f t="shared" si="184"/>
        <v>1.1837299503618635</v>
      </c>
      <c r="O233" s="31">
        <f t="shared" si="184"/>
        <v>1.1847147272443945</v>
      </c>
      <c r="P233" s="31">
        <f t="shared" ref="P233:T233" si="185">P25/P166</f>
        <v>1.1901926218585155</v>
      </c>
      <c r="Q233" s="31">
        <f t="shared" si="185"/>
        <v>1.1848052124610522</v>
      </c>
      <c r="R233" s="31">
        <f t="shared" si="185"/>
        <v>1.1853025710549816</v>
      </c>
      <c r="S233" s="31">
        <f t="shared" si="185"/>
        <v>1.1933484567262087</v>
      </c>
      <c r="T233" s="31">
        <f t="shared" si="185"/>
        <v>1.2002301448195196</v>
      </c>
    </row>
    <row r="234" spans="2:20" ht="15" customHeight="1">
      <c r="B234" s="345" t="s">
        <v>329</v>
      </c>
      <c r="C234" s="31">
        <f t="shared" si="167"/>
        <v>1</v>
      </c>
      <c r="D234" s="31">
        <f t="shared" si="167"/>
        <v>1.0427612372396566</v>
      </c>
      <c r="E234" s="31">
        <f t="shared" si="167"/>
        <v>1.0687299800236205</v>
      </c>
      <c r="F234" s="31">
        <f t="shared" si="167"/>
        <v>0.95818037522700206</v>
      </c>
      <c r="G234" s="31">
        <f t="shared" si="167"/>
        <v>1.1625361194964599</v>
      </c>
      <c r="H234" s="31">
        <f t="shared" si="167"/>
        <v>1.1625361194964599</v>
      </c>
      <c r="I234" s="31">
        <f t="shared" si="167"/>
        <v>1.3708717002935455</v>
      </c>
      <c r="J234" s="31">
        <f t="shared" ref="J234:O234" si="186">J26/J167</f>
        <v>1.1868629448157295</v>
      </c>
      <c r="K234" s="31">
        <f t="shared" si="186"/>
        <v>1.2211742066380566</v>
      </c>
      <c r="L234" s="31">
        <f t="shared" si="186"/>
        <v>1.2806847298187845</v>
      </c>
      <c r="M234" s="31">
        <f t="shared" si="186"/>
        <v>1.3473234037892821</v>
      </c>
      <c r="N234" s="31">
        <f t="shared" si="186"/>
        <v>1.3787661328390866</v>
      </c>
      <c r="O234" s="31">
        <f t="shared" si="186"/>
        <v>1.3441494726655081</v>
      </c>
      <c r="P234" s="31">
        <f t="shared" ref="P234:T234" si="187">P26/P167</f>
        <v>1.4294437953843828</v>
      </c>
      <c r="Q234" s="31">
        <f t="shared" si="187"/>
        <v>1.3637274153103505</v>
      </c>
      <c r="R234" s="31">
        <f t="shared" si="187"/>
        <v>1.4589695425216191</v>
      </c>
      <c r="S234" s="31">
        <f t="shared" si="187"/>
        <v>1.5187992188186779</v>
      </c>
      <c r="T234" s="31">
        <f t="shared" si="187"/>
        <v>1.472621739030328</v>
      </c>
    </row>
    <row r="235" spans="2:20" ht="15" customHeight="1">
      <c r="B235" s="345" t="s">
        <v>330</v>
      </c>
      <c r="C235" s="31">
        <f t="shared" ref="C235:I244" si="188">C27/C168</f>
        <v>1</v>
      </c>
      <c r="D235" s="31">
        <f t="shared" si="188"/>
        <v>1.1546802728483774</v>
      </c>
      <c r="E235" s="31">
        <f t="shared" si="188"/>
        <v>1.3172206802843323</v>
      </c>
      <c r="F235" s="31">
        <f t="shared" si="188"/>
        <v>2.3989209639037616</v>
      </c>
      <c r="G235" s="31">
        <f t="shared" si="188"/>
        <v>2.3810794383180038</v>
      </c>
      <c r="H235" s="31">
        <f t="shared" si="188"/>
        <v>2.3810794383180038</v>
      </c>
      <c r="I235" s="31">
        <f t="shared" si="188"/>
        <v>2.731088433140171</v>
      </c>
      <c r="J235" s="31">
        <f t="shared" ref="J235:O235" si="189">J27/J168</f>
        <v>2.2760044388728367</v>
      </c>
      <c r="K235" s="31">
        <f t="shared" si="189"/>
        <v>2.7994905452908054</v>
      </c>
      <c r="L235" s="31">
        <f t="shared" si="189"/>
        <v>2.8607652062385776</v>
      </c>
      <c r="M235" s="31">
        <f t="shared" si="189"/>
        <v>2.8392463727060195</v>
      </c>
      <c r="N235" s="31">
        <f t="shared" si="189"/>
        <v>2.8401690833803146</v>
      </c>
      <c r="O235" s="31">
        <f t="shared" si="189"/>
        <v>2.7791516315368541</v>
      </c>
      <c r="P235" s="31">
        <f t="shared" ref="P235:T235" si="190">P27/P168</f>
        <v>2.8863687717455875</v>
      </c>
      <c r="Q235" s="31">
        <f t="shared" si="190"/>
        <v>2.8561305989607448</v>
      </c>
      <c r="R235" s="31">
        <f t="shared" si="190"/>
        <v>2.8638773384954632</v>
      </c>
      <c r="S235" s="31">
        <f t="shared" si="190"/>
        <v>2.8805451265757758</v>
      </c>
      <c r="T235" s="31">
        <f t="shared" si="190"/>
        <v>2.8671356917430799</v>
      </c>
    </row>
    <row r="236" spans="2:20" ht="15" customHeight="1">
      <c r="B236" s="345" t="s">
        <v>331</v>
      </c>
      <c r="C236" s="31">
        <f t="shared" si="188"/>
        <v>1</v>
      </c>
      <c r="D236" s="31">
        <f t="shared" si="188"/>
        <v>0.98954260034832209</v>
      </c>
      <c r="E236" s="31">
        <f t="shared" si="188"/>
        <v>0.97825727589152789</v>
      </c>
      <c r="F236" s="31">
        <f t="shared" si="188"/>
        <v>0.97795815700041</v>
      </c>
      <c r="G236" s="31">
        <f t="shared" si="188"/>
        <v>1.3650806879188166</v>
      </c>
      <c r="H236" s="31">
        <f t="shared" si="188"/>
        <v>1.3650806879188166</v>
      </c>
      <c r="I236" s="31">
        <f t="shared" si="188"/>
        <v>1.5760663604586511</v>
      </c>
      <c r="J236" s="31">
        <f t="shared" ref="J236:O236" si="191">J28/J169</f>
        <v>1.5854368615689225</v>
      </c>
      <c r="K236" s="31">
        <f t="shared" si="191"/>
        <v>1.6590573641771946</v>
      </c>
      <c r="L236" s="31">
        <f t="shared" si="191"/>
        <v>1.6651029073386139</v>
      </c>
      <c r="M236" s="31">
        <f t="shared" si="191"/>
        <v>1.7671429346859382</v>
      </c>
      <c r="N236" s="31">
        <f t="shared" si="191"/>
        <v>1.8189880896020887</v>
      </c>
      <c r="O236" s="31">
        <f t="shared" si="191"/>
        <v>1.6084352485070703</v>
      </c>
      <c r="P236" s="31">
        <f t="shared" ref="P236:T236" si="192">P28/P169</f>
        <v>1.4751202932356575</v>
      </c>
      <c r="Q236" s="31">
        <f t="shared" si="192"/>
        <v>1.4846698379793255</v>
      </c>
      <c r="R236" s="31">
        <f t="shared" si="192"/>
        <v>1.4865993408346991</v>
      </c>
      <c r="S236" s="31">
        <f t="shared" si="192"/>
        <v>1.823745728403029</v>
      </c>
      <c r="T236" s="31">
        <f t="shared" si="192"/>
        <v>1.8676066098696338</v>
      </c>
    </row>
    <row r="237" spans="2:20" ht="15" customHeight="1">
      <c r="B237" s="345" t="s">
        <v>332</v>
      </c>
      <c r="C237" s="31">
        <f t="shared" si="188"/>
        <v>1</v>
      </c>
      <c r="D237" s="31">
        <f t="shared" si="188"/>
        <v>0.98536389669206281</v>
      </c>
      <c r="E237" s="31">
        <f t="shared" si="188"/>
        <v>1.0079607359364651</v>
      </c>
      <c r="F237" s="31">
        <f t="shared" si="188"/>
        <v>1.0409884672531242</v>
      </c>
      <c r="G237" s="31">
        <f t="shared" si="188"/>
        <v>1.6038004169591036</v>
      </c>
      <c r="H237" s="31">
        <f t="shared" si="188"/>
        <v>1.6038004169591036</v>
      </c>
      <c r="I237" s="31">
        <f t="shared" si="188"/>
        <v>1.9292651892346038</v>
      </c>
      <c r="J237" s="31">
        <f t="shared" ref="J237:O237" si="193">J29/J170</f>
        <v>2.1756709701381896</v>
      </c>
      <c r="K237" s="31">
        <f t="shared" si="193"/>
        <v>2.2319075234696668</v>
      </c>
      <c r="L237" s="31">
        <f t="shared" si="193"/>
        <v>2.2192142649479734</v>
      </c>
      <c r="M237" s="31">
        <f t="shared" si="193"/>
        <v>2.2135582191903937</v>
      </c>
      <c r="N237" s="31">
        <f t="shared" si="193"/>
        <v>2.1621668413451776</v>
      </c>
      <c r="O237" s="31">
        <f t="shared" si="193"/>
        <v>2.2150850013586028</v>
      </c>
      <c r="P237" s="31">
        <f t="shared" ref="P237:T237" si="194">P29/P170</f>
        <v>2.2327776309942955</v>
      </c>
      <c r="Q237" s="31">
        <f t="shared" si="194"/>
        <v>2.2236368339984183</v>
      </c>
      <c r="R237" s="31">
        <f t="shared" si="194"/>
        <v>2.2174321718236647</v>
      </c>
      <c r="S237" s="31">
        <f t="shared" si="194"/>
        <v>2.1463953280552808</v>
      </c>
      <c r="T237" s="31">
        <f t="shared" si="194"/>
        <v>2.0648652887435879</v>
      </c>
    </row>
    <row r="238" spans="2:20" ht="15" customHeight="1">
      <c r="B238" s="345" t="s">
        <v>333</v>
      </c>
      <c r="C238" s="31">
        <f t="shared" si="188"/>
        <v>1</v>
      </c>
      <c r="D238" s="31">
        <f t="shared" si="188"/>
        <v>1.0125884105604523</v>
      </c>
      <c r="E238" s="31">
        <f t="shared" si="188"/>
        <v>1.0198454643392005</v>
      </c>
      <c r="F238" s="31">
        <f t="shared" si="188"/>
        <v>1.0358074737339826</v>
      </c>
      <c r="G238" s="31">
        <f t="shared" si="188"/>
        <v>1.4987636114279961</v>
      </c>
      <c r="H238" s="31">
        <f t="shared" si="188"/>
        <v>1.4987636114279961</v>
      </c>
      <c r="I238" s="31">
        <f t="shared" si="188"/>
        <v>1.6791144184630975</v>
      </c>
      <c r="J238" s="31">
        <f t="shared" ref="J238:O238" si="195">J30/J171</f>
        <v>1.5215570393115387</v>
      </c>
      <c r="K238" s="31">
        <f t="shared" si="195"/>
        <v>1.7237568122549878</v>
      </c>
      <c r="L238" s="31">
        <f t="shared" si="195"/>
        <v>1.7937677541138755</v>
      </c>
      <c r="M238" s="31">
        <f t="shared" si="195"/>
        <v>1.8302353397453979</v>
      </c>
      <c r="N238" s="31">
        <f t="shared" si="195"/>
        <v>1.8953584547299587</v>
      </c>
      <c r="O238" s="31">
        <f t="shared" si="195"/>
        <v>1.9268456164692549</v>
      </c>
      <c r="P238" s="31">
        <f t="shared" ref="P238:T238" si="196">P30/P171</f>
        <v>1.9521171029507749</v>
      </c>
      <c r="Q238" s="31">
        <f t="shared" si="196"/>
        <v>1.9415867228525283</v>
      </c>
      <c r="R238" s="31">
        <f t="shared" si="196"/>
        <v>1.950304850256138</v>
      </c>
      <c r="S238" s="31">
        <f t="shared" si="196"/>
        <v>1.9606547887789691</v>
      </c>
      <c r="T238" s="31">
        <f t="shared" si="196"/>
        <v>1.940096858049184</v>
      </c>
    </row>
    <row r="239" spans="2:20" ht="15" customHeight="1">
      <c r="B239" s="345" t="s">
        <v>334</v>
      </c>
      <c r="C239" s="31">
        <f t="shared" si="188"/>
        <v>0.99999999999999989</v>
      </c>
      <c r="D239" s="31">
        <f t="shared" si="188"/>
        <v>1.1938470105952323</v>
      </c>
      <c r="E239" s="31">
        <f t="shared" si="188"/>
        <v>1.2430287679148437</v>
      </c>
      <c r="F239" s="31">
        <f t="shared" si="188"/>
        <v>0.79054028323592473</v>
      </c>
      <c r="G239" s="31">
        <f t="shared" si="188"/>
        <v>1.8880392188670745</v>
      </c>
      <c r="H239" s="31">
        <f t="shared" si="188"/>
        <v>1.8880392188670745</v>
      </c>
      <c r="I239" s="31">
        <f t="shared" si="188"/>
        <v>2.8701921918452005</v>
      </c>
      <c r="J239" s="31">
        <f t="shared" ref="J239:O239" si="197">J31/J172</f>
        <v>0.81863769813690068</v>
      </c>
      <c r="K239" s="31">
        <f t="shared" si="197"/>
        <v>2.7505201186863464</v>
      </c>
      <c r="L239" s="31">
        <f t="shared" si="197"/>
        <v>2.2415781889663009</v>
      </c>
      <c r="M239" s="31">
        <f t="shared" si="197"/>
        <v>2.1111550330660833</v>
      </c>
      <c r="N239" s="31">
        <f t="shared" si="197"/>
        <v>2.7288612236583338</v>
      </c>
      <c r="O239" s="31">
        <f t="shared" si="197"/>
        <v>0.65605577493384948</v>
      </c>
      <c r="P239" s="31">
        <f t="shared" ref="P239:T239" si="198">P31/P172</f>
        <v>4.6535379127099546E-3</v>
      </c>
      <c r="Q239" s="31">
        <f t="shared" si="198"/>
        <v>4.6535379127099546E-3</v>
      </c>
      <c r="R239" s="31">
        <f>IFERROR(R31/R172,0)</f>
        <v>0</v>
      </c>
      <c r="S239" s="31">
        <f t="shared" si="198"/>
        <v>4.6535379127099546E-3</v>
      </c>
      <c r="T239" s="31">
        <f t="shared" si="198"/>
        <v>5.4291275648282811E-3</v>
      </c>
    </row>
    <row r="240" spans="2:20" ht="15" customHeight="1">
      <c r="B240" s="345" t="s">
        <v>335</v>
      </c>
      <c r="C240" s="31">
        <f t="shared" si="188"/>
        <v>1</v>
      </c>
      <c r="D240" s="31">
        <f t="shared" si="188"/>
        <v>1.1185238824533359</v>
      </c>
      <c r="E240" s="31">
        <f t="shared" si="188"/>
        <v>1.2348919449788733</v>
      </c>
      <c r="F240" s="31">
        <f t="shared" si="188"/>
        <v>2.183381383131386</v>
      </c>
      <c r="G240" s="31">
        <f t="shared" si="188"/>
        <v>2.1701923009845543</v>
      </c>
      <c r="H240" s="31">
        <f t="shared" si="188"/>
        <v>2.1701923009845543</v>
      </c>
      <c r="I240" s="31">
        <f t="shared" si="188"/>
        <v>2.4664932879061197</v>
      </c>
      <c r="J240" s="31">
        <f t="shared" ref="J240:O240" si="199">J32/J173</f>
        <v>2.5972263551291879</v>
      </c>
      <c r="K240" s="31">
        <f t="shared" si="199"/>
        <v>2.6107307302313445</v>
      </c>
      <c r="L240" s="31">
        <f t="shared" si="199"/>
        <v>2.6263025005780638</v>
      </c>
      <c r="M240" s="31">
        <f t="shared" si="199"/>
        <v>2.6127317019168319</v>
      </c>
      <c r="N240" s="31">
        <f t="shared" si="199"/>
        <v>2.6040009280154233</v>
      </c>
      <c r="O240" s="31">
        <f t="shared" si="199"/>
        <v>2.6050307925085971</v>
      </c>
      <c r="P240" s="31">
        <f t="shared" ref="P240:T240" si="200">P32/P173</f>
        <v>2.6308231765928243</v>
      </c>
      <c r="Q240" s="31">
        <f t="shared" si="200"/>
        <v>2.6308231765928252</v>
      </c>
      <c r="R240" s="31">
        <f t="shared" si="200"/>
        <v>2.6308231765928261</v>
      </c>
      <c r="S240" s="31">
        <f t="shared" si="200"/>
        <v>2.6047177492849465</v>
      </c>
      <c r="T240" s="31">
        <f t="shared" si="200"/>
        <v>2.6308231765928256</v>
      </c>
    </row>
    <row r="241" spans="2:20" ht="15" customHeight="1">
      <c r="B241" s="345" t="s">
        <v>336</v>
      </c>
      <c r="C241" s="31">
        <f t="shared" si="188"/>
        <v>1</v>
      </c>
      <c r="D241" s="31">
        <f t="shared" si="188"/>
        <v>0.94555314936971302</v>
      </c>
      <c r="E241" s="31">
        <f t="shared" si="188"/>
        <v>0.87664048154787022</v>
      </c>
      <c r="F241" s="31">
        <f t="shared" si="188"/>
        <v>0.89282354763915217</v>
      </c>
      <c r="G241" s="31">
        <f t="shared" si="188"/>
        <v>1.2236979678602813</v>
      </c>
      <c r="H241" s="31">
        <f t="shared" si="188"/>
        <v>1.2236979678602813</v>
      </c>
      <c r="I241" s="31">
        <f t="shared" si="188"/>
        <v>1.4207326121331216</v>
      </c>
      <c r="J241" s="31">
        <f t="shared" ref="J241:O241" si="201">J33/J174</f>
        <v>1.4822658028808449</v>
      </c>
      <c r="K241" s="31">
        <f t="shared" si="201"/>
        <v>1.5343397134412182</v>
      </c>
      <c r="L241" s="31">
        <f t="shared" si="201"/>
        <v>1.5811049160863129</v>
      </c>
      <c r="M241" s="31">
        <f t="shared" si="201"/>
        <v>1.7105720933446644</v>
      </c>
      <c r="N241" s="31">
        <f t="shared" si="201"/>
        <v>1.6976040817028359</v>
      </c>
      <c r="O241" s="31">
        <f t="shared" si="201"/>
        <v>1.489877580451195</v>
      </c>
      <c r="P241" s="31">
        <f t="shared" ref="P241:T241" si="202">P33/P174</f>
        <v>1.3243163230861008</v>
      </c>
      <c r="Q241" s="31">
        <f t="shared" si="202"/>
        <v>1.3715966834145419</v>
      </c>
      <c r="R241" s="31">
        <f t="shared" si="202"/>
        <v>1.4403921494734173</v>
      </c>
      <c r="S241" s="31">
        <f t="shared" si="202"/>
        <v>1.7215737743986419</v>
      </c>
      <c r="T241" s="31">
        <f t="shared" si="202"/>
        <v>1.8585995479401571</v>
      </c>
    </row>
    <row r="242" spans="2:20" ht="15" customHeight="1">
      <c r="B242" s="345" t="s">
        <v>337</v>
      </c>
      <c r="C242" s="31">
        <f t="shared" si="188"/>
        <v>1</v>
      </c>
      <c r="D242" s="31">
        <f t="shared" si="188"/>
        <v>0.99179192197092492</v>
      </c>
      <c r="E242" s="31">
        <f t="shared" si="188"/>
        <v>1.0142310383630564</v>
      </c>
      <c r="F242" s="31">
        <f t="shared" si="188"/>
        <v>1.0482118575503399</v>
      </c>
      <c r="G242" s="31">
        <f t="shared" si="188"/>
        <v>1.6571483011327872</v>
      </c>
      <c r="H242" s="31">
        <f t="shared" si="188"/>
        <v>1.6571483011327872</v>
      </c>
      <c r="I242" s="31">
        <f t="shared" si="188"/>
        <v>2.064777917067818</v>
      </c>
      <c r="J242" s="31">
        <f t="shared" ref="J242:O242" si="203">J34/J175</f>
        <v>2.2783010046417655</v>
      </c>
      <c r="K242" s="31">
        <f t="shared" si="203"/>
        <v>2.3391739564197196</v>
      </c>
      <c r="L242" s="31">
        <f t="shared" si="203"/>
        <v>2.3619658199898073</v>
      </c>
      <c r="M242" s="31">
        <f t="shared" si="203"/>
        <v>2.3634815890239627</v>
      </c>
      <c r="N242" s="31">
        <f t="shared" si="203"/>
        <v>2.2749133448484917</v>
      </c>
      <c r="O242" s="31">
        <f t="shared" si="203"/>
        <v>2.3122428513890072</v>
      </c>
      <c r="P242" s="31">
        <f t="shared" ref="P242:T242" si="204">P34/P175</f>
        <v>2.3527845470882656</v>
      </c>
      <c r="Q242" s="31">
        <f t="shared" si="204"/>
        <v>2.3225134725079477</v>
      </c>
      <c r="R242" s="31">
        <f t="shared" si="204"/>
        <v>2.28321869532282</v>
      </c>
      <c r="S242" s="31">
        <f t="shared" si="204"/>
        <v>2.2195736474537444</v>
      </c>
      <c r="T242" s="31">
        <f t="shared" si="204"/>
        <v>2.161879297901188</v>
      </c>
    </row>
    <row r="243" spans="2:20" ht="15" customHeight="1">
      <c r="B243" s="345" t="s">
        <v>338</v>
      </c>
      <c r="C243" s="31">
        <f t="shared" si="188"/>
        <v>1</v>
      </c>
      <c r="D243" s="31">
        <f t="shared" si="188"/>
        <v>1.0185324278179466</v>
      </c>
      <c r="E243" s="31">
        <f t="shared" si="188"/>
        <v>1.0293974000477075</v>
      </c>
      <c r="F243" s="31">
        <f t="shared" si="188"/>
        <v>1.0417031424088403</v>
      </c>
      <c r="G243" s="31">
        <f t="shared" si="188"/>
        <v>1.5055611032773428</v>
      </c>
      <c r="H243" s="31">
        <f t="shared" si="188"/>
        <v>1.5055611032773428</v>
      </c>
      <c r="I243" s="31">
        <f t="shared" si="188"/>
        <v>1.6865242255692381</v>
      </c>
      <c r="J243" s="31">
        <f t="shared" ref="J243:O243" si="205">J35/J176</f>
        <v>1.707029666880455</v>
      </c>
      <c r="K243" s="31">
        <f t="shared" si="205"/>
        <v>1.6947421100602751</v>
      </c>
      <c r="L243" s="31">
        <f t="shared" si="205"/>
        <v>1.7012475135134211</v>
      </c>
      <c r="M243" s="31">
        <f t="shared" si="205"/>
        <v>1.7874590924758362</v>
      </c>
      <c r="N243" s="31">
        <f t="shared" si="205"/>
        <v>1.9066108249544726</v>
      </c>
      <c r="O243" s="31">
        <f t="shared" si="205"/>
        <v>1.9310590856964522</v>
      </c>
      <c r="P243" s="31">
        <f t="shared" ref="P243:T243" si="206">P35/P176</f>
        <v>1.9663399444480183</v>
      </c>
      <c r="Q243" s="31">
        <f t="shared" si="206"/>
        <v>1.9711210299268886</v>
      </c>
      <c r="R243" s="31">
        <f t="shared" si="206"/>
        <v>1.9718139564690789</v>
      </c>
      <c r="S243" s="31">
        <f t="shared" si="206"/>
        <v>1.9711749986191887</v>
      </c>
      <c r="T243" s="31">
        <f t="shared" si="206"/>
        <v>1.9741706769258371</v>
      </c>
    </row>
    <row r="244" spans="2:20" ht="15" customHeight="1">
      <c r="B244" s="345" t="s">
        <v>339</v>
      </c>
      <c r="C244" s="31">
        <f t="shared" si="188"/>
        <v>1</v>
      </c>
      <c r="D244" s="31">
        <f t="shared" si="188"/>
        <v>1.0985517651911416</v>
      </c>
      <c r="E244" s="31">
        <f t="shared" si="188"/>
        <v>1.6373896431880883</v>
      </c>
      <c r="F244" s="31">
        <f t="shared" si="188"/>
        <v>1.1327976513349394</v>
      </c>
      <c r="G244" s="31">
        <f t="shared" si="188"/>
        <v>2.3153506966754365</v>
      </c>
      <c r="H244" s="31">
        <f t="shared" si="188"/>
        <v>2.3153506966754365</v>
      </c>
      <c r="I244" s="31">
        <f t="shared" si="188"/>
        <v>2.8203657947444216</v>
      </c>
      <c r="J244" s="31">
        <f t="shared" ref="J244:O244" si="207">J36/J177</f>
        <v>2.8807149234646015</v>
      </c>
      <c r="K244" s="31">
        <f t="shared" si="207"/>
        <v>2.8807149234646006</v>
      </c>
      <c r="L244" s="31">
        <f t="shared" si="207"/>
        <v>2.8291600335608722</v>
      </c>
      <c r="M244" s="31">
        <f t="shared" si="207"/>
        <v>3.0582944599865884</v>
      </c>
      <c r="N244" s="31">
        <f t="shared" si="207"/>
        <v>3.0667692782144487</v>
      </c>
      <c r="O244" s="31">
        <f t="shared" si="207"/>
        <v>2.7389389762293486</v>
      </c>
      <c r="P244" s="31">
        <f>IFERROR(P36/P177,0)</f>
        <v>0</v>
      </c>
      <c r="Q244" s="31">
        <f t="shared" ref="Q244:S244" si="208">Q36/Q177</f>
        <v>2.1968222188728888</v>
      </c>
      <c r="R244" s="31">
        <f>IFERROR(R36/R177,0)</f>
        <v>0</v>
      </c>
      <c r="S244" s="31">
        <f t="shared" si="208"/>
        <v>3.9164626308081148E-3</v>
      </c>
      <c r="T244" s="31">
        <f>IFERROR(T36/T177,0)</f>
        <v>0</v>
      </c>
    </row>
    <row r="245" spans="2:20" ht="15" customHeight="1">
      <c r="B245" s="345" t="s">
        <v>340</v>
      </c>
      <c r="C245" s="31">
        <f t="shared" ref="C245:I254" si="209">C37/C178</f>
        <v>0.99999999999999989</v>
      </c>
      <c r="D245" s="31">
        <f t="shared" si="209"/>
        <v>1.1647996982116955</v>
      </c>
      <c r="E245" s="31">
        <f t="shared" si="209"/>
        <v>1.3259320672039623</v>
      </c>
      <c r="F245" s="31">
        <f t="shared" si="209"/>
        <v>2.4274216582669519</v>
      </c>
      <c r="G245" s="31">
        <f t="shared" si="209"/>
        <v>2.4090757052402934</v>
      </c>
      <c r="H245" s="31">
        <f t="shared" si="209"/>
        <v>2.4090757052402934</v>
      </c>
      <c r="I245" s="31">
        <f t="shared" si="209"/>
        <v>2.7663094853507477</v>
      </c>
      <c r="J245" s="31">
        <f t="shared" ref="J245:O245" si="210">J37/J178</f>
        <v>2.6867495574696156</v>
      </c>
      <c r="K245" s="31">
        <f t="shared" si="210"/>
        <v>2.8332470104147327</v>
      </c>
      <c r="L245" s="31">
        <f t="shared" si="210"/>
        <v>2.8910569274352462</v>
      </c>
      <c r="M245" s="31">
        <f t="shared" si="210"/>
        <v>2.8772084252394858</v>
      </c>
      <c r="N245" s="31">
        <f t="shared" si="210"/>
        <v>2.8798681215032951</v>
      </c>
      <c r="O245" s="31">
        <f t="shared" si="210"/>
        <v>2.8763082311769446</v>
      </c>
      <c r="P245" s="31">
        <f t="shared" ref="P245:T245" si="211">P37/P178</f>
        <v>2.9210335730156101</v>
      </c>
      <c r="Q245" s="31">
        <f t="shared" si="211"/>
        <v>2.8986092365563363</v>
      </c>
      <c r="R245" s="31">
        <f t="shared" si="211"/>
        <v>2.9012791469601948</v>
      </c>
      <c r="S245" s="31">
        <f t="shared" si="211"/>
        <v>2.9154020172687423</v>
      </c>
      <c r="T245" s="31">
        <f t="shared" si="211"/>
        <v>2.9029153596701152</v>
      </c>
    </row>
    <row r="246" spans="2:20" ht="15" customHeight="1">
      <c r="B246" s="345" t="s">
        <v>341</v>
      </c>
      <c r="C246" s="31">
        <f t="shared" si="209"/>
        <v>1</v>
      </c>
      <c r="D246" s="31">
        <f t="shared" si="209"/>
        <v>0.98031930769145847</v>
      </c>
      <c r="E246" s="31">
        <f t="shared" si="209"/>
        <v>0.96236700370577499</v>
      </c>
      <c r="F246" s="31">
        <f t="shared" si="209"/>
        <v>0.95741374859436013</v>
      </c>
      <c r="G246" s="31">
        <f t="shared" si="209"/>
        <v>1.3476420619949725</v>
      </c>
      <c r="H246" s="31">
        <f t="shared" si="209"/>
        <v>1.3476420619949725</v>
      </c>
      <c r="I246" s="31">
        <f t="shared" si="209"/>
        <v>1.5530997665459993</v>
      </c>
      <c r="J246" s="31">
        <f t="shared" ref="J246:O246" si="212">J38/J179</f>
        <v>1.5713476257063792</v>
      </c>
      <c r="K246" s="31">
        <f t="shared" si="212"/>
        <v>1.6391468912514155</v>
      </c>
      <c r="L246" s="31">
        <f t="shared" si="212"/>
        <v>1.6538511021357247</v>
      </c>
      <c r="M246" s="31">
        <f t="shared" si="212"/>
        <v>1.757627089931922</v>
      </c>
      <c r="N246" s="31">
        <f t="shared" si="212"/>
        <v>1.8005763614774661</v>
      </c>
      <c r="O246" s="31">
        <f t="shared" si="212"/>
        <v>1.6161156407527966</v>
      </c>
      <c r="P246" s="31">
        <f t="shared" ref="P246:T246" si="213">P38/P179</f>
        <v>1.4848925652833271</v>
      </c>
      <c r="Q246" s="31">
        <f t="shared" si="213"/>
        <v>1.5022434581532047</v>
      </c>
      <c r="R246" s="31">
        <f t="shared" si="213"/>
        <v>1.5080773958206908</v>
      </c>
      <c r="S246" s="31">
        <f t="shared" si="213"/>
        <v>1.8047644569959229</v>
      </c>
      <c r="T246" s="31">
        <f t="shared" si="213"/>
        <v>1.8467747711963258</v>
      </c>
    </row>
    <row r="247" spans="2:20" ht="15" customHeight="1">
      <c r="B247" s="345" t="s">
        <v>342</v>
      </c>
      <c r="C247" s="31">
        <f t="shared" si="209"/>
        <v>1</v>
      </c>
      <c r="D247" s="31">
        <f t="shared" si="209"/>
        <v>0.98935510065222343</v>
      </c>
      <c r="E247" s="31">
        <f t="shared" si="209"/>
        <v>1.0115798061496482</v>
      </c>
      <c r="F247" s="31">
        <f t="shared" si="209"/>
        <v>1.0470262457504464</v>
      </c>
      <c r="G247" s="31">
        <f t="shared" si="209"/>
        <v>1.6201748201805442</v>
      </c>
      <c r="H247" s="31">
        <f t="shared" si="209"/>
        <v>1.6201748201805442</v>
      </c>
      <c r="I247" s="31">
        <f t="shared" si="209"/>
        <v>2.2716729322683094</v>
      </c>
      <c r="J247" s="31">
        <f t="shared" ref="J247:O247" si="214">J39/J180</f>
        <v>2.1878163106505726</v>
      </c>
      <c r="K247" s="31">
        <f t="shared" si="214"/>
        <v>2.2365638169291975</v>
      </c>
      <c r="L247" s="31">
        <f t="shared" si="214"/>
        <v>2.2043056563018992</v>
      </c>
      <c r="M247" s="31">
        <f t="shared" si="214"/>
        <v>2.2210351880728618</v>
      </c>
      <c r="N247" s="31">
        <f t="shared" si="214"/>
        <v>2.1790616606320792</v>
      </c>
      <c r="O247" s="31">
        <f t="shared" si="214"/>
        <v>2.2282742551997137</v>
      </c>
      <c r="P247" s="31">
        <f t="shared" ref="P247:T247" si="215">P39/P180</f>
        <v>2.2601819301692849</v>
      </c>
      <c r="Q247" s="31">
        <f t="shared" si="215"/>
        <v>2.2359251847638886</v>
      </c>
      <c r="R247" s="31">
        <f t="shared" si="215"/>
        <v>2.2130798229487083</v>
      </c>
      <c r="S247" s="31">
        <f t="shared" si="215"/>
        <v>2.1583631650513317</v>
      </c>
      <c r="T247" s="31">
        <f t="shared" si="215"/>
        <v>2.1004530352084552</v>
      </c>
    </row>
    <row r="248" spans="2:20" ht="15" customHeight="1">
      <c r="B248" s="345" t="s">
        <v>343</v>
      </c>
      <c r="C248" s="31">
        <f t="shared" si="209"/>
        <v>1</v>
      </c>
      <c r="D248" s="31">
        <f t="shared" si="209"/>
        <v>1.0055226607305434</v>
      </c>
      <c r="E248" s="31">
        <f t="shared" si="209"/>
        <v>0.9977698959946889</v>
      </c>
      <c r="F248" s="31">
        <f t="shared" si="209"/>
        <v>0.99830126160126076</v>
      </c>
      <c r="G248" s="31">
        <f t="shared" si="209"/>
        <v>1.4354182007116378</v>
      </c>
      <c r="H248" s="31">
        <f t="shared" si="209"/>
        <v>1.4354182007116378</v>
      </c>
      <c r="I248" s="31">
        <f t="shared" si="209"/>
        <v>2.2535071159740565</v>
      </c>
      <c r="J248" s="31">
        <f t="shared" ref="J248:O248" si="216">J40/J181</f>
        <v>1.5398460128530929</v>
      </c>
      <c r="K248" s="31">
        <f t="shared" si="216"/>
        <v>1.6862516589647589</v>
      </c>
      <c r="L248" s="31">
        <f t="shared" si="216"/>
        <v>1.7573891427398349</v>
      </c>
      <c r="M248" s="31">
        <f t="shared" si="216"/>
        <v>1.8156752676648089</v>
      </c>
      <c r="N248" s="31">
        <f t="shared" si="216"/>
        <v>1.8942674832818245</v>
      </c>
      <c r="O248" s="31">
        <f t="shared" si="216"/>
        <v>1.9270726380900511</v>
      </c>
      <c r="P248" s="31">
        <f t="shared" ref="P248:T248" si="217">P40/P181</f>
        <v>1.9567029693741131</v>
      </c>
      <c r="Q248" s="31">
        <f t="shared" si="217"/>
        <v>1.9547206738700618</v>
      </c>
      <c r="R248" s="31">
        <f t="shared" si="217"/>
        <v>1.961596100554811</v>
      </c>
      <c r="S248" s="31">
        <f t="shared" si="217"/>
        <v>1.9683947427066684</v>
      </c>
      <c r="T248" s="31">
        <f t="shared" si="217"/>
        <v>1.9572374786706552</v>
      </c>
    </row>
    <row r="249" spans="2:20" ht="15" customHeight="1">
      <c r="B249" s="345" t="s">
        <v>344</v>
      </c>
      <c r="C249" s="31">
        <f t="shared" si="209"/>
        <v>1</v>
      </c>
      <c r="D249" s="31">
        <f t="shared" si="209"/>
        <v>1.1314640718663203</v>
      </c>
      <c r="E249" s="31">
        <f t="shared" si="209"/>
        <v>1.3819673993241239</v>
      </c>
      <c r="F249" s="31">
        <f t="shared" si="209"/>
        <v>0.85788159962366628</v>
      </c>
      <c r="G249" s="31">
        <f t="shared" si="209"/>
        <v>2.2533340811579103</v>
      </c>
      <c r="H249" s="31">
        <f t="shared" si="209"/>
        <v>2.2533340811579103</v>
      </c>
      <c r="I249" s="31">
        <f t="shared" si="209"/>
        <v>2.9167034985910241</v>
      </c>
      <c r="J249" s="31">
        <f t="shared" ref="J249:O249" si="218">J41/J182</f>
        <v>1.7149309428886319</v>
      </c>
      <c r="K249" s="31">
        <f t="shared" si="218"/>
        <v>2.8612343906810001</v>
      </c>
      <c r="L249" s="31">
        <f t="shared" si="218"/>
        <v>2.6613639345585929</v>
      </c>
      <c r="M249" s="31">
        <f t="shared" si="218"/>
        <v>2.8606766584577326</v>
      </c>
      <c r="N249" s="31">
        <f t="shared" si="218"/>
        <v>2.9660505206769465</v>
      </c>
      <c r="O249" s="31">
        <f t="shared" si="218"/>
        <v>1.425651222518372</v>
      </c>
      <c r="P249" s="31">
        <f t="shared" ref="P249:T249" si="219">P41/P182</f>
        <v>4.6808655564184653E-3</v>
      </c>
      <c r="Q249" s="31">
        <f t="shared" si="219"/>
        <v>4.6808655564184653E-3</v>
      </c>
      <c r="R249" s="31">
        <f t="shared" si="219"/>
        <v>4.6808655564184653E-3</v>
      </c>
      <c r="S249" s="31">
        <f>IFERROR(S41/S182,0)</f>
        <v>0</v>
      </c>
      <c r="T249" s="31">
        <f t="shared" si="219"/>
        <v>5.4610098158215433E-3</v>
      </c>
    </row>
    <row r="250" spans="2:20" ht="15" customHeight="1">
      <c r="B250" s="345" t="s">
        <v>345</v>
      </c>
      <c r="C250" s="31">
        <f t="shared" si="209"/>
        <v>1</v>
      </c>
      <c r="D250" s="31">
        <f t="shared" si="209"/>
        <v>1.0823617541976187</v>
      </c>
      <c r="E250" s="31">
        <f t="shared" si="209"/>
        <v>1.1513171426129716</v>
      </c>
      <c r="F250" s="31">
        <f t="shared" si="209"/>
        <v>1.9065983767924839</v>
      </c>
      <c r="G250" s="31">
        <f t="shared" si="209"/>
        <v>1.8976789053488083</v>
      </c>
      <c r="H250" s="31">
        <f t="shared" si="209"/>
        <v>1.8976789053488083</v>
      </c>
      <c r="I250" s="31">
        <f t="shared" si="209"/>
        <v>2.1388684198104735</v>
      </c>
      <c r="J250" s="31">
        <f t="shared" ref="J250:O250" si="220">J42/J183</f>
        <v>2.2919446926431353</v>
      </c>
      <c r="K250" s="31">
        <f t="shared" si="220"/>
        <v>2.2810487996910793</v>
      </c>
      <c r="L250" s="31">
        <f t="shared" si="220"/>
        <v>2.301317446666876</v>
      </c>
      <c r="M250" s="31">
        <f t="shared" si="220"/>
        <v>2.2877234740443715</v>
      </c>
      <c r="N250" s="31">
        <f t="shared" si="220"/>
        <v>2.2724721612138641</v>
      </c>
      <c r="O250" s="31">
        <f t="shared" si="220"/>
        <v>2.2973188453801625</v>
      </c>
      <c r="P250" s="31">
        <f t="shared" ref="P250:T250" si="221">P42/P183</f>
        <v>2.2973188453801581</v>
      </c>
      <c r="Q250" s="31">
        <f t="shared" si="221"/>
        <v>2.2996970222387287</v>
      </c>
      <c r="R250" s="31">
        <f t="shared" si="221"/>
        <v>2.2973188453801558</v>
      </c>
      <c r="S250" s="31">
        <f t="shared" si="221"/>
        <v>2.2431062877875285</v>
      </c>
      <c r="T250" s="31">
        <f t="shared" si="221"/>
        <v>2.2973188453801581</v>
      </c>
    </row>
    <row r="251" spans="2:20" ht="15" customHeight="1">
      <c r="B251" s="345" t="s">
        <v>346</v>
      </c>
      <c r="C251" s="31">
        <f t="shared" si="209"/>
        <v>1.0000000000000002</v>
      </c>
      <c r="D251" s="31">
        <f t="shared" si="209"/>
        <v>0.99535588277970621</v>
      </c>
      <c r="E251" s="31">
        <f t="shared" si="209"/>
        <v>0.82605383804924137</v>
      </c>
      <c r="F251" s="31">
        <f t="shared" si="209"/>
        <v>0.93942982923377161</v>
      </c>
      <c r="G251" s="31">
        <f t="shared" si="209"/>
        <v>1.1043292963562801</v>
      </c>
      <c r="H251" s="31">
        <f t="shared" si="209"/>
        <v>1.1043292963562801</v>
      </c>
      <c r="I251" s="31">
        <f t="shared" si="209"/>
        <v>1.3522303683275401</v>
      </c>
      <c r="J251" s="31">
        <f t="shared" ref="J251:O251" si="222">J43/J184</f>
        <v>1.3682943954457345</v>
      </c>
      <c r="K251" s="31">
        <f t="shared" si="222"/>
        <v>1.3988854891788975</v>
      </c>
      <c r="L251" s="31">
        <f t="shared" si="222"/>
        <v>1.2932302128758943</v>
      </c>
      <c r="M251" s="31">
        <f t="shared" si="222"/>
        <v>1.4929342136195842</v>
      </c>
      <c r="N251" s="31">
        <f t="shared" si="222"/>
        <v>1.4909380100407092</v>
      </c>
      <c r="O251" s="31">
        <f t="shared" si="222"/>
        <v>1.1545456683741331</v>
      </c>
      <c r="P251" s="31">
        <f t="shared" ref="P251:T251" si="223">P43/P184</f>
        <v>1.132102612522899</v>
      </c>
      <c r="Q251" s="31">
        <f t="shared" si="223"/>
        <v>1.1528417797773602</v>
      </c>
      <c r="R251" s="31">
        <f t="shared" si="223"/>
        <v>1.1887397390338139</v>
      </c>
      <c r="S251" s="31">
        <f t="shared" si="223"/>
        <v>1.678835903551317</v>
      </c>
      <c r="T251" s="31">
        <f t="shared" si="223"/>
        <v>1.9132648584287986</v>
      </c>
    </row>
    <row r="252" spans="2:20" ht="15" customHeight="1">
      <c r="B252" s="345" t="s">
        <v>347</v>
      </c>
      <c r="C252" s="31">
        <f t="shared" si="209"/>
        <v>1</v>
      </c>
      <c r="D252" s="31">
        <f t="shared" si="209"/>
        <v>0.98666425488732745</v>
      </c>
      <c r="E252" s="31">
        <f t="shared" si="209"/>
        <v>1.0150984639962652</v>
      </c>
      <c r="F252" s="31">
        <f t="shared" si="209"/>
        <v>23.231502376970013</v>
      </c>
      <c r="G252" s="31">
        <f t="shared" si="209"/>
        <v>41.921550950281762</v>
      </c>
      <c r="H252" s="31">
        <f t="shared" si="209"/>
        <v>41.921550950281762</v>
      </c>
      <c r="I252" s="31">
        <f t="shared" si="209"/>
        <v>2.1480850560228233</v>
      </c>
      <c r="J252" s="31">
        <f t="shared" ref="J252:O252" si="224">J44/J185</f>
        <v>2.2469259927365619</v>
      </c>
      <c r="K252" s="31">
        <f t="shared" si="224"/>
        <v>2.2839943826185527</v>
      </c>
      <c r="L252" s="31">
        <f t="shared" si="224"/>
        <v>2.3441015087820469</v>
      </c>
      <c r="M252" s="31">
        <f t="shared" si="224"/>
        <v>2.3281427071500178</v>
      </c>
      <c r="N252" s="31">
        <f t="shared" si="224"/>
        <v>2.2542257646603012</v>
      </c>
      <c r="O252" s="31">
        <f t="shared" si="224"/>
        <v>2.2707642396497758</v>
      </c>
      <c r="P252" s="31">
        <f t="shared" ref="P252:T252" si="225">P44/P185</f>
        <v>2.2965852027256943</v>
      </c>
      <c r="Q252" s="31">
        <f t="shared" si="225"/>
        <v>2.3010019988207193</v>
      </c>
      <c r="R252" s="31">
        <f t="shared" si="225"/>
        <v>2.2894662189169992</v>
      </c>
      <c r="S252" s="31">
        <f t="shared" si="225"/>
        <v>2.1767832281140453</v>
      </c>
      <c r="T252" s="31">
        <f t="shared" si="225"/>
        <v>2.0783248125783778</v>
      </c>
    </row>
    <row r="253" spans="2:20" ht="15" customHeight="1">
      <c r="B253" s="345" t="s">
        <v>348</v>
      </c>
      <c r="C253" s="31">
        <f t="shared" si="209"/>
        <v>1</v>
      </c>
      <c r="D253" s="31">
        <f t="shared" si="209"/>
        <v>1.0002166909569505</v>
      </c>
      <c r="E253" s="31">
        <f t="shared" si="209"/>
        <v>1.0187936434130223</v>
      </c>
      <c r="F253" s="31">
        <f t="shared" si="209"/>
        <v>1.4152396772990972</v>
      </c>
      <c r="G253" s="31">
        <f t="shared" si="209"/>
        <v>3.3464113440625471</v>
      </c>
      <c r="H253" s="31">
        <f t="shared" si="209"/>
        <v>3.3464113440625471</v>
      </c>
      <c r="I253" s="31">
        <f t="shared" si="209"/>
        <v>1.5546008205014343</v>
      </c>
      <c r="J253" s="31">
        <f t="shared" ref="J253:O253" si="226">J45/J186</f>
        <v>1.7721480002688152</v>
      </c>
      <c r="K253" s="31">
        <f t="shared" si="226"/>
        <v>1.8311082230251616</v>
      </c>
      <c r="L253" s="31">
        <f t="shared" si="226"/>
        <v>1.8584784826950851</v>
      </c>
      <c r="M253" s="31">
        <f t="shared" si="226"/>
        <v>1.9118063776799423</v>
      </c>
      <c r="N253" s="31">
        <f t="shared" si="226"/>
        <v>1.9335621867476007</v>
      </c>
      <c r="O253" s="31">
        <f t="shared" si="226"/>
        <v>1.9169332188718231</v>
      </c>
      <c r="P253" s="31">
        <f t="shared" ref="P253:T253" si="227">P45/P186</f>
        <v>1.9371220093778925</v>
      </c>
      <c r="Q253" s="31">
        <f t="shared" si="227"/>
        <v>1.9428165015191039</v>
      </c>
      <c r="R253" s="31">
        <f t="shared" si="227"/>
        <v>1.9433714680090994</v>
      </c>
      <c r="S253" s="31">
        <f t="shared" si="227"/>
        <v>1.9431736340738608</v>
      </c>
      <c r="T253" s="31">
        <f t="shared" si="227"/>
        <v>1.9435414041725969</v>
      </c>
    </row>
    <row r="254" spans="2:20" ht="15" customHeight="1">
      <c r="B254" s="345" t="s">
        <v>349</v>
      </c>
      <c r="C254" s="31">
        <f t="shared" si="209"/>
        <v>1</v>
      </c>
      <c r="D254" s="31">
        <f t="shared" si="209"/>
        <v>1.1352071237982131</v>
      </c>
      <c r="E254" s="31">
        <f t="shared" si="209"/>
        <v>1.5238914245466118</v>
      </c>
      <c r="F254" s="31">
        <f t="shared" si="209"/>
        <v>3.6676414060771545E-2</v>
      </c>
      <c r="G254" s="31">
        <f t="shared" si="209"/>
        <v>3.6440870883478992E-2</v>
      </c>
      <c r="H254" s="31">
        <f t="shared" si="209"/>
        <v>3.6440870883478992E-2</v>
      </c>
      <c r="I254" s="31">
        <f t="shared" si="209"/>
        <v>1.220067859537062</v>
      </c>
      <c r="J254" s="31">
        <f t="shared" ref="J254:O254" si="228">J46/J187</f>
        <v>2.6810929019363794</v>
      </c>
      <c r="K254" s="31">
        <f t="shared" si="228"/>
        <v>2.6816828628510359</v>
      </c>
      <c r="L254" s="31">
        <f t="shared" si="228"/>
        <v>2.7037920797804498</v>
      </c>
      <c r="M254" s="31">
        <f t="shared" si="228"/>
        <v>2.8435339302763984</v>
      </c>
      <c r="N254" s="31">
        <f t="shared" si="228"/>
        <v>2.8558617352717666</v>
      </c>
      <c r="O254" s="31">
        <f t="shared" si="228"/>
        <v>2.5491414607501817</v>
      </c>
      <c r="P254" s="31">
        <f>IFERROR(P46/P187,0)</f>
        <v>0</v>
      </c>
      <c r="Q254" s="31">
        <f>IFERROR(Q46/Q187,0)</f>
        <v>0</v>
      </c>
      <c r="R254" s="31">
        <f>IFERROR(R46/R187,0)</f>
        <v>0</v>
      </c>
      <c r="S254" s="31">
        <f t="shared" ref="S254" si="229">S46/S187</f>
        <v>3.6450674360828514E-3</v>
      </c>
      <c r="T254" s="31">
        <f>IFERROR(T46/T187,0)</f>
        <v>0</v>
      </c>
    </row>
    <row r="255" spans="2:20" ht="15" customHeight="1">
      <c r="B255" s="345" t="s">
        <v>305</v>
      </c>
      <c r="C255" s="31">
        <f t="shared" ref="C255:I256" si="230">C47/C188</f>
        <v>1</v>
      </c>
      <c r="D255" s="31">
        <f t="shared" si="230"/>
        <v>0.95883210283890341</v>
      </c>
      <c r="E255" s="31">
        <f t="shared" si="230"/>
        <v>0.93415312647320181</v>
      </c>
      <c r="F255" s="31">
        <f t="shared" si="230"/>
        <v>1.0902813758947103</v>
      </c>
      <c r="G255" s="31">
        <f t="shared" si="230"/>
        <v>1.1692710901357943</v>
      </c>
      <c r="H255" s="31">
        <f t="shared" si="230"/>
        <v>1.1692710901357943</v>
      </c>
      <c r="I255" s="31">
        <f t="shared" si="230"/>
        <v>1.1458312948603215</v>
      </c>
      <c r="J255" s="31">
        <f t="shared" ref="J255:O255" si="231">J47/J188</f>
        <v>1.1230767360549643</v>
      </c>
      <c r="K255" s="31">
        <f t="shared" si="231"/>
        <v>1.0613932365442003</v>
      </c>
      <c r="L255" s="31">
        <f t="shared" si="231"/>
        <v>1.0180182363542474</v>
      </c>
      <c r="M255" s="31">
        <f t="shared" si="231"/>
        <v>1.0818596418052742</v>
      </c>
      <c r="N255" s="31">
        <f t="shared" si="231"/>
        <v>0.94885381932687196</v>
      </c>
      <c r="O255" s="31">
        <f t="shared" si="231"/>
        <v>0.89398671990165957</v>
      </c>
      <c r="P255" s="31">
        <f t="shared" ref="P255:T255" si="232">P47/P188</f>
        <v>0.99698318512925066</v>
      </c>
      <c r="Q255" s="31">
        <f t="shared" si="232"/>
        <v>0.98365310455711108</v>
      </c>
      <c r="R255" s="31">
        <f t="shared" si="232"/>
        <v>0.96749436203130601</v>
      </c>
      <c r="S255" s="31">
        <f t="shared" si="232"/>
        <v>1.0052920590466856</v>
      </c>
      <c r="T255" s="31">
        <f t="shared" si="232"/>
        <v>1.0247593334949578</v>
      </c>
    </row>
    <row r="256" spans="2:20" ht="15" customHeight="1">
      <c r="B256" s="345" t="s">
        <v>306</v>
      </c>
      <c r="C256" s="31">
        <f t="shared" si="230"/>
        <v>1</v>
      </c>
      <c r="D256" s="31">
        <f t="shared" si="230"/>
        <v>1.3321299503226534</v>
      </c>
      <c r="E256" s="31">
        <f t="shared" si="230"/>
        <v>0.5716800972411008</v>
      </c>
      <c r="F256" s="31">
        <f t="shared" si="230"/>
        <v>0.54674496239542769</v>
      </c>
      <c r="G256" s="31">
        <f t="shared" si="230"/>
        <v>0.60105307149500486</v>
      </c>
      <c r="H256" s="31">
        <f t="shared" si="230"/>
        <v>0.60105307149500486</v>
      </c>
      <c r="I256" s="31">
        <f t="shared" si="230"/>
        <v>0.66873099808030634</v>
      </c>
      <c r="J256" s="31">
        <f t="shared" ref="J256:O256" si="233">J48/J189</f>
        <v>0.64970116466687311</v>
      </c>
      <c r="K256" s="31">
        <f t="shared" si="233"/>
        <v>0.52127026325148473</v>
      </c>
      <c r="L256" s="31">
        <f t="shared" si="233"/>
        <v>0.47468329988322444</v>
      </c>
      <c r="M256" s="31">
        <f t="shared" si="233"/>
        <v>0.52573808799171673</v>
      </c>
      <c r="N256" s="31">
        <f t="shared" si="233"/>
        <v>0.68867605945522636</v>
      </c>
      <c r="O256" s="31">
        <f t="shared" si="233"/>
        <v>0.60350283132588078</v>
      </c>
      <c r="P256" s="31">
        <f t="shared" ref="P256:T256" si="234">P48/P189</f>
        <v>0.61711356083386038</v>
      </c>
      <c r="Q256" s="31">
        <f t="shared" si="234"/>
        <v>0.679558570181656</v>
      </c>
      <c r="R256" s="31">
        <f t="shared" si="234"/>
        <v>0.71114804504848972</v>
      </c>
      <c r="S256" s="31">
        <f t="shared" si="234"/>
        <v>0.77104556382255074</v>
      </c>
      <c r="T256" s="31">
        <f t="shared" si="234"/>
        <v>0.81005927630245267</v>
      </c>
    </row>
    <row r="257" spans="2:20" ht="15" customHeight="1">
      <c r="B257" s="345" t="s">
        <v>60</v>
      </c>
      <c r="C257" s="32">
        <f>IF(ISNUMBER(C49/C190)=TRUE,C49/C190,0)</f>
        <v>0</v>
      </c>
      <c r="D257" s="32">
        <f>IF(ISNUMBER(D49/D190)=TRUE,D49/D190,0)</f>
        <v>0</v>
      </c>
      <c r="E257" s="32">
        <f>IF(ISNUMBER(E49/E190)=TRUE,E49/E190,0)</f>
        <v>0</v>
      </c>
      <c r="F257" s="32">
        <f>IF(ISNUMBER(F49/F190)=TRUE,F49/F190,0)</f>
        <v>0</v>
      </c>
      <c r="G257" s="32">
        <f>IF(ISNUMBER(G49/G190)=TRUE,G49/G190,0)</f>
        <v>0</v>
      </c>
      <c r="H257" s="32">
        <f t="shared" ref="H257:I276" si="235">H49/H190</f>
        <v>0.99999999999999989</v>
      </c>
      <c r="I257" s="32">
        <f t="shared" si="235"/>
        <v>0.98987298791924661</v>
      </c>
      <c r="J257" s="32">
        <f t="shared" ref="J257:O257" si="236">J49/J190</f>
        <v>0.98707113282646142</v>
      </c>
      <c r="K257" s="32">
        <f t="shared" si="236"/>
        <v>0.99221240126509325</v>
      </c>
      <c r="L257" s="32">
        <f t="shared" si="236"/>
        <v>0.97061031468791148</v>
      </c>
      <c r="M257" s="32">
        <f t="shared" si="236"/>
        <v>0.8010222751259457</v>
      </c>
      <c r="N257" s="32">
        <f t="shared" si="236"/>
        <v>0.97015972548636986</v>
      </c>
      <c r="O257" s="32">
        <f t="shared" si="236"/>
        <v>1.1872726822172213</v>
      </c>
      <c r="P257" s="32">
        <f t="shared" ref="P257:T257" si="237">P49/P190</f>
        <v>1.3084218805576564</v>
      </c>
      <c r="Q257" s="32">
        <f t="shared" si="237"/>
        <v>1.3706871821397761</v>
      </c>
      <c r="R257" s="32">
        <f t="shared" si="237"/>
        <v>1.4414132530160988</v>
      </c>
      <c r="S257" s="32">
        <f t="shared" si="237"/>
        <v>1.4646456133927279</v>
      </c>
      <c r="T257" s="32">
        <f t="shared" si="237"/>
        <v>1.553869478713729</v>
      </c>
    </row>
    <row r="258" spans="2:20" ht="15" customHeight="1">
      <c r="B258" s="345" t="s">
        <v>58</v>
      </c>
      <c r="C258" s="31">
        <f t="shared" ref="C258:G267" si="238">C50/C191</f>
        <v>1</v>
      </c>
      <c r="D258" s="31">
        <f t="shared" si="238"/>
        <v>1.7952446942085272</v>
      </c>
      <c r="E258" s="31">
        <f t="shared" si="238"/>
        <v>2.0000014722528427</v>
      </c>
      <c r="F258" s="31">
        <f t="shared" si="238"/>
        <v>1.735441749370721</v>
      </c>
      <c r="G258" s="31">
        <f t="shared" si="238"/>
        <v>1.7994877211963491</v>
      </c>
      <c r="H258" s="31">
        <f t="shared" si="235"/>
        <v>1.7994877211963491</v>
      </c>
      <c r="I258" s="31">
        <f t="shared" si="235"/>
        <v>1.8698738185212032</v>
      </c>
      <c r="J258" s="31">
        <f t="shared" ref="J258:O258" si="239">J50/J191</f>
        <v>1.9171363889339175</v>
      </c>
      <c r="K258" s="31">
        <f t="shared" si="239"/>
        <v>1.9695074796724847</v>
      </c>
      <c r="L258" s="31">
        <f t="shared" si="239"/>
        <v>1.9972412232482626</v>
      </c>
      <c r="M258" s="31">
        <f t="shared" si="239"/>
        <v>2.0503164725847185</v>
      </c>
      <c r="N258" s="31">
        <f t="shared" si="239"/>
        <v>2.0880001749178856</v>
      </c>
      <c r="O258" s="31">
        <f t="shared" si="239"/>
        <v>2.1710003176274086</v>
      </c>
      <c r="P258" s="31">
        <f t="shared" ref="P258:T258" si="240">P50/P191</f>
        <v>2.2223378961879621</v>
      </c>
      <c r="Q258" s="31">
        <f t="shared" si="240"/>
        <v>2.2476096662636946</v>
      </c>
      <c r="R258" s="31">
        <f t="shared" si="240"/>
        <v>2.2761126028125194</v>
      </c>
      <c r="S258" s="31">
        <f t="shared" si="240"/>
        <v>2.2858667857532606</v>
      </c>
      <c r="T258" s="31">
        <f t="shared" si="240"/>
        <v>2.3217318618509055</v>
      </c>
    </row>
    <row r="259" spans="2:20" ht="15" customHeight="1">
      <c r="B259" s="345" t="s">
        <v>56</v>
      </c>
      <c r="C259" s="31">
        <f t="shared" si="238"/>
        <v>1</v>
      </c>
      <c r="D259" s="31">
        <f t="shared" si="238"/>
        <v>1.0858438226595224</v>
      </c>
      <c r="E259" s="31">
        <f t="shared" si="238"/>
        <v>1.3192069619032838</v>
      </c>
      <c r="F259" s="31">
        <f t="shared" si="238"/>
        <v>1.6585771875865511</v>
      </c>
      <c r="G259" s="31">
        <f t="shared" si="238"/>
        <v>2.1687850883797006</v>
      </c>
      <c r="H259" s="31">
        <f t="shared" si="235"/>
        <v>2.1687850883797006</v>
      </c>
      <c r="I259" s="31">
        <f t="shared" si="235"/>
        <v>2.0809119635110558</v>
      </c>
      <c r="J259" s="31">
        <f t="shared" ref="J259:O259" si="241">J51/J192</f>
        <v>2.121309042376498</v>
      </c>
      <c r="K259" s="31">
        <f t="shared" si="241"/>
        <v>2.25641440162069</v>
      </c>
      <c r="L259" s="31">
        <f t="shared" si="241"/>
        <v>2.2659369039840196</v>
      </c>
      <c r="M259" s="31">
        <f t="shared" si="241"/>
        <v>2.2398706688894179</v>
      </c>
      <c r="N259" s="31">
        <f t="shared" si="241"/>
        <v>2.2480695999410818</v>
      </c>
      <c r="O259" s="31">
        <f t="shared" si="241"/>
        <v>2.2433212264875038</v>
      </c>
      <c r="P259" s="31">
        <f t="shared" ref="P259:T259" si="242">P51/P192</f>
        <v>2.3582450866960092</v>
      </c>
      <c r="Q259" s="31">
        <f t="shared" si="242"/>
        <v>2.3829870005164602</v>
      </c>
      <c r="R259" s="31">
        <f t="shared" si="242"/>
        <v>3.4439851123095613</v>
      </c>
      <c r="S259" s="31">
        <f t="shared" si="242"/>
        <v>3.3573850292987042</v>
      </c>
      <c r="T259" s="31">
        <f t="shared" si="242"/>
        <v>3.3481073402438284</v>
      </c>
    </row>
    <row r="260" spans="2:20" ht="15" customHeight="1">
      <c r="B260" s="345" t="s">
        <v>63</v>
      </c>
      <c r="C260" s="31">
        <f t="shared" si="238"/>
        <v>1</v>
      </c>
      <c r="D260" s="31">
        <f t="shared" si="238"/>
        <v>0.98784571368015173</v>
      </c>
      <c r="E260" s="31">
        <f t="shared" si="238"/>
        <v>1.1334552262403763</v>
      </c>
      <c r="F260" s="31">
        <f t="shared" si="238"/>
        <v>1.328276854440489</v>
      </c>
      <c r="G260" s="31">
        <f t="shared" si="238"/>
        <v>1.5163579902184618</v>
      </c>
      <c r="H260" s="31">
        <f t="shared" si="235"/>
        <v>1.5163579902184618</v>
      </c>
      <c r="I260" s="31">
        <f t="shared" si="235"/>
        <v>1.4655037821567163</v>
      </c>
      <c r="J260" s="31">
        <f t="shared" ref="J260:O260" si="243">J52/J193</f>
        <v>1.6503332226766179</v>
      </c>
      <c r="K260" s="31">
        <f t="shared" si="243"/>
        <v>1.7087745935915384</v>
      </c>
      <c r="L260" s="31">
        <f t="shared" si="243"/>
        <v>1.9445434484407575</v>
      </c>
      <c r="M260" s="31">
        <f t="shared" si="243"/>
        <v>1.9386812608610844</v>
      </c>
      <c r="N260" s="31">
        <f t="shared" si="243"/>
        <v>1.9710818578463563</v>
      </c>
      <c r="O260" s="31">
        <f t="shared" si="243"/>
        <v>1.9894337241848383</v>
      </c>
      <c r="P260" s="31">
        <f t="shared" ref="P260:T260" si="244">P52/P193</f>
        <v>2.1553200839053299</v>
      </c>
      <c r="Q260" s="31">
        <f t="shared" si="244"/>
        <v>2.1978389855999994</v>
      </c>
      <c r="R260" s="31">
        <f t="shared" si="244"/>
        <v>2.0905956314285756</v>
      </c>
      <c r="S260" s="31">
        <f t="shared" si="244"/>
        <v>2.0909043286366642</v>
      </c>
      <c r="T260" s="31">
        <f t="shared" si="244"/>
        <v>1.9569055967935935</v>
      </c>
    </row>
    <row r="261" spans="2:20" ht="15" customHeight="1">
      <c r="B261" s="345" t="s">
        <v>57</v>
      </c>
      <c r="C261" s="31">
        <f t="shared" si="238"/>
        <v>1</v>
      </c>
      <c r="D261" s="31">
        <f t="shared" si="238"/>
        <v>1.2647067693698035</v>
      </c>
      <c r="E261" s="31">
        <f t="shared" si="238"/>
        <v>1.2647067946879629</v>
      </c>
      <c r="F261" s="31">
        <f t="shared" si="238"/>
        <v>1.2647067940938559</v>
      </c>
      <c r="G261" s="31">
        <f t="shared" si="238"/>
        <v>1.4079385399283957</v>
      </c>
      <c r="H261" s="31">
        <f t="shared" si="235"/>
        <v>1.4079385399283957</v>
      </c>
      <c r="I261" s="31">
        <f t="shared" si="235"/>
        <v>1.4101193751689698</v>
      </c>
      <c r="J261" s="31">
        <f t="shared" ref="J261:O261" si="245">J53/J194</f>
        <v>1.4101193754801036</v>
      </c>
      <c r="K261" s="31">
        <f t="shared" si="245"/>
        <v>1.5725102134941145</v>
      </c>
      <c r="L261" s="31">
        <f t="shared" si="245"/>
        <v>1.5582154723231629</v>
      </c>
      <c r="M261" s="31">
        <f t="shared" si="245"/>
        <v>1.513438843906757</v>
      </c>
      <c r="N261" s="31">
        <f t="shared" si="245"/>
        <v>1.566135566231446</v>
      </c>
      <c r="O261" s="31">
        <f t="shared" si="245"/>
        <v>1.5667481668863479</v>
      </c>
      <c r="P261" s="31">
        <f t="shared" ref="P261:T261" si="246">P53/P194</f>
        <v>1.5315641833829663</v>
      </c>
      <c r="Q261" s="31">
        <f t="shared" si="246"/>
        <v>1.6000589248937134</v>
      </c>
      <c r="R261" s="31">
        <f t="shared" si="246"/>
        <v>1.5899717806602516</v>
      </c>
      <c r="S261" s="31">
        <f t="shared" si="246"/>
        <v>1.5874833693547388</v>
      </c>
      <c r="T261" s="31">
        <f t="shared" si="246"/>
        <v>1.6068666584728011</v>
      </c>
    </row>
    <row r="262" spans="2:20" ht="15" customHeight="1">
      <c r="B262" s="345" t="s">
        <v>53</v>
      </c>
      <c r="C262" s="31">
        <f t="shared" si="238"/>
        <v>1</v>
      </c>
      <c r="D262" s="31">
        <f t="shared" si="238"/>
        <v>1.8537398261730871</v>
      </c>
      <c r="E262" s="31">
        <f t="shared" si="238"/>
        <v>2.1265446587495229</v>
      </c>
      <c r="F262" s="31">
        <f t="shared" si="238"/>
        <v>2.1569338531118665</v>
      </c>
      <c r="G262" s="31">
        <f t="shared" si="238"/>
        <v>2.2349493232067372</v>
      </c>
      <c r="H262" s="31">
        <f t="shared" si="235"/>
        <v>2.2349493232067372</v>
      </c>
      <c r="I262" s="31">
        <f t="shared" si="235"/>
        <v>2.2149561369643851</v>
      </c>
      <c r="J262" s="31">
        <f t="shared" ref="J262:O262" si="247">J54/J195</f>
        <v>2.3536874100453442</v>
      </c>
      <c r="K262" s="31">
        <f t="shared" si="247"/>
        <v>2.5035921227442954</v>
      </c>
      <c r="L262" s="31">
        <f t="shared" si="247"/>
        <v>2.4492129802467857</v>
      </c>
      <c r="M262" s="31">
        <f t="shared" si="247"/>
        <v>2.9157022217700534</v>
      </c>
      <c r="N262" s="31">
        <f t="shared" si="247"/>
        <v>3.4625750098280257</v>
      </c>
      <c r="O262" s="31">
        <f t="shared" si="247"/>
        <v>3.6241178489560157</v>
      </c>
      <c r="P262" s="31">
        <f t="shared" ref="P262:T262" si="248">P54/P195</f>
        <v>3.8589769808470935</v>
      </c>
      <c r="Q262" s="31">
        <f t="shared" si="248"/>
        <v>4.1091447083414865</v>
      </c>
      <c r="R262" s="31">
        <f t="shared" si="248"/>
        <v>3.661988629992873</v>
      </c>
      <c r="S262" s="31">
        <f t="shared" si="248"/>
        <v>4.3656612710086629</v>
      </c>
      <c r="T262" s="31">
        <f t="shared" si="248"/>
        <v>4.5520244687160654</v>
      </c>
    </row>
    <row r="263" spans="2:20" ht="15" customHeight="1">
      <c r="B263" s="345" t="s">
        <v>240</v>
      </c>
      <c r="C263" s="31">
        <f t="shared" si="238"/>
        <v>1</v>
      </c>
      <c r="D263" s="31">
        <f t="shared" si="238"/>
        <v>1.1468826345815948</v>
      </c>
      <c r="E263" s="31">
        <f t="shared" si="238"/>
        <v>1.0119186201706296</v>
      </c>
      <c r="F263" s="31">
        <f t="shared" si="238"/>
        <v>0.87841136434405842</v>
      </c>
      <c r="G263" s="31">
        <f t="shared" si="238"/>
        <v>0.72922464975838364</v>
      </c>
      <c r="H263" s="31">
        <f t="shared" si="235"/>
        <v>0.72922464975838364</v>
      </c>
      <c r="I263" s="31">
        <f t="shared" si="235"/>
        <v>0.63734341469338829</v>
      </c>
      <c r="J263" s="31">
        <f t="shared" ref="J263:O263" si="249">J55/J196</f>
        <v>0.67170766459314002</v>
      </c>
      <c r="K263" s="31">
        <f t="shared" si="249"/>
        <v>0.69134966234323569</v>
      </c>
      <c r="L263" s="31">
        <f t="shared" si="249"/>
        <v>0.60634565103445381</v>
      </c>
      <c r="M263" s="31">
        <f t="shared" si="249"/>
        <v>0.80563693014026017</v>
      </c>
      <c r="N263" s="31">
        <f t="shared" si="249"/>
        <v>0.91355673109009461</v>
      </c>
      <c r="O263" s="31">
        <f t="shared" si="249"/>
        <v>0.85661549323947495</v>
      </c>
      <c r="P263" s="31">
        <f t="shared" ref="P263:T263" si="250">P55/P196</f>
        <v>0.72421159283313363</v>
      </c>
      <c r="Q263" s="31">
        <f t="shared" si="250"/>
        <v>0.64019293109069608</v>
      </c>
      <c r="R263" s="31">
        <f t="shared" si="250"/>
        <v>0.62114223937823321</v>
      </c>
      <c r="S263" s="31">
        <f t="shared" si="250"/>
        <v>0.59208864701696851</v>
      </c>
      <c r="T263" s="31">
        <f t="shared" si="250"/>
        <v>0.44730675696816652</v>
      </c>
    </row>
    <row r="264" spans="2:20" ht="15" customHeight="1">
      <c r="B264" s="345" t="s">
        <v>241</v>
      </c>
      <c r="C264" s="31">
        <f t="shared" si="238"/>
        <v>1</v>
      </c>
      <c r="D264" s="31">
        <f t="shared" si="238"/>
        <v>1.0066902047802504</v>
      </c>
      <c r="E264" s="31">
        <f t="shared" si="238"/>
        <v>0.92623858333881437</v>
      </c>
      <c r="F264" s="31">
        <f t="shared" si="238"/>
        <v>0.94058441817047522</v>
      </c>
      <c r="G264" s="31">
        <f t="shared" si="238"/>
        <v>0.94600624199962835</v>
      </c>
      <c r="H264" s="31">
        <f t="shared" si="235"/>
        <v>0.94600624199962835</v>
      </c>
      <c r="I264" s="31">
        <f t="shared" si="235"/>
        <v>0.95111917713763849</v>
      </c>
      <c r="J264" s="31">
        <f t="shared" ref="J264:O264" si="251">J56/J197</f>
        <v>1.2770910915491811</v>
      </c>
      <c r="K264" s="31">
        <f t="shared" si="251"/>
        <v>1.8566440365044035</v>
      </c>
      <c r="L264" s="31">
        <f t="shared" si="251"/>
        <v>2.6738782766221694</v>
      </c>
      <c r="M264" s="31">
        <f t="shared" si="251"/>
        <v>2.7590971725324827</v>
      </c>
      <c r="N264" s="31">
        <f t="shared" si="251"/>
        <v>2.8577440754285424</v>
      </c>
      <c r="O264" s="31">
        <f t="shared" si="251"/>
        <v>2.8076596782602254</v>
      </c>
      <c r="P264" s="31">
        <f t="shared" ref="P264:T264" si="252">P56/P197</f>
        <v>2.8069948651443331</v>
      </c>
      <c r="Q264" s="31">
        <f t="shared" si="252"/>
        <v>2.7626051600358696</v>
      </c>
      <c r="R264" s="31">
        <f t="shared" si="252"/>
        <v>3.0257611733029535</v>
      </c>
      <c r="S264" s="31">
        <f t="shared" si="252"/>
        <v>3.0703538418519596</v>
      </c>
      <c r="T264" s="31">
        <f t="shared" si="252"/>
        <v>3.1339215857547313</v>
      </c>
    </row>
    <row r="265" spans="2:20" ht="15" customHeight="1">
      <c r="B265" s="345" t="s">
        <v>242</v>
      </c>
      <c r="C265" s="31">
        <f t="shared" si="238"/>
        <v>1.0000000000000002</v>
      </c>
      <c r="D265" s="31">
        <f t="shared" si="238"/>
        <v>1.0000442945348877</v>
      </c>
      <c r="E265" s="31">
        <f t="shared" si="238"/>
        <v>0.99676925612298672</v>
      </c>
      <c r="F265" s="31">
        <f t="shared" si="238"/>
        <v>0.99960441218862295</v>
      </c>
      <c r="G265" s="31">
        <f t="shared" si="238"/>
        <v>1.0323987672690373</v>
      </c>
      <c r="H265" s="31">
        <f t="shared" si="235"/>
        <v>1.0323987672690373</v>
      </c>
      <c r="I265" s="31">
        <f t="shared" si="235"/>
        <v>1.053461987634714</v>
      </c>
      <c r="J265" s="31">
        <f t="shared" ref="J265:O265" si="253">J57/J198</f>
        <v>1.150993881117734</v>
      </c>
      <c r="K265" s="31">
        <f t="shared" si="253"/>
        <v>0.65503843390263139</v>
      </c>
      <c r="L265" s="31">
        <f t="shared" si="253"/>
        <v>0.58052150542265268</v>
      </c>
      <c r="M265" s="31">
        <f t="shared" si="253"/>
        <v>0.61496203775565272</v>
      </c>
      <c r="N265" s="31">
        <f t="shared" si="253"/>
        <v>0.56067381941426453</v>
      </c>
      <c r="O265" s="31">
        <f t="shared" si="253"/>
        <v>1.6387950368504705</v>
      </c>
      <c r="P265" s="31">
        <f t="shared" ref="P265:T265" si="254">P57/P198</f>
        <v>0.80020766708950519</v>
      </c>
      <c r="Q265" s="31">
        <f t="shared" si="254"/>
        <v>1.1559279697234222</v>
      </c>
      <c r="R265" s="31">
        <f t="shared" si="254"/>
        <v>1.1559279697234222</v>
      </c>
      <c r="S265" s="31">
        <f t="shared" si="254"/>
        <v>1.1559279697234222</v>
      </c>
      <c r="T265" s="31">
        <f t="shared" si="254"/>
        <v>0.9660284883228194</v>
      </c>
    </row>
    <row r="266" spans="2:20" ht="15" customHeight="1">
      <c r="B266" s="345" t="s">
        <v>243</v>
      </c>
      <c r="C266" s="31">
        <f t="shared" si="238"/>
        <v>1</v>
      </c>
      <c r="D266" s="31">
        <f t="shared" si="238"/>
        <v>0.9862203944054091</v>
      </c>
      <c r="E266" s="31">
        <f t="shared" si="238"/>
        <v>1.0093428660277626</v>
      </c>
      <c r="F266" s="31">
        <f t="shared" si="238"/>
        <v>1.0149574889363695</v>
      </c>
      <c r="G266" s="31">
        <f t="shared" si="238"/>
        <v>1.0474484285237555</v>
      </c>
      <c r="H266" s="31">
        <f t="shared" si="235"/>
        <v>1.0474484285237555</v>
      </c>
      <c r="I266" s="31">
        <f t="shared" si="235"/>
        <v>1.093002867598911</v>
      </c>
      <c r="J266" s="31">
        <f t="shared" ref="J266:O266" si="255">J58/J199</f>
        <v>1.018168877120031</v>
      </c>
      <c r="K266" s="31">
        <f t="shared" si="255"/>
        <v>0.65415072376459749</v>
      </c>
      <c r="L266" s="31">
        <f t="shared" si="255"/>
        <v>0.66966421711967339</v>
      </c>
      <c r="M266" s="31">
        <f t="shared" si="255"/>
        <v>0.59668962205882503</v>
      </c>
      <c r="N266" s="31">
        <f t="shared" si="255"/>
        <v>0.60952940392408228</v>
      </c>
      <c r="O266" s="31">
        <f t="shared" si="255"/>
        <v>0.87309888667753166</v>
      </c>
      <c r="P266" s="31">
        <f t="shared" ref="P266:T266" si="256">P58/P199</f>
        <v>1.2008114376242389</v>
      </c>
      <c r="Q266" s="31">
        <f t="shared" si="256"/>
        <v>1.5571253384198043</v>
      </c>
      <c r="R266" s="31">
        <f t="shared" si="256"/>
        <v>1.7212115814684483</v>
      </c>
      <c r="S266" s="31">
        <f t="shared" si="256"/>
        <v>1.6695042403855096</v>
      </c>
      <c r="T266" s="31">
        <f t="shared" si="256"/>
        <v>1.5049842480703752</v>
      </c>
    </row>
    <row r="267" spans="2:20" ht="15" customHeight="1">
      <c r="B267" s="345" t="s">
        <v>244</v>
      </c>
      <c r="C267" s="31">
        <f t="shared" si="238"/>
        <v>1.0000000000000002</v>
      </c>
      <c r="D267" s="31">
        <f t="shared" si="238"/>
        <v>1.0000037401585447</v>
      </c>
      <c r="E267" s="31">
        <f t="shared" si="238"/>
        <v>0.99971354911601529</v>
      </c>
      <c r="F267" s="31">
        <f t="shared" si="238"/>
        <v>1.0001216604449514</v>
      </c>
      <c r="G267" s="31">
        <f t="shared" si="238"/>
        <v>1.0000472569824859</v>
      </c>
      <c r="H267" s="31">
        <f t="shared" si="235"/>
        <v>1.0000472569824859</v>
      </c>
      <c r="I267" s="31">
        <f t="shared" si="235"/>
        <v>0.99971539655304797</v>
      </c>
      <c r="J267" s="31">
        <f t="shared" ref="J267:O267" si="257">J59/J200</f>
        <v>0.99971354911601584</v>
      </c>
      <c r="K267" s="31">
        <f t="shared" si="257"/>
        <v>0.64719165305645776</v>
      </c>
      <c r="L267" s="31">
        <f t="shared" si="257"/>
        <v>0.60408191183486404</v>
      </c>
      <c r="M267" s="31">
        <f t="shared" si="257"/>
        <v>0.54869760267304046</v>
      </c>
      <c r="N267" s="31">
        <f t="shared" si="257"/>
        <v>0.48922015186818091</v>
      </c>
      <c r="O267" s="31">
        <f t="shared" si="257"/>
        <v>0.40360253242717642</v>
      </c>
      <c r="P267" s="31">
        <f t="shared" ref="P267:T267" si="258">P59/P200</f>
        <v>0.84656205301762821</v>
      </c>
      <c r="Q267" s="31">
        <f t="shared" si="258"/>
        <v>1.20390258199976</v>
      </c>
      <c r="R267" s="31">
        <f t="shared" si="258"/>
        <v>4.9730586986229737</v>
      </c>
      <c r="S267" s="31">
        <f t="shared" si="258"/>
        <v>1.20390258199976</v>
      </c>
      <c r="T267" s="31">
        <f t="shared" si="258"/>
        <v>0.99005274581636316</v>
      </c>
    </row>
    <row r="268" spans="2:20" ht="15" customHeight="1">
      <c r="B268" s="344" t="s">
        <v>27</v>
      </c>
      <c r="C268" s="31">
        <f t="shared" ref="C268:G276" si="259">C60/C201</f>
        <v>1.0000000000000002</v>
      </c>
      <c r="D268" s="31">
        <f t="shared" si="259"/>
        <v>0.98573650798716084</v>
      </c>
      <c r="E268" s="31">
        <f t="shared" si="259"/>
        <v>1.0117906694724801</v>
      </c>
      <c r="F268" s="31">
        <f t="shared" si="259"/>
        <v>1.002718277252173</v>
      </c>
      <c r="G268" s="31">
        <f t="shared" si="259"/>
        <v>1.012740005630737</v>
      </c>
      <c r="H268" s="31">
        <f t="shared" si="235"/>
        <v>1.012740005630737</v>
      </c>
      <c r="I268" s="31">
        <f t="shared" si="235"/>
        <v>1.0602054782766337</v>
      </c>
      <c r="J268" s="31">
        <f t="shared" ref="J268:O268" si="260">J60/J201</f>
        <v>1.082787953333058</v>
      </c>
      <c r="K268" s="31">
        <f t="shared" si="260"/>
        <v>0.83272291460226333</v>
      </c>
      <c r="L268" s="31">
        <f t="shared" si="260"/>
        <v>2.5647005060849821</v>
      </c>
      <c r="M268" s="31">
        <f t="shared" si="260"/>
        <v>3.5935936736289444</v>
      </c>
      <c r="N268" s="31">
        <f t="shared" si="260"/>
        <v>3.1255996087625917</v>
      </c>
      <c r="O268" s="31">
        <f t="shared" si="260"/>
        <v>3.3302770585063328</v>
      </c>
      <c r="P268" s="31">
        <f t="shared" ref="P268:T268" si="261">P60/P201</f>
        <v>3.3986854947363181</v>
      </c>
      <c r="Q268" s="31">
        <f t="shared" si="261"/>
        <v>3.9035678793150148</v>
      </c>
      <c r="R268" s="31">
        <f t="shared" si="261"/>
        <v>3.934775132562236</v>
      </c>
      <c r="S268" s="31">
        <f t="shared" si="261"/>
        <v>3.836535815247919</v>
      </c>
      <c r="T268" s="31">
        <f t="shared" si="261"/>
        <v>4.0597114723561338</v>
      </c>
    </row>
    <row r="269" spans="2:20" ht="15" customHeight="1">
      <c r="B269" s="344" t="s">
        <v>245</v>
      </c>
      <c r="C269" s="31">
        <f t="shared" si="259"/>
        <v>1</v>
      </c>
      <c r="D269" s="31">
        <f t="shared" si="259"/>
        <v>1.1247280704018536</v>
      </c>
      <c r="E269" s="31">
        <f t="shared" si="259"/>
        <v>1.2499009613039282</v>
      </c>
      <c r="F269" s="31">
        <f t="shared" si="259"/>
        <v>1.1397978514963334</v>
      </c>
      <c r="G269" s="31">
        <f t="shared" si="259"/>
        <v>1.482111133865528</v>
      </c>
      <c r="H269" s="31">
        <f t="shared" si="235"/>
        <v>1.482111133865528</v>
      </c>
      <c r="I269" s="31">
        <f t="shared" si="235"/>
        <v>2.6044602408114823</v>
      </c>
      <c r="J269" s="31">
        <f t="shared" ref="J269:O269" si="262">J61/J202</f>
        <v>2.4606684606360587</v>
      </c>
      <c r="K269" s="31">
        <f t="shared" si="262"/>
        <v>2.6193612085435003</v>
      </c>
      <c r="L269" s="31">
        <f t="shared" si="262"/>
        <v>2.5209341721916365</v>
      </c>
      <c r="M269" s="31">
        <f t="shared" si="262"/>
        <v>2.3848786902263832</v>
      </c>
      <c r="N269" s="31">
        <f t="shared" si="262"/>
        <v>2.7437139791191285</v>
      </c>
      <c r="O269" s="31">
        <f t="shared" si="262"/>
        <v>3.5155313014845797</v>
      </c>
      <c r="P269" s="31">
        <f t="shared" ref="P269:T269" si="263">P61/P202</f>
        <v>4.0985670351874965</v>
      </c>
      <c r="Q269" s="31">
        <f t="shared" si="263"/>
        <v>5.7022533369569803</v>
      </c>
      <c r="R269" s="31">
        <f t="shared" si="263"/>
        <v>4.9652826699047026</v>
      </c>
      <c r="S269" s="31">
        <f t="shared" si="263"/>
        <v>4.6966557226157528</v>
      </c>
      <c r="T269" s="31">
        <f t="shared" si="263"/>
        <v>4.5292731019361963</v>
      </c>
    </row>
    <row r="270" spans="2:20" ht="15" customHeight="1">
      <c r="B270" s="344" t="s">
        <v>247</v>
      </c>
      <c r="C270" s="31">
        <f t="shared" si="259"/>
        <v>1</v>
      </c>
      <c r="D270" s="31">
        <f t="shared" si="259"/>
        <v>1.2444312026247439</v>
      </c>
      <c r="E270" s="31">
        <f t="shared" si="259"/>
        <v>1.2087791351627797</v>
      </c>
      <c r="F270" s="31">
        <f t="shared" si="259"/>
        <v>0.90970510633878132</v>
      </c>
      <c r="G270" s="31">
        <f t="shared" si="259"/>
        <v>1.2343491882440056</v>
      </c>
      <c r="H270" s="31">
        <f t="shared" si="235"/>
        <v>1.2343491882440056</v>
      </c>
      <c r="I270" s="31">
        <f t="shared" si="235"/>
        <v>1.5282248283326521</v>
      </c>
      <c r="J270" s="31">
        <f t="shared" ref="J270:O270" si="264">J62/J203</f>
        <v>1.7276261648243447</v>
      </c>
      <c r="K270" s="31">
        <f t="shared" si="264"/>
        <v>2.0635916027502326</v>
      </c>
      <c r="L270" s="31">
        <f t="shared" si="264"/>
        <v>2.5480756472637576</v>
      </c>
      <c r="M270" s="31">
        <f t="shared" si="264"/>
        <v>2.4964234302060189</v>
      </c>
      <c r="N270" s="31">
        <f t="shared" si="264"/>
        <v>2.9760304489778822</v>
      </c>
      <c r="O270" s="31">
        <f t="shared" si="264"/>
        <v>2.8996174160454764</v>
      </c>
      <c r="P270" s="31">
        <f t="shared" ref="P270:T270" si="265">P62/P203</f>
        <v>2.7744341296891823</v>
      </c>
      <c r="Q270" s="31">
        <f t="shared" si="265"/>
        <v>2.9401283659927371</v>
      </c>
      <c r="R270" s="31">
        <f t="shared" si="265"/>
        <v>2.7663110926398895</v>
      </c>
      <c r="S270" s="31">
        <f t="shared" si="265"/>
        <v>2.457087123471589</v>
      </c>
      <c r="T270" s="31">
        <f t="shared" si="265"/>
        <v>2.6036011424179568</v>
      </c>
    </row>
    <row r="271" spans="2:20" ht="15" customHeight="1">
      <c r="B271" s="344" t="s">
        <v>246</v>
      </c>
      <c r="C271" s="31">
        <f t="shared" si="259"/>
        <v>1</v>
      </c>
      <c r="D271" s="31">
        <f t="shared" si="259"/>
        <v>3.3508219856220345</v>
      </c>
      <c r="E271" s="31">
        <f t="shared" si="259"/>
        <v>3.1470521202348984</v>
      </c>
      <c r="F271" s="31">
        <f t="shared" si="259"/>
        <v>2.5931124090550792</v>
      </c>
      <c r="G271" s="31">
        <f t="shared" si="259"/>
        <v>0.5081528038237606</v>
      </c>
      <c r="H271" s="31">
        <f t="shared" si="235"/>
        <v>0.5081528038237606</v>
      </c>
      <c r="I271" s="31">
        <f t="shared" si="235"/>
        <v>1.6468588989129174</v>
      </c>
      <c r="J271" s="31">
        <f t="shared" ref="J271:O271" si="266">J63/J204</f>
        <v>1.4433838829821897</v>
      </c>
      <c r="K271" s="31">
        <f t="shared" si="266"/>
        <v>1.3322136246716016</v>
      </c>
      <c r="L271" s="31">
        <f t="shared" si="266"/>
        <v>1.2652056020411764</v>
      </c>
      <c r="M271" s="31">
        <f t="shared" si="266"/>
        <v>0.82455593114033088</v>
      </c>
      <c r="N271" s="31">
        <f t="shared" si="266"/>
        <v>0.4995239259009101</v>
      </c>
      <c r="O271" s="31">
        <f t="shared" si="266"/>
        <v>1.1165862170302356</v>
      </c>
      <c r="P271" s="31">
        <f t="shared" ref="P271:T271" si="267">P63/P204</f>
        <v>1.6661211844171915</v>
      </c>
      <c r="Q271" s="31">
        <f t="shared" si="267"/>
        <v>1.6683166578481043</v>
      </c>
      <c r="R271" s="31">
        <f t="shared" si="267"/>
        <v>1.5977167186018584</v>
      </c>
      <c r="S271" s="31">
        <f t="shared" si="267"/>
        <v>1.5344354720143973</v>
      </c>
      <c r="T271" s="31">
        <f t="shared" si="267"/>
        <v>1.4793857245294277</v>
      </c>
    </row>
    <row r="272" spans="2:20" ht="15" customHeight="1">
      <c r="B272" s="344" t="s">
        <v>350</v>
      </c>
      <c r="C272" s="31">
        <f t="shared" si="259"/>
        <v>1.0000000000000002</v>
      </c>
      <c r="D272" s="31">
        <f t="shared" si="259"/>
        <v>1.5706544678834886</v>
      </c>
      <c r="E272" s="31">
        <f t="shared" si="259"/>
        <v>1.6362481778187985</v>
      </c>
      <c r="F272" s="31">
        <f t="shared" si="259"/>
        <v>1.4561246230106315</v>
      </c>
      <c r="G272" s="31">
        <f t="shared" si="259"/>
        <v>1.4308635782679642</v>
      </c>
      <c r="H272" s="31">
        <f t="shared" si="235"/>
        <v>1.4308635782679642</v>
      </c>
      <c r="I272" s="31">
        <f t="shared" si="235"/>
        <v>1.5026010349865668</v>
      </c>
      <c r="J272" s="31">
        <f t="shared" ref="J272:O272" si="268">J64/J205</f>
        <v>1.5733030336234508</v>
      </c>
      <c r="K272" s="31">
        <f t="shared" si="268"/>
        <v>1.6356555562177288</v>
      </c>
      <c r="L272" s="31">
        <f t="shared" si="268"/>
        <v>1.9158457912672708</v>
      </c>
      <c r="M272" s="31">
        <f t="shared" si="268"/>
        <v>2.0440721805885524</v>
      </c>
      <c r="N272" s="31">
        <f t="shared" si="268"/>
        <v>2.4212515308440761</v>
      </c>
      <c r="O272" s="31">
        <f t="shared" si="268"/>
        <v>2.4575916191665348</v>
      </c>
      <c r="P272" s="31">
        <f t="shared" ref="P272:T272" si="269">P64/P205</f>
        <v>2.2168400638629615</v>
      </c>
      <c r="Q272" s="31">
        <f t="shared" si="269"/>
        <v>2.1148219511497497</v>
      </c>
      <c r="R272" s="31">
        <f t="shared" si="269"/>
        <v>1.8799234164897671</v>
      </c>
      <c r="S272" s="31">
        <f t="shared" si="269"/>
        <v>2.1107193386697189</v>
      </c>
      <c r="T272" s="31">
        <f t="shared" si="269"/>
        <v>2.5068135840671859</v>
      </c>
    </row>
    <row r="273" spans="1:20" ht="15" customHeight="1">
      <c r="B273" s="344" t="s">
        <v>309</v>
      </c>
      <c r="C273" s="31">
        <f t="shared" si="259"/>
        <v>1</v>
      </c>
      <c r="D273" s="31">
        <f t="shared" si="259"/>
        <v>1.6491550177360623</v>
      </c>
      <c r="E273" s="31">
        <f t="shared" si="259"/>
        <v>1.7046401971162153</v>
      </c>
      <c r="F273" s="31">
        <f t="shared" si="259"/>
        <v>1.749797506442337</v>
      </c>
      <c r="G273" s="31">
        <f t="shared" si="259"/>
        <v>2.7571405017721182</v>
      </c>
      <c r="H273" s="31">
        <f t="shared" si="235"/>
        <v>2.7571405017721182</v>
      </c>
      <c r="I273" s="31">
        <f t="shared" si="235"/>
        <v>3.2002554594668355</v>
      </c>
      <c r="J273" s="31">
        <f t="shared" ref="J273:O273" si="270">J65/J206</f>
        <v>3.6351688486923903</v>
      </c>
      <c r="K273" s="31">
        <f t="shared" si="270"/>
        <v>4.0351466939957508</v>
      </c>
      <c r="L273" s="31">
        <f t="shared" si="270"/>
        <v>4.1114479787065523</v>
      </c>
      <c r="M273" s="31">
        <f t="shared" si="270"/>
        <v>4.8422256972137987</v>
      </c>
      <c r="N273" s="31">
        <f t="shared" si="270"/>
        <v>5.414079145239258</v>
      </c>
      <c r="O273" s="31">
        <f t="shared" si="270"/>
        <v>5.6662315295919576</v>
      </c>
      <c r="P273" s="31">
        <f t="shared" ref="P273:T273" si="271">P65/P206</f>
        <v>5.9641939716825245</v>
      </c>
      <c r="Q273" s="31">
        <f t="shared" si="271"/>
        <v>5.8888947462455699</v>
      </c>
      <c r="R273" s="31">
        <f t="shared" si="271"/>
        <v>5.6512512435347908</v>
      </c>
      <c r="S273" s="31">
        <f t="shared" si="271"/>
        <v>5.3565151035135505</v>
      </c>
      <c r="T273" s="31">
        <f t="shared" si="271"/>
        <v>6.5081668222028384</v>
      </c>
    </row>
    <row r="274" spans="1:20" ht="15" customHeight="1">
      <c r="B274" s="344" t="s">
        <v>308</v>
      </c>
      <c r="C274" s="31">
        <f t="shared" si="259"/>
        <v>1</v>
      </c>
      <c r="D274" s="31">
        <f t="shared" si="259"/>
        <v>1.5779068370990952</v>
      </c>
      <c r="E274" s="31">
        <f t="shared" si="259"/>
        <v>1.4419451457241586</v>
      </c>
      <c r="F274" s="31">
        <f t="shared" si="259"/>
        <v>1.1931879484619929</v>
      </c>
      <c r="G274" s="31">
        <f t="shared" si="259"/>
        <v>1.1271769344347473</v>
      </c>
      <c r="H274" s="31">
        <f t="shared" si="235"/>
        <v>1.1271769344347473</v>
      </c>
      <c r="I274" s="31">
        <f t="shared" si="235"/>
        <v>1.1514817474466057</v>
      </c>
      <c r="J274" s="31">
        <f t="shared" ref="J274:O274" si="272">J66/J207</f>
        <v>1.0998108495723062</v>
      </c>
      <c r="K274" s="31">
        <f t="shared" si="272"/>
        <v>1.4772089464859399</v>
      </c>
      <c r="L274" s="31">
        <f t="shared" si="272"/>
        <v>1.5480357375123464</v>
      </c>
      <c r="M274" s="31">
        <f t="shared" si="272"/>
        <v>1.5928834761790602</v>
      </c>
      <c r="N274" s="31">
        <f t="shared" si="272"/>
        <v>1.8631089525756692</v>
      </c>
      <c r="O274" s="31">
        <f t="shared" si="272"/>
        <v>1.8689681737742239</v>
      </c>
      <c r="P274" s="31">
        <f t="shared" ref="P274:T274" si="273">P66/P207</f>
        <v>2.0018859265166844</v>
      </c>
      <c r="Q274" s="31">
        <f t="shared" si="273"/>
        <v>2.1854181002468267</v>
      </c>
      <c r="R274" s="31">
        <f t="shared" si="273"/>
        <v>2.0761772032910408</v>
      </c>
      <c r="S274" s="31">
        <f t="shared" si="273"/>
        <v>2.3967008043644458</v>
      </c>
      <c r="T274" s="31">
        <f t="shared" si="273"/>
        <v>2.6399345410614226</v>
      </c>
    </row>
    <row r="275" spans="1:20" s="25" customFormat="1" ht="15" customHeight="1">
      <c r="B275" s="344" t="s">
        <v>278</v>
      </c>
      <c r="C275" s="31">
        <f t="shared" si="259"/>
        <v>1</v>
      </c>
      <c r="D275" s="31">
        <f t="shared" si="259"/>
        <v>11.552597122925462</v>
      </c>
      <c r="E275" s="31">
        <f t="shared" si="259"/>
        <v>8.8410191451387039</v>
      </c>
      <c r="F275" s="31">
        <f t="shared" si="259"/>
        <v>11.560745885236514</v>
      </c>
      <c r="G275" s="31">
        <f t="shared" si="259"/>
        <v>14.052316454096804</v>
      </c>
      <c r="H275" s="31">
        <f t="shared" si="235"/>
        <v>14.052316454096804</v>
      </c>
      <c r="I275" s="31">
        <f t="shared" si="235"/>
        <v>15.808340493811059</v>
      </c>
      <c r="J275" s="31">
        <f t="shared" ref="J275:O275" si="274">J67/J208</f>
        <v>11.948863666231382</v>
      </c>
      <c r="K275" s="31">
        <f t="shared" si="274"/>
        <v>23.512500830790984</v>
      </c>
      <c r="L275" s="31">
        <f t="shared" si="274"/>
        <v>29.679743030746685</v>
      </c>
      <c r="M275" s="31">
        <f t="shared" si="274"/>
        <v>30.449485585556086</v>
      </c>
      <c r="N275" s="31">
        <f t="shared" si="274"/>
        <v>29.503145387300705</v>
      </c>
      <c r="O275" s="31">
        <f t="shared" si="274"/>
        <v>30.884033581365738</v>
      </c>
      <c r="P275" s="31">
        <f t="shared" ref="P275:T275" si="275">P67/P208</f>
        <v>27.945069390560555</v>
      </c>
      <c r="Q275" s="31">
        <f t="shared" si="275"/>
        <v>27.373987412458142</v>
      </c>
      <c r="R275" s="31">
        <f t="shared" si="275"/>
        <v>27.349904065898926</v>
      </c>
      <c r="S275" s="31">
        <f t="shared" si="275"/>
        <v>31.812334961608904</v>
      </c>
      <c r="T275" s="31">
        <f t="shared" si="275"/>
        <v>32.627464868174677</v>
      </c>
    </row>
    <row r="276" spans="1:20" ht="15" customHeight="1">
      <c r="B276" s="345" t="s">
        <v>361</v>
      </c>
      <c r="C276" s="32">
        <f t="shared" si="259"/>
        <v>1</v>
      </c>
      <c r="D276" s="32">
        <f t="shared" si="259"/>
        <v>1.4935870115216989</v>
      </c>
      <c r="E276" s="32">
        <f t="shared" si="259"/>
        <v>2.1657700639612609</v>
      </c>
      <c r="F276" s="32">
        <f t="shared" si="259"/>
        <v>2.4212801550521603</v>
      </c>
      <c r="G276" s="32">
        <f t="shared" si="259"/>
        <v>1.8415160681927045</v>
      </c>
      <c r="H276" s="32">
        <f t="shared" si="235"/>
        <v>1.8415160681926985</v>
      </c>
      <c r="I276" s="32">
        <f t="shared" si="235"/>
        <v>1.5503282774015608</v>
      </c>
      <c r="J276" s="32">
        <f t="shared" ref="J276:O276" si="276">J68/J209</f>
        <v>2.0102648111737045</v>
      </c>
      <c r="K276" s="32">
        <f t="shared" si="276"/>
        <v>1.4561867405487174</v>
      </c>
      <c r="L276" s="32">
        <f t="shared" si="276"/>
        <v>2.0250350660424115</v>
      </c>
      <c r="M276" s="32">
        <f t="shared" si="276"/>
        <v>2.2199203002861094</v>
      </c>
      <c r="N276" s="32">
        <f t="shared" si="276"/>
        <v>1.9859800602059203</v>
      </c>
      <c r="O276" s="32">
        <f t="shared" si="276"/>
        <v>2.190868362003362</v>
      </c>
      <c r="P276" s="32">
        <f t="shared" ref="P276:T276" si="277">P68/P209</f>
        <v>2.3080739834804787</v>
      </c>
      <c r="Q276" s="32">
        <f t="shared" si="277"/>
        <v>2.7627588196513186</v>
      </c>
      <c r="R276" s="32">
        <f t="shared" si="277"/>
        <v>1.9883553511340508</v>
      </c>
      <c r="S276" s="32">
        <f>S68/S209</f>
        <v>2.0049503974263985</v>
      </c>
      <c r="T276" s="32">
        <f t="shared" si="277"/>
        <v>2.0289532678640447</v>
      </c>
    </row>
    <row r="277" spans="1:20" ht="15" customHeight="1">
      <c r="D277" s="30"/>
    </row>
    <row r="278" spans="1:20" ht="15" customHeight="1">
      <c r="D278" s="30"/>
    </row>
    <row r="280" spans="1:20" ht="15" customHeight="1">
      <c r="A280" s="8"/>
      <c r="B280" s="33" t="s">
        <v>69</v>
      </c>
      <c r="C280" s="33">
        <v>2001</v>
      </c>
      <c r="D280" s="33">
        <f t="shared" ref="D280:K280" si="278">C280+1</f>
        <v>2002</v>
      </c>
      <c r="E280" s="33">
        <f t="shared" si="278"/>
        <v>2003</v>
      </c>
      <c r="F280" s="33">
        <f t="shared" si="278"/>
        <v>2004</v>
      </c>
      <c r="G280" s="34">
        <f t="shared" si="278"/>
        <v>2005</v>
      </c>
      <c r="H280" s="33">
        <f>F280+1</f>
        <v>2005</v>
      </c>
      <c r="I280" s="33">
        <f>H280+1</f>
        <v>2006</v>
      </c>
      <c r="J280" s="33">
        <f t="shared" si="278"/>
        <v>2007</v>
      </c>
      <c r="K280" s="33">
        <f t="shared" si="278"/>
        <v>2008</v>
      </c>
      <c r="L280" s="33">
        <f>K280+1</f>
        <v>2009</v>
      </c>
      <c r="M280" s="33">
        <f>L280+1</f>
        <v>2010</v>
      </c>
      <c r="N280" s="33">
        <f>M280+1</f>
        <v>2011</v>
      </c>
      <c r="O280" s="33">
        <f>N280+1</f>
        <v>2012</v>
      </c>
      <c r="P280" s="33">
        <f t="shared" ref="P280:T280" si="279">O280+1</f>
        <v>2013</v>
      </c>
      <c r="Q280" s="33">
        <f t="shared" si="279"/>
        <v>2014</v>
      </c>
      <c r="R280" s="33">
        <f t="shared" si="279"/>
        <v>2015</v>
      </c>
      <c r="S280" s="33">
        <f t="shared" si="279"/>
        <v>2016</v>
      </c>
      <c r="T280" s="33">
        <f t="shared" si="279"/>
        <v>2017</v>
      </c>
    </row>
    <row r="281" spans="1:20" ht="15" customHeight="1">
      <c r="B281" s="35" t="s">
        <v>74</v>
      </c>
      <c r="C281" s="36"/>
      <c r="D281" s="36">
        <f>SUMPRODUCT(C212:C276,D145:D209)</f>
        <v>24118580.300254438</v>
      </c>
      <c r="E281" s="36">
        <f>SUMPRODUCT(D212:D276,E145:E209)</f>
        <v>28566070.432859126</v>
      </c>
      <c r="F281" s="36">
        <f>SUMPRODUCT(E212:E276,F145:F209)</f>
        <v>33761817.311606392</v>
      </c>
      <c r="G281" s="36">
        <f>SUMPRODUCT(F212:F276,G145:G209)</f>
        <v>36616916.61572212</v>
      </c>
      <c r="H281" s="36"/>
      <c r="I281" s="36">
        <f t="shared" ref="I281:O281" si="280">SUMPRODUCT(H212:H276,I145:I209)</f>
        <v>42172701.206176177</v>
      </c>
      <c r="J281" s="36">
        <f t="shared" si="280"/>
        <v>52777166.077764705</v>
      </c>
      <c r="K281" s="36">
        <f t="shared" si="280"/>
        <v>58983815.471877642</v>
      </c>
      <c r="L281" s="36">
        <f t="shared" si="280"/>
        <v>65691606.656132616</v>
      </c>
      <c r="M281" s="36">
        <f t="shared" si="280"/>
        <v>76764959.359078288</v>
      </c>
      <c r="N281" s="36">
        <f t="shared" si="280"/>
        <v>87672417.786500171</v>
      </c>
      <c r="O281" s="36">
        <f t="shared" si="280"/>
        <v>102556012.429392</v>
      </c>
      <c r="P281" s="36">
        <f t="shared" ref="P281:S281" si="281">SUMPRODUCT(O212:O276,P145:P209)</f>
        <v>116996007.15815642</v>
      </c>
      <c r="Q281" s="36">
        <f t="shared" si="281"/>
        <v>122687608.06032827</v>
      </c>
      <c r="R281" s="36">
        <f t="shared" si="281"/>
        <v>135723268.05332807</v>
      </c>
      <c r="S281" s="36">
        <f t="shared" si="281"/>
        <v>145777739.76136136</v>
      </c>
      <c r="T281" s="36">
        <f>SUMPRODUCT(S212:S276,T145:T209)</f>
        <v>156301503.43138465</v>
      </c>
    </row>
    <row r="282" spans="1:20" ht="15" customHeight="1">
      <c r="B282" s="35" t="s">
        <v>75</v>
      </c>
      <c r="C282" s="37"/>
      <c r="D282" s="36">
        <f>SUMPRODUCT(C212:C276,C145:C209)</f>
        <v>23411249.129258707</v>
      </c>
      <c r="E282" s="36">
        <f>SUMPRODUCT(D212:D276,D145:D209)</f>
        <v>27720378.890117582</v>
      </c>
      <c r="F282" s="36">
        <f>SUMPRODUCT(E212:E276,E145:E209)</f>
        <v>30830882.396099996</v>
      </c>
      <c r="G282" s="36">
        <f>SUMPRODUCT(F212:F276,F145:F209)</f>
        <v>33363457.73999998</v>
      </c>
      <c r="H282" s="36"/>
      <c r="I282" s="36">
        <f t="shared" ref="I282:O282" si="282">SUMPRODUCT(H212:H276,H145:H209)</f>
        <v>39393563.098999992</v>
      </c>
      <c r="J282" s="36">
        <f t="shared" si="282"/>
        <v>43967132.497000098</v>
      </c>
      <c r="K282" s="36">
        <f t="shared" si="282"/>
        <v>54030547.891999975</v>
      </c>
      <c r="L282" s="36">
        <f t="shared" si="282"/>
        <v>61172119.764537796</v>
      </c>
      <c r="M282" s="36">
        <f t="shared" si="282"/>
        <v>68998202.40092437</v>
      </c>
      <c r="N282" s="36">
        <f t="shared" si="282"/>
        <v>78496539.930294126</v>
      </c>
      <c r="O282" s="36">
        <f t="shared" si="282"/>
        <v>92810798.88854681</v>
      </c>
      <c r="P282" s="36">
        <f t="shared" ref="P282:T282" si="283">SUMPRODUCT(O212:O276,O145:O209)</f>
        <v>106340620.18440014</v>
      </c>
      <c r="Q282" s="36">
        <f t="shared" si="283"/>
        <v>118437796.26594913</v>
      </c>
      <c r="R282" s="36">
        <f t="shared" si="283"/>
        <v>126209455.04299995</v>
      </c>
      <c r="S282" s="36">
        <f t="shared" si="283"/>
        <v>135041658.37799999</v>
      </c>
      <c r="T282" s="36">
        <f t="shared" si="283"/>
        <v>146398017.40349162</v>
      </c>
    </row>
    <row r="283" spans="1:20" ht="15" customHeight="1">
      <c r="B283" s="618"/>
      <c r="C283" s="618"/>
      <c r="D283" s="618"/>
      <c r="E283" s="618"/>
      <c r="F283" s="618"/>
      <c r="G283" s="618"/>
      <c r="H283" s="618"/>
      <c r="I283" s="618"/>
      <c r="J283" s="618"/>
      <c r="K283" s="618"/>
      <c r="L283" s="618"/>
      <c r="M283" s="618"/>
      <c r="N283" s="618"/>
      <c r="O283" s="618"/>
      <c r="P283" s="618"/>
      <c r="Q283" s="618"/>
      <c r="R283" s="618"/>
      <c r="S283" s="618"/>
      <c r="T283" s="618"/>
    </row>
    <row r="284" spans="1:20" ht="15" customHeight="1">
      <c r="A284" s="8"/>
      <c r="B284" s="33" t="s">
        <v>70</v>
      </c>
      <c r="C284" s="33">
        <v>2001</v>
      </c>
      <c r="D284" s="33">
        <f t="shared" ref="D284:K284" si="284">C284+1</f>
        <v>2002</v>
      </c>
      <c r="E284" s="33">
        <f t="shared" si="284"/>
        <v>2003</v>
      </c>
      <c r="F284" s="33">
        <f t="shared" si="284"/>
        <v>2004</v>
      </c>
      <c r="G284" s="34">
        <f t="shared" si="284"/>
        <v>2005</v>
      </c>
      <c r="H284" s="33">
        <f>F284+1</f>
        <v>2005</v>
      </c>
      <c r="I284" s="33">
        <f>H284+1</f>
        <v>2006</v>
      </c>
      <c r="J284" s="33">
        <f t="shared" si="284"/>
        <v>2007</v>
      </c>
      <c r="K284" s="33">
        <f t="shared" si="284"/>
        <v>2008</v>
      </c>
      <c r="L284" s="33">
        <f>K284+1</f>
        <v>2009</v>
      </c>
      <c r="M284" s="33">
        <f>L284+1</f>
        <v>2010</v>
      </c>
      <c r="N284" s="33">
        <f>M284+1</f>
        <v>2011</v>
      </c>
      <c r="O284" s="33">
        <f>N284+1</f>
        <v>2012</v>
      </c>
      <c r="P284" s="33">
        <f t="shared" ref="P284:T284" si="285">O284+1</f>
        <v>2013</v>
      </c>
      <c r="Q284" s="33">
        <f t="shared" si="285"/>
        <v>2014</v>
      </c>
      <c r="R284" s="33">
        <f t="shared" si="285"/>
        <v>2015</v>
      </c>
      <c r="S284" s="33">
        <f t="shared" si="285"/>
        <v>2016</v>
      </c>
      <c r="T284" s="33">
        <f t="shared" si="285"/>
        <v>2017</v>
      </c>
    </row>
    <row r="285" spans="1:20" ht="15" customHeight="1">
      <c r="B285" s="35" t="s">
        <v>74</v>
      </c>
      <c r="C285" s="37"/>
      <c r="D285" s="36">
        <f>SUMPRODUCT(D212:D276,D145:D209)</f>
        <v>27720378.890117582</v>
      </c>
      <c r="E285" s="36">
        <f>SUMPRODUCT(E212:E276,E145:E209)</f>
        <v>30830882.396099996</v>
      </c>
      <c r="F285" s="36">
        <f>SUMPRODUCT(F212:F276,F145:F209)</f>
        <v>33363457.73999998</v>
      </c>
      <c r="G285" s="36">
        <f>SUMPRODUCT(G212:G276,G145:G209)</f>
        <v>38432053.482877001</v>
      </c>
      <c r="H285" s="36"/>
      <c r="I285" s="36">
        <f t="shared" ref="I285:O285" si="286">SUMPRODUCT(I212:I276,I145:I209)</f>
        <v>43967132.497000098</v>
      </c>
      <c r="J285" s="36">
        <f t="shared" si="286"/>
        <v>54030547.891999975</v>
      </c>
      <c r="K285" s="36">
        <f t="shared" si="286"/>
        <v>61172119.764537796</v>
      </c>
      <c r="L285" s="36">
        <f t="shared" si="286"/>
        <v>68998202.40092437</v>
      </c>
      <c r="M285" s="36">
        <f t="shared" si="286"/>
        <v>78496539.930294126</v>
      </c>
      <c r="N285" s="36">
        <f t="shared" si="286"/>
        <v>92810798.88854681</v>
      </c>
      <c r="O285" s="36">
        <f t="shared" si="286"/>
        <v>106340620.18440014</v>
      </c>
      <c r="P285" s="36">
        <f t="shared" ref="P285:T285" si="287">SUMPRODUCT(P212:P276,P145:P209)</f>
        <v>118437796.26594913</v>
      </c>
      <c r="Q285" s="36">
        <f t="shared" si="287"/>
        <v>126209455.04299995</v>
      </c>
      <c r="R285" s="36">
        <f>SUMPRODUCT(R212:R276,R145:R209)</f>
        <v>135041658.37799999</v>
      </c>
      <c r="S285" s="36">
        <f>SUMPRODUCT(S212:S276,S145:S209)</f>
        <v>146398017.40349162</v>
      </c>
      <c r="T285" s="36">
        <f t="shared" si="287"/>
        <v>161546711.8817119</v>
      </c>
    </row>
    <row r="286" spans="1:20" ht="15" customHeight="1">
      <c r="B286" s="35" t="s">
        <v>75</v>
      </c>
      <c r="C286" s="37"/>
      <c r="D286" s="36">
        <f>SUMPRODUCT(D212:D276,C145:C209)</f>
        <v>26845443.526351091</v>
      </c>
      <c r="E286" s="36">
        <f>SUMPRODUCT(E212:E276,D145:D209)</f>
        <v>29931083.137386989</v>
      </c>
      <c r="F286" s="36">
        <f>SUMPRODUCT(F212:F276,E145:E209)</f>
        <v>30619008.386299979</v>
      </c>
      <c r="G286" s="36">
        <f>SUMPRODUCT(G212:G276,F145:F209)</f>
        <v>35061734.290352814</v>
      </c>
      <c r="H286" s="36"/>
      <c r="I286" s="36">
        <f t="shared" ref="I286:O286" si="288">SUMPRODUCT(I212:I276,H145:H209)</f>
        <v>41951824.592693694</v>
      </c>
      <c r="J286" s="36">
        <f t="shared" si="288"/>
        <v>44960394.502802096</v>
      </c>
      <c r="K286" s="36">
        <f t="shared" si="288"/>
        <v>56038005.415452451</v>
      </c>
      <c r="L286" s="36">
        <f t="shared" si="288"/>
        <v>64417225.369141772</v>
      </c>
      <c r="M286" s="36">
        <f t="shared" si="288"/>
        <v>70421922.470662773</v>
      </c>
      <c r="N286" s="36">
        <f t="shared" si="288"/>
        <v>83113439.528692514</v>
      </c>
      <c r="O286" s="36">
        <f t="shared" si="288"/>
        <v>96217758.001464039</v>
      </c>
      <c r="P286" s="36">
        <f t="shared" ref="P286:T286" si="289">SUMPRODUCT(P212:P276,O145:O209)</f>
        <v>107656185.1751274</v>
      </c>
      <c r="Q286" s="36">
        <f t="shared" si="289"/>
        <v>121781874.09229565</v>
      </c>
      <c r="R286" s="36">
        <f t="shared" si="289"/>
        <v>125662350.62006749</v>
      </c>
      <c r="S286" s="36">
        <f t="shared" si="289"/>
        <v>135774863.29252693</v>
      </c>
      <c r="T286" s="36">
        <f t="shared" si="289"/>
        <v>151245742.45143628</v>
      </c>
    </row>
    <row r="287" spans="1:20" ht="15" customHeight="1" thickBot="1">
      <c r="B287" s="618"/>
      <c r="C287" s="618"/>
      <c r="D287" s="618"/>
      <c r="E287" s="618"/>
      <c r="F287" s="618"/>
      <c r="G287" s="618"/>
      <c r="H287" s="618"/>
      <c r="I287" s="618"/>
      <c r="J287" s="618"/>
      <c r="K287" s="618"/>
      <c r="L287" s="618"/>
      <c r="M287" s="618"/>
      <c r="N287" s="618"/>
      <c r="O287" s="618"/>
      <c r="P287" s="618"/>
      <c r="Q287" s="618"/>
      <c r="R287" s="618"/>
      <c r="S287" s="618"/>
      <c r="T287" s="618"/>
    </row>
    <row r="288" spans="1:20" ht="15.75" thickBot="1">
      <c r="B288" s="618"/>
      <c r="C288" s="6">
        <v>2001</v>
      </c>
      <c r="D288" s="38">
        <f t="shared" ref="D288:K288" si="290">C288+1</f>
        <v>2002</v>
      </c>
      <c r="E288" s="38">
        <f t="shared" si="290"/>
        <v>2003</v>
      </c>
      <c r="F288" s="38">
        <f t="shared" si="290"/>
        <v>2004</v>
      </c>
      <c r="G288" s="39">
        <f t="shared" si="290"/>
        <v>2005</v>
      </c>
      <c r="H288" s="38">
        <f>F288+1</f>
        <v>2005</v>
      </c>
      <c r="I288" s="38">
        <f>H288+1</f>
        <v>2006</v>
      </c>
      <c r="J288" s="38">
        <f t="shared" si="290"/>
        <v>2007</v>
      </c>
      <c r="K288" s="38">
        <f t="shared" si="290"/>
        <v>2008</v>
      </c>
      <c r="L288" s="38">
        <f>K288+1</f>
        <v>2009</v>
      </c>
      <c r="M288" s="38">
        <f>L288+1</f>
        <v>2010</v>
      </c>
      <c r="N288" s="38">
        <f>M288+1</f>
        <v>2011</v>
      </c>
      <c r="O288" s="38">
        <f>N288+1</f>
        <v>2012</v>
      </c>
      <c r="P288" s="38">
        <f t="shared" ref="P288:T288" si="291">O288+1</f>
        <v>2013</v>
      </c>
      <c r="Q288" s="38">
        <f t="shared" si="291"/>
        <v>2014</v>
      </c>
      <c r="R288" s="38">
        <f t="shared" si="291"/>
        <v>2015</v>
      </c>
      <c r="S288" s="38">
        <f t="shared" si="291"/>
        <v>2016</v>
      </c>
      <c r="T288" s="38">
        <f t="shared" si="291"/>
        <v>2017</v>
      </c>
    </row>
    <row r="289" spans="1:20" ht="18" customHeight="1" thickBot="1">
      <c r="A289" s="8"/>
      <c r="B289" s="40" t="s">
        <v>72</v>
      </c>
      <c r="C289" s="41"/>
      <c r="D289" s="347">
        <f>((D281/D282)*(D285/D286))^0.5</f>
        <v>1.0314017551079231</v>
      </c>
      <c r="E289" s="347">
        <f t="shared" ref="E289:T289" si="292">((E281/E282)*(E285/E286))^0.5</f>
        <v>1.0302851282519596</v>
      </c>
      <c r="F289" s="347">
        <f>((F281/F282)*(F285/F286))^0.5</f>
        <v>1.0923451796827861</v>
      </c>
      <c r="G289" s="347">
        <f>((G281/G282)*(G285/G286))^0.5</f>
        <v>1.0968202411948711</v>
      </c>
      <c r="H289" s="347"/>
      <c r="I289" s="347">
        <f t="shared" si="292"/>
        <v>1.0592335338926757</v>
      </c>
      <c r="J289" s="347">
        <f t="shared" si="292"/>
        <v>1.2010569242422613</v>
      </c>
      <c r="K289" s="347">
        <f t="shared" si="292"/>
        <v>1.0916468753229018</v>
      </c>
      <c r="L289" s="347">
        <f t="shared" si="292"/>
        <v>1.0724969299079889</v>
      </c>
      <c r="M289" s="347">
        <f t="shared" si="292"/>
        <v>1.1136121034905859</v>
      </c>
      <c r="N289" s="347">
        <f t="shared" si="292"/>
        <v>1.1167857471138953</v>
      </c>
      <c r="O289" s="347">
        <f t="shared" si="292"/>
        <v>1.1051043427033724</v>
      </c>
      <c r="P289" s="347">
        <f t="shared" si="292"/>
        <v>1.1001745430535728</v>
      </c>
      <c r="Q289" s="813">
        <f t="shared" si="292"/>
        <v>1.0361194108478071</v>
      </c>
      <c r="R289" s="347">
        <f t="shared" si="292"/>
        <v>1.0750099899500267</v>
      </c>
      <c r="S289" s="347">
        <f t="shared" si="292"/>
        <v>1.0788712880889759</v>
      </c>
      <c r="T289" s="347">
        <f t="shared" si="292"/>
        <v>1.0678775646335386</v>
      </c>
    </row>
    <row r="290" spans="1:20" ht="15.75" thickBot="1">
      <c r="B290" s="618"/>
      <c r="C290" s="618"/>
      <c r="D290" s="618"/>
      <c r="E290" s="618"/>
      <c r="F290" s="618"/>
      <c r="G290" s="618"/>
      <c r="H290" s="618"/>
      <c r="I290" s="618"/>
      <c r="J290" s="618"/>
      <c r="K290" s="618"/>
      <c r="L290" s="618"/>
      <c r="M290" s="618"/>
      <c r="N290" s="618"/>
      <c r="O290" s="618"/>
      <c r="P290" s="618"/>
      <c r="Q290" s="618"/>
      <c r="R290" s="618"/>
      <c r="S290" s="618"/>
      <c r="T290" s="618"/>
    </row>
    <row r="291" spans="1:20" ht="16.5" customHeight="1">
      <c r="B291" s="43" t="s">
        <v>219</v>
      </c>
      <c r="C291" s="43"/>
      <c r="D291" s="44">
        <v>2002</v>
      </c>
      <c r="E291" s="44">
        <f t="shared" ref="E291:K291" si="293">+D291+1</f>
        <v>2003</v>
      </c>
      <c r="F291" s="44">
        <f t="shared" si="293"/>
        <v>2004</v>
      </c>
      <c r="G291" s="45">
        <f t="shared" si="293"/>
        <v>2005</v>
      </c>
      <c r="H291" s="44">
        <f>+F291+1</f>
        <v>2005</v>
      </c>
      <c r="I291" s="44">
        <f>+H291+1</f>
        <v>2006</v>
      </c>
      <c r="J291" s="46">
        <f t="shared" si="293"/>
        <v>2007</v>
      </c>
      <c r="K291" s="44">
        <f t="shared" si="293"/>
        <v>2008</v>
      </c>
      <c r="L291" s="46">
        <f>+K291+1</f>
        <v>2009</v>
      </c>
      <c r="M291" s="44">
        <f>+L291+1</f>
        <v>2010</v>
      </c>
      <c r="N291" s="46">
        <f>+M291+1</f>
        <v>2011</v>
      </c>
      <c r="O291" s="44">
        <f>+N291+1</f>
        <v>2012</v>
      </c>
      <c r="P291" s="46">
        <f t="shared" ref="P291:T291" si="294">+O291+1</f>
        <v>2013</v>
      </c>
      <c r="Q291" s="44">
        <f t="shared" si="294"/>
        <v>2014</v>
      </c>
      <c r="R291" s="46">
        <f t="shared" si="294"/>
        <v>2015</v>
      </c>
      <c r="S291" s="44">
        <f t="shared" si="294"/>
        <v>2016</v>
      </c>
      <c r="T291" s="46">
        <f t="shared" si="294"/>
        <v>2017</v>
      </c>
    </row>
    <row r="292" spans="1:20" ht="16.5" customHeight="1" thickBot="1">
      <c r="A292" s="8"/>
      <c r="B292" s="47" t="s">
        <v>220</v>
      </c>
      <c r="C292" s="48"/>
      <c r="D292" s="49">
        <f>LN(D289)</f>
        <v>3.0918804308591775E-2</v>
      </c>
      <c r="E292" s="49">
        <f t="shared" ref="E292:T292" si="295">LN(E289)</f>
        <v>2.983558747856821E-2</v>
      </c>
      <c r="F292" s="49">
        <f t="shared" si="295"/>
        <v>8.8326925984682989E-2</v>
      </c>
      <c r="G292" s="49">
        <f t="shared" si="295"/>
        <v>9.2415303868538759E-2</v>
      </c>
      <c r="H292" s="49"/>
      <c r="I292" s="49">
        <f t="shared" si="295"/>
        <v>5.7545565341327445E-2</v>
      </c>
      <c r="J292" s="49">
        <f t="shared" si="295"/>
        <v>0.18320193934536874</v>
      </c>
      <c r="K292" s="49">
        <f t="shared" si="295"/>
        <v>8.7687450779560194E-2</v>
      </c>
      <c r="L292" s="49">
        <f t="shared" si="295"/>
        <v>6.9989509259284197E-2</v>
      </c>
      <c r="M292" s="49">
        <f t="shared" si="295"/>
        <v>0.10760887933437879</v>
      </c>
      <c r="N292" s="49">
        <f t="shared" si="295"/>
        <v>0.11045469068978282</v>
      </c>
      <c r="O292" s="49">
        <f t="shared" si="295"/>
        <v>9.9939758297550807E-2</v>
      </c>
      <c r="P292" s="49">
        <f t="shared" si="295"/>
        <v>9.5468842719946712E-2</v>
      </c>
      <c r="Q292" s="49">
        <f t="shared" si="295"/>
        <v>3.5482398631309628E-2</v>
      </c>
      <c r="R292" s="49">
        <f t="shared" si="295"/>
        <v>7.2329954513215722E-2</v>
      </c>
      <c r="S292" s="49">
        <f t="shared" si="295"/>
        <v>7.5915391013219716E-2</v>
      </c>
      <c r="T292" s="49">
        <f t="shared" si="295"/>
        <v>6.5673094110115224E-2</v>
      </c>
    </row>
    <row r="294" spans="1:20" ht="15" customHeight="1">
      <c r="B294" s="30"/>
      <c r="D294" s="50"/>
      <c r="E294" s="50"/>
      <c r="F294" s="50"/>
      <c r="G294" s="50"/>
      <c r="H294" s="50"/>
      <c r="I294" s="50"/>
      <c r="J294" s="50"/>
    </row>
    <row r="297" spans="1:20" ht="15" customHeight="1">
      <c r="B297" s="51" t="s">
        <v>1</v>
      </c>
      <c r="C297" s="3"/>
      <c r="D297" s="3"/>
      <c r="E297" s="3"/>
      <c r="F297" s="3"/>
      <c r="G297" s="3"/>
      <c r="H297" s="3"/>
      <c r="I297" s="3"/>
      <c r="J297" s="3"/>
    </row>
    <row r="298" spans="1:20" ht="15" customHeight="1" thickBot="1"/>
    <row r="299" spans="1:20" ht="16.5" customHeight="1">
      <c r="B299" s="43" t="s">
        <v>398</v>
      </c>
      <c r="C299" s="43">
        <v>2001</v>
      </c>
      <c r="D299" s="44">
        <f>C299+1</f>
        <v>2002</v>
      </c>
      <c r="E299" s="44">
        <f>D299+1</f>
        <v>2003</v>
      </c>
      <c r="F299" s="44">
        <f>E299+1</f>
        <v>2004</v>
      </c>
      <c r="G299" s="45">
        <f>F299+1</f>
        <v>2005</v>
      </c>
      <c r="H299" s="44">
        <f>F299+1</f>
        <v>2005</v>
      </c>
      <c r="I299" s="44">
        <f t="shared" ref="I299:O299" si="296">H299+1</f>
        <v>2006</v>
      </c>
      <c r="J299" s="46">
        <f t="shared" si="296"/>
        <v>2007</v>
      </c>
      <c r="K299" s="44">
        <f t="shared" si="296"/>
        <v>2008</v>
      </c>
      <c r="L299" s="46">
        <f t="shared" si="296"/>
        <v>2009</v>
      </c>
      <c r="M299" s="44">
        <f t="shared" si="296"/>
        <v>2010</v>
      </c>
      <c r="N299" s="46">
        <f t="shared" si="296"/>
        <v>2011</v>
      </c>
      <c r="O299" s="44">
        <f t="shared" si="296"/>
        <v>2012</v>
      </c>
      <c r="P299" s="46">
        <f t="shared" ref="P299:T299" si="297">O299+1</f>
        <v>2013</v>
      </c>
      <c r="Q299" s="44">
        <f t="shared" si="297"/>
        <v>2014</v>
      </c>
      <c r="R299" s="46">
        <f t="shared" si="297"/>
        <v>2015</v>
      </c>
      <c r="S299" s="44">
        <f t="shared" si="297"/>
        <v>2016</v>
      </c>
      <c r="T299" s="46">
        <f t="shared" si="297"/>
        <v>2017</v>
      </c>
    </row>
    <row r="300" spans="1:20" ht="15" customHeight="1">
      <c r="B300" s="9" t="s">
        <v>61</v>
      </c>
      <c r="C300" s="23">
        <f>+OUTPUT!E7*1000</f>
        <v>23025234.490409948</v>
      </c>
      <c r="D300" s="23">
        <f>+OUTPUT!G7*1000</f>
        <v>24206504.140000001</v>
      </c>
      <c r="E300" s="23">
        <f>+OUTPUT!I7*1000</f>
        <v>27452321.359999999</v>
      </c>
      <c r="F300" s="23">
        <f>+OUTPUT!K7*1000</f>
        <v>30688574.149999999</v>
      </c>
      <c r="G300" s="23">
        <f>+H300</f>
        <v>34475937.829999998</v>
      </c>
      <c r="H300" s="23">
        <f>+OUTPUT!M7*1000</f>
        <v>34475937.829999998</v>
      </c>
      <c r="I300" s="23">
        <f>+OUTPUT!O7*1000</f>
        <v>37979188.32</v>
      </c>
      <c r="J300" s="23">
        <f>+OUTPUT!Q7*1000</f>
        <v>45757548.11999999</v>
      </c>
      <c r="K300" s="23">
        <f>+OUTPUT!S7*1000</f>
        <v>50168531.932773113</v>
      </c>
      <c r="L300" s="23">
        <f>+OUTPUT!U7*1000</f>
        <v>52966424.579831928</v>
      </c>
      <c r="M300" s="23">
        <f>+OUTPUT!W7*1000</f>
        <v>55399188.239495799</v>
      </c>
      <c r="N300" s="23">
        <f>+OUTPUT!Y7*1000</f>
        <v>61381639.819220982</v>
      </c>
      <c r="O300" s="23">
        <f>+OUTPUT!AA7*1000</f>
        <v>67406802.312903389</v>
      </c>
      <c r="P300" s="23">
        <f>+OUTPUT!AC7*1000</f>
        <v>74814176.929999992</v>
      </c>
      <c r="Q300" s="23">
        <f>+OUTPUT!AE7*1000</f>
        <v>76097911.109999985</v>
      </c>
      <c r="R300" s="23">
        <f>+OUTPUT!AG7*1000</f>
        <v>81291824.710000008</v>
      </c>
      <c r="S300" s="23">
        <f>+OUTPUT!AI7*1000</f>
        <v>87884772.929999992</v>
      </c>
      <c r="T300" s="23">
        <f>+OUTPUT!AK7*1000</f>
        <v>94498796.446101695</v>
      </c>
    </row>
    <row r="301" spans="1:20" ht="15" customHeight="1">
      <c r="B301" s="11" t="s">
        <v>62</v>
      </c>
      <c r="C301" s="23">
        <f>+OUTPUT!E8*1000</f>
        <v>2899854.9551049704</v>
      </c>
      <c r="D301" s="23">
        <f>+OUTPUT!G8*1000</f>
        <v>3214749.1599999997</v>
      </c>
      <c r="E301" s="23">
        <f>+OUTPUT!I8*1000</f>
        <v>4148941.5900000003</v>
      </c>
      <c r="F301" s="23">
        <f>+OUTPUT!K8*1000</f>
        <v>4630269.2</v>
      </c>
      <c r="G301" s="23">
        <f t="shared" ref="G301:G346" si="298">+H301</f>
        <v>4993623.53</v>
      </c>
      <c r="H301" s="23">
        <f>+OUTPUT!M8*1000</f>
        <v>4993623.53</v>
      </c>
      <c r="I301" s="23">
        <f>+OUTPUT!O8*1000</f>
        <v>6670552.4800000004</v>
      </c>
      <c r="J301" s="23">
        <f>+OUTPUT!Q8*1000</f>
        <v>8673839.9100000001</v>
      </c>
      <c r="K301" s="23">
        <f>+OUTPUT!S8*1000</f>
        <v>9531520.7983193286</v>
      </c>
      <c r="L301" s="23">
        <f>+OUTPUT!U8*1000</f>
        <v>9833215.6470588222</v>
      </c>
      <c r="M301" s="23">
        <f>+OUTPUT!W8*1000</f>
        <v>14614316.197647065</v>
      </c>
      <c r="N301" s="23">
        <f>+OUTPUT!Y8*1000</f>
        <v>18641599.238169983</v>
      </c>
      <c r="O301" s="23">
        <f>+OUTPUT!AA8*1000</f>
        <v>25671236.93907797</v>
      </c>
      <c r="P301" s="23">
        <f>+OUTPUT!AC8*1000</f>
        <v>31808660.616949163</v>
      </c>
      <c r="Q301" s="23">
        <f>+OUTPUT!AE8*1000</f>
        <v>36303520.469999999</v>
      </c>
      <c r="R301" s="23">
        <f>+OUTPUT!AG8*1000</f>
        <v>43025833.510000005</v>
      </c>
      <c r="S301" s="23">
        <f>+OUTPUT!AI8*1000</f>
        <v>47561040.969491519</v>
      </c>
      <c r="T301" s="23">
        <f>+OUTPUT!AK8*1000</f>
        <v>53003605.33983051</v>
      </c>
    </row>
    <row r="302" spans="1:20" ht="15" customHeight="1">
      <c r="B302" s="11" t="s">
        <v>588</v>
      </c>
      <c r="C302" s="23">
        <f>+OUTPUT!E9*1000</f>
        <v>0</v>
      </c>
      <c r="D302" s="23">
        <f>+OUTPUT!G9*1000</f>
        <v>0</v>
      </c>
      <c r="E302" s="23">
        <f>+OUTPUT!I9*1000</f>
        <v>0</v>
      </c>
      <c r="F302" s="23">
        <f>+OUTPUT!K9*1000</f>
        <v>0</v>
      </c>
      <c r="G302" s="23">
        <f>+H302</f>
        <v>0</v>
      </c>
      <c r="H302" s="23">
        <f>+OUTPUT!M9*1000</f>
        <v>0</v>
      </c>
      <c r="I302" s="23">
        <f>+OUTPUT!O9*1000</f>
        <v>0</v>
      </c>
      <c r="J302" s="23">
        <f>+OUTPUT!Q9*1000</f>
        <v>0</v>
      </c>
      <c r="K302" s="23">
        <f>+OUTPUT!S9*1000</f>
        <v>0</v>
      </c>
      <c r="L302" s="23">
        <f>+OUTPUT!U9*1000</f>
        <v>0</v>
      </c>
      <c r="M302" s="23">
        <f>+OUTPUT!W9*1000</f>
        <v>0</v>
      </c>
      <c r="N302" s="23">
        <f>+OUTPUT!Y9*1000</f>
        <v>0</v>
      </c>
      <c r="O302" s="23">
        <f>+OUTPUT!AA9*1000</f>
        <v>0</v>
      </c>
      <c r="P302" s="23">
        <f>+OUTPUT!AC9*1000</f>
        <v>0</v>
      </c>
      <c r="Q302" s="23">
        <f>+OUTPUT!AE9*1000</f>
        <v>0</v>
      </c>
      <c r="R302" s="23">
        <f>+OUTPUT!AG9*1000</f>
        <v>0</v>
      </c>
      <c r="S302" s="23">
        <f>+OUTPUT!AI9*1000</f>
        <v>0</v>
      </c>
      <c r="T302" s="23">
        <f>+OUTPUT!AK9*1000</f>
        <v>0</v>
      </c>
    </row>
    <row r="303" spans="1:20" ht="15" customHeight="1">
      <c r="B303" s="11" t="s">
        <v>310</v>
      </c>
      <c r="C303" s="23">
        <f>+OUTPUT!E14*1000</f>
        <v>5250.5940776965017</v>
      </c>
      <c r="D303" s="23">
        <f>+OUTPUT!G14*1000</f>
        <v>4203.4799999999996</v>
      </c>
      <c r="E303" s="23">
        <f>+OUTPUT!I14*1000</f>
        <v>4642.6099999999997</v>
      </c>
      <c r="F303" s="23">
        <f>+OUTPUT!K14*1000</f>
        <v>4618.0600000000004</v>
      </c>
      <c r="G303" s="23">
        <f t="shared" si="298"/>
        <v>4670.5200000000004</v>
      </c>
      <c r="H303" s="23">
        <f>+OUTPUT!M14*1000</f>
        <v>4670.5200000000004</v>
      </c>
      <c r="I303" s="23">
        <f>+OUTPUT!O14*1000</f>
        <v>5173.24</v>
      </c>
      <c r="J303" s="23">
        <f>+OUTPUT!Q14*1000</f>
        <v>6528</v>
      </c>
      <c r="K303" s="23">
        <f>+OUTPUT!S14*1000</f>
        <v>7871</v>
      </c>
      <c r="L303" s="23">
        <f>+OUTPUT!U14*1000</f>
        <v>8681.7200000000012</v>
      </c>
      <c r="M303" s="23">
        <f>+OUTPUT!W14*1000</f>
        <v>9627.1299999999974</v>
      </c>
      <c r="N303" s="23">
        <f>+OUTPUT!Y14*1000</f>
        <v>8762.1099999999988</v>
      </c>
      <c r="O303" s="23">
        <f>+OUTPUT!AA14*1000</f>
        <v>9917.6799999999639</v>
      </c>
      <c r="P303" s="23">
        <f>+OUTPUT!AC14*1000</f>
        <v>7686.6800000000085</v>
      </c>
      <c r="Q303" s="23">
        <f>+OUTPUT!AE14*1000</f>
        <v>9643.61</v>
      </c>
      <c r="R303" s="23">
        <f>+OUTPUT!AG14*1000</f>
        <v>7245.9300000000039</v>
      </c>
      <c r="S303" s="23">
        <f>+OUTPUT!AI14*1000</f>
        <v>6505.4700000000066</v>
      </c>
      <c r="T303" s="23">
        <f>+OUTPUT!AK14*1000</f>
        <v>7074.7500000000064</v>
      </c>
    </row>
    <row r="304" spans="1:20" ht="15" customHeight="1">
      <c r="B304" s="11" t="s">
        <v>311</v>
      </c>
      <c r="C304" s="23">
        <f>+OUTPUT!E15*1000</f>
        <v>9782.53225114202</v>
      </c>
      <c r="D304" s="23">
        <f>+OUTPUT!G15*1000</f>
        <v>14641.99</v>
      </c>
      <c r="E304" s="23">
        <f>+OUTPUT!I15*1000</f>
        <v>12961.02</v>
      </c>
      <c r="F304" s="23">
        <f>+OUTPUT!K15*1000</f>
        <v>10706.87</v>
      </c>
      <c r="G304" s="23">
        <f t="shared" si="298"/>
        <v>7868.59</v>
      </c>
      <c r="H304" s="23">
        <f>+OUTPUT!M15*1000</f>
        <v>7868.59</v>
      </c>
      <c r="I304" s="23">
        <f>+OUTPUT!O15*1000</f>
        <v>6696.83</v>
      </c>
      <c r="J304" s="23">
        <f>+OUTPUT!Q15*1000</f>
        <v>8239.85</v>
      </c>
      <c r="K304" s="23">
        <f>+OUTPUT!S15*1000</f>
        <v>9502.74</v>
      </c>
      <c r="L304" s="23">
        <f>+OUTPUT!U15*1000</f>
        <v>8006.85</v>
      </c>
      <c r="M304" s="23">
        <f>+OUTPUT!W15*1000</f>
        <v>12342.420000000002</v>
      </c>
      <c r="N304" s="23">
        <f>+OUTPUT!Y15*1000</f>
        <v>12160.32</v>
      </c>
      <c r="O304" s="23">
        <f>+OUTPUT!AA15*1000</f>
        <v>15321.419999999989</v>
      </c>
      <c r="P304" s="23">
        <f>+OUTPUT!AC15*1000</f>
        <v>15335.67</v>
      </c>
      <c r="Q304" s="23">
        <f>+OUTPUT!AE15*1000</f>
        <v>16114.439999999991</v>
      </c>
      <c r="R304" s="23">
        <f>+OUTPUT!AG15*1000</f>
        <v>15369.109999999999</v>
      </c>
      <c r="S304" s="23">
        <f>+OUTPUT!AI15*1000</f>
        <v>16552.209999999995</v>
      </c>
      <c r="T304" s="23">
        <f>+OUTPUT!AK15*1000</f>
        <v>12801.469999999992</v>
      </c>
    </row>
    <row r="305" spans="2:20" ht="15" customHeight="1">
      <c r="B305" s="11" t="s">
        <v>312</v>
      </c>
      <c r="C305" s="23">
        <f>+OUTPUT!E16*1000</f>
        <v>53029.932000162131</v>
      </c>
      <c r="D305" s="23">
        <f>+OUTPUT!G16*1000</f>
        <v>46387.53</v>
      </c>
      <c r="E305" s="23">
        <f>+OUTPUT!I16*1000</f>
        <v>40197.129999999997</v>
      </c>
      <c r="F305" s="23">
        <f>+OUTPUT!K16*1000</f>
        <v>30334.75</v>
      </c>
      <c r="G305" s="23">
        <f t="shared" si="298"/>
        <v>8451.98</v>
      </c>
      <c r="H305" s="23">
        <f>+OUTPUT!M16*1000</f>
        <v>8451.98</v>
      </c>
      <c r="I305" s="23">
        <f>+OUTPUT!O16*1000</f>
        <v>55568.289999999899</v>
      </c>
      <c r="J305" s="23">
        <f>+OUTPUT!Q16*1000</f>
        <v>140521.51</v>
      </c>
      <c r="K305" s="23">
        <f>+OUTPUT!S16*1000</f>
        <v>221247.13000000006</v>
      </c>
      <c r="L305" s="23">
        <f>+OUTPUT!U16*1000</f>
        <v>372225.9299999997</v>
      </c>
      <c r="M305" s="23">
        <f>+OUTPUT!W16*1000</f>
        <v>343224.02999999968</v>
      </c>
      <c r="N305" s="23">
        <f>+OUTPUT!Y16*1000</f>
        <v>585279.23000000115</v>
      </c>
      <c r="O305" s="23">
        <f>+OUTPUT!AA16*1000</f>
        <v>621837.08000000403</v>
      </c>
      <c r="P305" s="23">
        <f>+OUTPUT!AC16*1000</f>
        <v>577711.12000000011</v>
      </c>
      <c r="Q305" s="23">
        <f>+OUTPUT!AE16*1000</f>
        <v>525558.42000000016</v>
      </c>
      <c r="R305" s="23">
        <f>+OUTPUT!AG16*1000</f>
        <v>558053.01000000047</v>
      </c>
      <c r="S305" s="23">
        <f>+OUTPUT!AI16*1000</f>
        <v>692990.18</v>
      </c>
      <c r="T305" s="23">
        <f>+OUTPUT!AK16*1000</f>
        <v>648413.4099999998</v>
      </c>
    </row>
    <row r="306" spans="2:20" ht="15" customHeight="1">
      <c r="B306" s="11" t="s">
        <v>313</v>
      </c>
      <c r="C306" s="23">
        <f>+OUTPUT!E17*1000</f>
        <v>814268.90035616001</v>
      </c>
      <c r="D306" s="23">
        <f>+OUTPUT!G17*1000</f>
        <v>594408.34999999905</v>
      </c>
      <c r="E306" s="23">
        <f>+OUTPUT!I17*1000</f>
        <v>479503.31999999902</v>
      </c>
      <c r="F306" s="23">
        <f>+OUTPUT!K17*1000</f>
        <v>565759.52</v>
      </c>
      <c r="G306" s="23">
        <f t="shared" si="298"/>
        <v>517151.73000000097</v>
      </c>
      <c r="H306" s="23">
        <f>+OUTPUT!M17*1000</f>
        <v>517151.73000000097</v>
      </c>
      <c r="I306" s="23">
        <f>+OUTPUT!O17*1000</f>
        <v>474305.96000000671</v>
      </c>
      <c r="J306" s="23">
        <f>+OUTPUT!Q17*1000</f>
        <v>781191.76999999862</v>
      </c>
      <c r="K306" s="23">
        <f>+OUTPUT!S17*1000</f>
        <v>1010164.9099999991</v>
      </c>
      <c r="L306" s="23">
        <f>+OUTPUT!U17*1000</f>
        <v>1141644.559999994</v>
      </c>
      <c r="M306" s="23">
        <f>+OUTPUT!W17*1000</f>
        <v>1322560.080000008</v>
      </c>
      <c r="N306" s="23">
        <f>+OUTPUT!Y17*1000</f>
        <v>1534953.4500000139</v>
      </c>
      <c r="O306" s="23">
        <f>+OUTPUT!AA17*1000</f>
        <v>1654758.789999913</v>
      </c>
      <c r="P306" s="23">
        <f>+OUTPUT!AC17*1000</f>
        <v>1336258.7299999981</v>
      </c>
      <c r="Q306" s="23">
        <f>+OUTPUT!AE17*1000</f>
        <v>1496526.3599999973</v>
      </c>
      <c r="R306" s="23">
        <f>+OUTPUT!AG17*1000</f>
        <v>1468154.6299999973</v>
      </c>
      <c r="S306" s="23">
        <f>+OUTPUT!AI17*1000</f>
        <v>1581608.5299999975</v>
      </c>
      <c r="T306" s="23">
        <f>+OUTPUT!AK17*1000</f>
        <v>2092807.4499999979</v>
      </c>
    </row>
    <row r="307" spans="2:20" ht="15" customHeight="1">
      <c r="B307" s="11" t="s">
        <v>314</v>
      </c>
      <c r="C307" s="23">
        <f>+OUTPUT!E18*1000</f>
        <v>1237877.8997017604</v>
      </c>
      <c r="D307" s="23">
        <f>+OUTPUT!G18*1000</f>
        <v>1157704.21</v>
      </c>
      <c r="E307" s="23">
        <f>+OUTPUT!I18*1000</f>
        <v>1364756.27</v>
      </c>
      <c r="F307" s="23">
        <f>+OUTPUT!K18*1000</f>
        <v>1513883.52</v>
      </c>
      <c r="G307" s="23">
        <f t="shared" si="298"/>
        <v>1906521.72</v>
      </c>
      <c r="H307" s="23">
        <f>+OUTPUT!M18*1000</f>
        <v>1906521.72</v>
      </c>
      <c r="I307" s="23">
        <f>+OUTPUT!O18*1000</f>
        <v>1587211.0900000138</v>
      </c>
      <c r="J307" s="23">
        <f>+OUTPUT!Q18*1000</f>
        <v>1833941.8</v>
      </c>
      <c r="K307" s="23">
        <f>+OUTPUT!S18*1000</f>
        <v>2187505.2599999998</v>
      </c>
      <c r="L307" s="23">
        <f>+OUTPUT!U18*1000</f>
        <v>2117639.4900000002</v>
      </c>
      <c r="M307" s="23">
        <f>+OUTPUT!W18*1000</f>
        <v>2376727.8799999994</v>
      </c>
      <c r="N307" s="23">
        <f>+OUTPUT!Y18*1000</f>
        <v>2488502.2300000018</v>
      </c>
      <c r="O307" s="23">
        <f>+OUTPUT!AA18*1000</f>
        <v>2978835.7899999307</v>
      </c>
      <c r="P307" s="23">
        <f>+OUTPUT!AC18*1000</f>
        <v>3484619.6800000016</v>
      </c>
      <c r="Q307" s="23">
        <f>+OUTPUT!AE18*1000</f>
        <v>3023872.5200000009</v>
      </c>
      <c r="R307" s="23">
        <f>+OUTPUT!AG18*1000</f>
        <v>3717569.5100000007</v>
      </c>
      <c r="S307" s="23">
        <f>+OUTPUT!AI18*1000</f>
        <v>3907250.3600000008</v>
      </c>
      <c r="T307" s="23">
        <f>+OUTPUT!AK18*1000</f>
        <v>3848079.3599999994</v>
      </c>
    </row>
    <row r="308" spans="2:20" ht="15" customHeight="1">
      <c r="B308" s="11" t="s">
        <v>315</v>
      </c>
      <c r="C308" s="23">
        <f>+OUTPUT!E20*1000</f>
        <v>1384.3467077893499</v>
      </c>
      <c r="D308" s="23">
        <f>+OUTPUT!G20*1000</f>
        <v>1718.09</v>
      </c>
      <c r="E308" s="23">
        <f>+OUTPUT!I20*1000</f>
        <v>1342.85</v>
      </c>
      <c r="F308" s="23">
        <f>+OUTPUT!K20*1000</f>
        <v>1802.34</v>
      </c>
      <c r="G308" s="23">
        <f t="shared" si="298"/>
        <v>1504.37</v>
      </c>
      <c r="H308" s="23">
        <f>+OUTPUT!M20*1000</f>
        <v>1504.37</v>
      </c>
      <c r="I308" s="23">
        <f>+OUTPUT!O20*1000</f>
        <v>1330.7400000000002</v>
      </c>
      <c r="J308" s="23">
        <f>+OUTPUT!Q20*1000</f>
        <v>1994.1</v>
      </c>
      <c r="K308" s="23">
        <f>+OUTPUT!S20*1000</f>
        <v>2189.6</v>
      </c>
      <c r="L308" s="23">
        <f>+OUTPUT!U20*1000</f>
        <v>1591.6499999999999</v>
      </c>
      <c r="M308" s="23">
        <f>+OUTPUT!W20*1000</f>
        <v>2210.38</v>
      </c>
      <c r="N308" s="23">
        <f>+OUTPUT!Y20*1000</f>
        <v>2412.1299999999997</v>
      </c>
      <c r="O308" s="23">
        <f>+OUTPUT!AA20*1000</f>
        <v>2412.1299999999983</v>
      </c>
      <c r="P308" s="23">
        <f>+OUTPUT!AC20*1000</f>
        <v>2452.6699999999983</v>
      </c>
      <c r="Q308" s="23">
        <f>+OUTPUT!AE20*1000</f>
        <v>2128.349999999999</v>
      </c>
      <c r="R308" s="23">
        <f>+OUTPUT!AG20*1000</f>
        <v>1581.059999999999</v>
      </c>
      <c r="S308" s="23">
        <f>+OUTPUT!AI20*1000</f>
        <v>1588.8799999999994</v>
      </c>
      <c r="T308" s="23">
        <f>+OUTPUT!AK20*1000</f>
        <v>1378.3599999999994</v>
      </c>
    </row>
    <row r="309" spans="2:20" ht="15" customHeight="1">
      <c r="B309" s="11" t="s">
        <v>316</v>
      </c>
      <c r="C309" s="23">
        <f>+OUTPUT!E21*1000</f>
        <v>5663.8949592624294</v>
      </c>
      <c r="D309" s="23">
        <f>+OUTPUT!G21*1000</f>
        <v>5925.37</v>
      </c>
      <c r="E309" s="23">
        <f>+OUTPUT!I21*1000</f>
        <v>12437.52</v>
      </c>
      <c r="F309" s="23">
        <f>+OUTPUT!K21*1000</f>
        <v>7807.23</v>
      </c>
      <c r="G309" s="23">
        <f t="shared" si="298"/>
        <v>3557.05</v>
      </c>
      <c r="H309" s="23">
        <f>+OUTPUT!M21*1000</f>
        <v>3557.05</v>
      </c>
      <c r="I309" s="23">
        <f>+OUTPUT!O21*1000</f>
        <v>5541.6200000000008</v>
      </c>
      <c r="J309" s="23">
        <f>+OUTPUT!Q21*1000</f>
        <v>5644.84</v>
      </c>
      <c r="K309" s="23">
        <f>+OUTPUT!S21*1000</f>
        <v>6714.5300000000007</v>
      </c>
      <c r="L309" s="23">
        <f>+OUTPUT!U21*1000</f>
        <v>6650.97</v>
      </c>
      <c r="M309" s="23">
        <f>+OUTPUT!W21*1000</f>
        <v>7864.840000000002</v>
      </c>
      <c r="N309" s="23">
        <f>+OUTPUT!Y21*1000</f>
        <v>9636.2300000000014</v>
      </c>
      <c r="O309" s="23">
        <f>+OUTPUT!AA21*1000</f>
        <v>11762.3</v>
      </c>
      <c r="P309" s="23">
        <f>+OUTPUT!AC21*1000</f>
        <v>13657.589999999997</v>
      </c>
      <c r="Q309" s="23">
        <f>+OUTPUT!AE21*1000</f>
        <v>12925.930000000004</v>
      </c>
      <c r="R309" s="23">
        <f>+OUTPUT!AG21*1000</f>
        <v>13564.060000000001</v>
      </c>
      <c r="S309" s="23">
        <f>+OUTPUT!AI21*1000</f>
        <v>10443.990000000002</v>
      </c>
      <c r="T309" s="23">
        <f>+OUTPUT!AK21*1000</f>
        <v>9827.6400000000012</v>
      </c>
    </row>
    <row r="310" spans="2:20" ht="15" customHeight="1">
      <c r="B310" s="11" t="s">
        <v>317</v>
      </c>
      <c r="C310" s="23">
        <f>+OUTPUT!E22*1000</f>
        <v>67494.540435456016</v>
      </c>
      <c r="D310" s="23">
        <f>+OUTPUT!G22*1000</f>
        <v>118313.09</v>
      </c>
      <c r="E310" s="23">
        <f>+OUTPUT!I22*1000</f>
        <v>51349.49</v>
      </c>
      <c r="F310" s="23">
        <f>+OUTPUT!K22*1000</f>
        <v>57204.17</v>
      </c>
      <c r="G310" s="23">
        <f t="shared" si="298"/>
        <v>86281.27</v>
      </c>
      <c r="H310" s="23">
        <f>+OUTPUT!M22*1000</f>
        <v>86281.27</v>
      </c>
      <c r="I310" s="23">
        <f>+OUTPUT!O22*1000</f>
        <v>167480.65999999898</v>
      </c>
      <c r="J310" s="23">
        <f>+OUTPUT!Q22*1000</f>
        <v>349575.35</v>
      </c>
      <c r="K310" s="23">
        <f>+OUTPUT!S22*1000</f>
        <v>345636.50999999995</v>
      </c>
      <c r="L310" s="23">
        <f>+OUTPUT!U22*1000</f>
        <v>468789.63999999949</v>
      </c>
      <c r="M310" s="23">
        <f>+OUTPUT!W22*1000</f>
        <v>305991.77999999968</v>
      </c>
      <c r="N310" s="23">
        <f>+OUTPUT!Y22*1000</f>
        <v>544766.61999999825</v>
      </c>
      <c r="O310" s="23">
        <f>+OUTPUT!AA22*1000</f>
        <v>629170.3299999953</v>
      </c>
      <c r="P310" s="23">
        <f>+OUTPUT!AC22*1000</f>
        <v>569682.89000000013</v>
      </c>
      <c r="Q310" s="23">
        <f>+OUTPUT!AE22*1000</f>
        <v>488255.17000000022</v>
      </c>
      <c r="R310" s="23">
        <f>+OUTPUT!AG22*1000</f>
        <v>477107.2300000001</v>
      </c>
      <c r="S310" s="23">
        <f>+OUTPUT!AI22*1000</f>
        <v>605146.47999999986</v>
      </c>
      <c r="T310" s="23">
        <f>+OUTPUT!AK22*1000</f>
        <v>687431.90000000014</v>
      </c>
    </row>
    <row r="311" spans="2:20" ht="15" customHeight="1">
      <c r="B311" s="11" t="s">
        <v>318</v>
      </c>
      <c r="C311" s="23">
        <f>+OUTPUT!E23*1000</f>
        <v>543775.11749413388</v>
      </c>
      <c r="D311" s="23">
        <f>+OUTPUT!G23*1000</f>
        <v>682819.16000000201</v>
      </c>
      <c r="E311" s="23">
        <f>+OUTPUT!I23*1000</f>
        <v>717397.80000000098</v>
      </c>
      <c r="F311" s="23">
        <f>+OUTPUT!K23*1000</f>
        <v>808809.42000000097</v>
      </c>
      <c r="G311" s="23">
        <f t="shared" si="298"/>
        <v>916529.69</v>
      </c>
      <c r="H311" s="23">
        <f>+OUTPUT!M23*1000</f>
        <v>916529.69</v>
      </c>
      <c r="I311" s="23">
        <f>+OUTPUT!O23*1000</f>
        <v>891089.85999999475</v>
      </c>
      <c r="J311" s="23">
        <f>+OUTPUT!Q23*1000</f>
        <v>1089348.8500000001</v>
      </c>
      <c r="K311" s="23">
        <f>+OUTPUT!S23*1000</f>
        <v>1107355.5</v>
      </c>
      <c r="L311" s="23">
        <f>+OUTPUT!U23*1000</f>
        <v>1085107.9500000002</v>
      </c>
      <c r="M311" s="23">
        <f>+OUTPUT!W23*1000</f>
        <v>1440823.3599999996</v>
      </c>
      <c r="N311" s="23">
        <f>+OUTPUT!Y23*1000</f>
        <v>1635132.090000004</v>
      </c>
      <c r="O311" s="23">
        <f>+OUTPUT!AA23*1000</f>
        <v>1697455.4100001105</v>
      </c>
      <c r="P311" s="23">
        <f>+OUTPUT!AC23*1000</f>
        <v>1957749.3999999994</v>
      </c>
      <c r="Q311" s="23">
        <f>+OUTPUT!AE23*1000</f>
        <v>2483494.7499999991</v>
      </c>
      <c r="R311" s="23">
        <f>+OUTPUT!AG23*1000</f>
        <v>2760812.6800000011</v>
      </c>
      <c r="S311" s="23">
        <f>+OUTPUT!AI23*1000</f>
        <v>2872865.0000000005</v>
      </c>
      <c r="T311" s="23">
        <f>+OUTPUT!AK23*1000</f>
        <v>3180276.2700000014</v>
      </c>
    </row>
    <row r="312" spans="2:20" ht="15" customHeight="1">
      <c r="B312" s="11" t="s">
        <v>319</v>
      </c>
      <c r="C312" s="23">
        <f>+OUTPUT!E24*1000</f>
        <v>2724214.8818643084</v>
      </c>
      <c r="D312" s="23">
        <f>+OUTPUT!G24*1000</f>
        <v>2978604.02</v>
      </c>
      <c r="E312" s="23">
        <f>+OUTPUT!I24*1000</f>
        <v>2918990.61</v>
      </c>
      <c r="F312" s="23">
        <f>+OUTPUT!K24*1000</f>
        <v>3368352.68</v>
      </c>
      <c r="G312" s="23">
        <f t="shared" si="298"/>
        <v>3867687.12</v>
      </c>
      <c r="H312" s="23">
        <f>+OUTPUT!M24*1000</f>
        <v>3867687.12</v>
      </c>
      <c r="I312" s="23">
        <f>+OUTPUT!O24*1000</f>
        <v>3966398.7200001008</v>
      </c>
      <c r="J312" s="23">
        <f>+OUTPUT!Q24*1000</f>
        <v>3966852.28</v>
      </c>
      <c r="K312" s="23">
        <f>+OUTPUT!S24*1000</f>
        <v>4046740.2099999865</v>
      </c>
      <c r="L312" s="23">
        <f>+OUTPUT!U24*1000</f>
        <v>4543870.1599999834</v>
      </c>
      <c r="M312" s="23">
        <f>+OUTPUT!W24*1000</f>
        <v>5034777.1500000088</v>
      </c>
      <c r="N312" s="23">
        <f>+OUTPUT!Y24*1000</f>
        <v>4931439.4900000272</v>
      </c>
      <c r="O312" s="23">
        <f>+OUTPUT!AA24*1000</f>
        <v>5010313.4799995925</v>
      </c>
      <c r="P312" s="23">
        <f>+OUTPUT!AC24*1000</f>
        <v>5758687.5599999921</v>
      </c>
      <c r="Q312" s="23">
        <f>+OUTPUT!AE24*1000</f>
        <v>5649741.9599999953</v>
      </c>
      <c r="R312" s="23">
        <f>+OUTPUT!AG24*1000</f>
        <v>5604151.0899999971</v>
      </c>
      <c r="S312" s="23">
        <f>+OUTPUT!AI24*1000</f>
        <v>6162159.3699999936</v>
      </c>
      <c r="T312" s="23">
        <f>+OUTPUT!AK24*1000</f>
        <v>5877962.2899999954</v>
      </c>
    </row>
    <row r="313" spans="2:20" ht="15" customHeight="1">
      <c r="B313" s="11" t="s">
        <v>320</v>
      </c>
      <c r="C313" s="23">
        <f>+OUTPUT!E28*1000</f>
        <v>6111.8036544309489</v>
      </c>
      <c r="D313" s="23">
        <f>+OUTPUT!G28*1000</f>
        <v>5331.21</v>
      </c>
      <c r="E313" s="23">
        <f>+OUTPUT!I28*1000</f>
        <v>5380.58</v>
      </c>
      <c r="F313" s="23">
        <f>+OUTPUT!K28*1000</f>
        <v>5588.48</v>
      </c>
      <c r="G313" s="23">
        <f t="shared" si="298"/>
        <v>5347.39</v>
      </c>
      <c r="H313" s="23">
        <f>+OUTPUT!M28*1000</f>
        <v>5347.39</v>
      </c>
      <c r="I313" s="23">
        <f>+OUTPUT!O28*1000</f>
        <v>5921.97</v>
      </c>
      <c r="J313" s="23">
        <f>+OUTPUT!Q28*1000</f>
        <v>7531</v>
      </c>
      <c r="K313" s="23">
        <f>+OUTPUT!S28*1000</f>
        <v>8891</v>
      </c>
      <c r="L313" s="23">
        <f>+OUTPUT!U28*1000</f>
        <v>9433.68</v>
      </c>
      <c r="M313" s="23">
        <f>+OUTPUT!W28*1000</f>
        <v>10727.619999999999</v>
      </c>
      <c r="N313" s="23">
        <f>+OUTPUT!Y28*1000</f>
        <v>9449.68</v>
      </c>
      <c r="O313" s="23">
        <f>+OUTPUT!AA28*1000</f>
        <v>10767.499999999925</v>
      </c>
      <c r="P313" s="23">
        <f>+OUTPUT!AC28*1000</f>
        <v>8744.4800000000068</v>
      </c>
      <c r="Q313" s="23">
        <f>+OUTPUT!AE28*1000</f>
        <v>9627.4800000000014</v>
      </c>
      <c r="R313" s="23">
        <f>+OUTPUT!AG28*1000</f>
        <v>8207.6800000000057</v>
      </c>
      <c r="S313" s="23">
        <f>+OUTPUT!AI28*1000</f>
        <v>7351.7100000000064</v>
      </c>
      <c r="T313" s="23">
        <f>+OUTPUT!AK28*1000</f>
        <v>8040.3400000000056</v>
      </c>
    </row>
    <row r="314" spans="2:20" ht="15" customHeight="1">
      <c r="B314" s="11" t="s">
        <v>321</v>
      </c>
      <c r="C314" s="23">
        <f>+OUTPUT!E29*1000</f>
        <v>13893.983781131765</v>
      </c>
      <c r="D314" s="23">
        <f>+OUTPUT!G29*1000</f>
        <v>17116.93</v>
      </c>
      <c r="E314" s="23">
        <f>+OUTPUT!I29*1000</f>
        <v>21195.67</v>
      </c>
      <c r="F314" s="23">
        <f>+OUTPUT!K29*1000</f>
        <v>15356.12</v>
      </c>
      <c r="G314" s="23">
        <f t="shared" si="298"/>
        <v>8941.58</v>
      </c>
      <c r="H314" s="23">
        <f>+OUTPUT!M29*1000</f>
        <v>8941.58</v>
      </c>
      <c r="I314" s="23">
        <f>+OUTPUT!O29*1000</f>
        <v>8085.07</v>
      </c>
      <c r="J314" s="23">
        <f>+OUTPUT!Q29*1000</f>
        <v>9789.83</v>
      </c>
      <c r="K314" s="23">
        <f>+OUTPUT!S29*1000</f>
        <v>12259.07</v>
      </c>
      <c r="L314" s="23">
        <f>+OUTPUT!U29*1000</f>
        <v>10829.429999999998</v>
      </c>
      <c r="M314" s="23">
        <f>+OUTPUT!W29*1000</f>
        <v>14748.660000000002</v>
      </c>
      <c r="N314" s="23">
        <f>+OUTPUT!Y29*1000</f>
        <v>15767.100000000004</v>
      </c>
      <c r="O314" s="23">
        <f>+OUTPUT!AA29*1000</f>
        <v>19359.550000000021</v>
      </c>
      <c r="P314" s="23">
        <f>+OUTPUT!AC29*1000</f>
        <v>21490.05000000001</v>
      </c>
      <c r="Q314" s="23">
        <f>+OUTPUT!AE29*1000</f>
        <v>21905.390000000003</v>
      </c>
      <c r="R314" s="23">
        <f>+OUTPUT!AG29*1000</f>
        <v>21753.139999999992</v>
      </c>
      <c r="S314" s="23">
        <f>+OUTPUT!AI29*1000</f>
        <v>19761.759999999991</v>
      </c>
      <c r="T314" s="23">
        <f>+OUTPUT!AK29*1000</f>
        <v>16873.14</v>
      </c>
    </row>
    <row r="315" spans="2:20" ht="15" customHeight="1">
      <c r="B315" s="11" t="s">
        <v>322</v>
      </c>
      <c r="C315" s="23">
        <f>+OUTPUT!E30*1000</f>
        <v>94698.343136129493</v>
      </c>
      <c r="D315" s="23">
        <f>+OUTPUT!G30*1000</f>
        <v>78612.19</v>
      </c>
      <c r="E315" s="23">
        <f>+OUTPUT!I30*1000</f>
        <v>54005.72</v>
      </c>
      <c r="F315" s="23">
        <f>+OUTPUT!K30*1000</f>
        <v>45334.81</v>
      </c>
      <c r="G315" s="23">
        <f t="shared" si="298"/>
        <v>75176.59</v>
      </c>
      <c r="H315" s="23">
        <f>+OUTPUT!M30*1000</f>
        <v>75176.59</v>
      </c>
      <c r="I315" s="23">
        <f>+OUTPUT!O30*1000</f>
        <v>118661.54999999944</v>
      </c>
      <c r="J315" s="23">
        <f>+OUTPUT!Q30*1000</f>
        <v>231935.34</v>
      </c>
      <c r="K315" s="23">
        <f>+OUTPUT!S30*1000</f>
        <v>280679.17</v>
      </c>
      <c r="L315" s="23">
        <f>+OUTPUT!U30*1000</f>
        <v>459581.22999999922</v>
      </c>
      <c r="M315" s="23">
        <f>+OUTPUT!W30*1000</f>
        <v>316245.5499999997</v>
      </c>
      <c r="N315" s="23">
        <f>+OUTPUT!Y30*1000</f>
        <v>548415.95000000054</v>
      </c>
      <c r="O315" s="23">
        <f>+OUTPUT!AA30*1000</f>
        <v>735213.55000002834</v>
      </c>
      <c r="P315" s="23">
        <f>+OUTPUT!AC30*1000</f>
        <v>522305.60000000027</v>
      </c>
      <c r="Q315" s="23">
        <f>+OUTPUT!AE30*1000</f>
        <v>450691.9200000001</v>
      </c>
      <c r="R315" s="23">
        <f>+OUTPUT!AG30*1000</f>
        <v>501142.47000000009</v>
      </c>
      <c r="S315" s="23">
        <f>+OUTPUT!AI30*1000</f>
        <v>633433.05000000005</v>
      </c>
      <c r="T315" s="23">
        <f>+OUTPUT!AK30*1000</f>
        <v>646385.9099999998</v>
      </c>
    </row>
    <row r="316" spans="2:20" ht="15" customHeight="1">
      <c r="B316" s="11" t="s">
        <v>323</v>
      </c>
      <c r="C316" s="23">
        <f>+OUTPUT!E31*1000</f>
        <v>787311.56587193976</v>
      </c>
      <c r="D316" s="23">
        <f>+OUTPUT!G31*1000</f>
        <v>766029.14999999898</v>
      </c>
      <c r="E316" s="23">
        <f>+OUTPUT!I31*1000</f>
        <v>692997.2</v>
      </c>
      <c r="F316" s="23">
        <f>+OUTPUT!K31*1000</f>
        <v>778311.15000000095</v>
      </c>
      <c r="G316" s="23">
        <f t="shared" si="298"/>
        <v>870439.39000000095</v>
      </c>
      <c r="H316" s="23">
        <f>+OUTPUT!M31*1000</f>
        <v>870439.39000000095</v>
      </c>
      <c r="I316" s="23">
        <f>+OUTPUT!O31*1000</f>
        <v>742695.81000000925</v>
      </c>
      <c r="J316" s="23">
        <f>+OUTPUT!Q31*1000</f>
        <v>855874.89999999863</v>
      </c>
      <c r="K316" s="23">
        <f>+OUTPUT!S31*1000</f>
        <v>1001333.2699999993</v>
      </c>
      <c r="L316" s="23">
        <f>+OUTPUT!U31*1000</f>
        <v>1126410.7399999946</v>
      </c>
      <c r="M316" s="23">
        <f>+OUTPUT!W31*1000</f>
        <v>1337025.9000000069</v>
      </c>
      <c r="N316" s="23">
        <f>+OUTPUT!Y31*1000</f>
        <v>1598468.8700000101</v>
      </c>
      <c r="O316" s="23">
        <f>+OUTPUT!AA31*1000</f>
        <v>1649709.6499999391</v>
      </c>
      <c r="P316" s="23">
        <f>+OUTPUT!AC31*1000</f>
        <v>1450183.1299999978</v>
      </c>
      <c r="Q316" s="23">
        <f>+OUTPUT!AE31*1000</f>
        <v>1877817.3299999966</v>
      </c>
      <c r="R316" s="23">
        <f>+OUTPUT!AG31*1000</f>
        <v>2065896.469999996</v>
      </c>
      <c r="S316" s="23">
        <f>+OUTPUT!AI31*1000</f>
        <v>2241618.2499999958</v>
      </c>
      <c r="T316" s="23">
        <f>+OUTPUT!AK31*1000</f>
        <v>2451999.6499999957</v>
      </c>
    </row>
    <row r="317" spans="2:20" ht="15" customHeight="1">
      <c r="B317" s="11" t="s">
        <v>324</v>
      </c>
      <c r="C317" s="23">
        <f>+OUTPUT!E32*1000</f>
        <v>1389245.4956197198</v>
      </c>
      <c r="D317" s="23">
        <f>+OUTPUT!G32*1000</f>
        <v>1432990.54</v>
      </c>
      <c r="E317" s="23">
        <f>+OUTPUT!I32*1000</f>
        <v>1647417.24</v>
      </c>
      <c r="F317" s="23">
        <f>+OUTPUT!K32*1000</f>
        <v>1855955.78</v>
      </c>
      <c r="G317" s="23">
        <f t="shared" si="298"/>
        <v>2014776.9</v>
      </c>
      <c r="H317" s="23">
        <f>+OUTPUT!M32*1000</f>
        <v>2014776.9</v>
      </c>
      <c r="I317" s="23">
        <f>+OUTPUT!O32*1000</f>
        <v>1911920.0000000263</v>
      </c>
      <c r="J317" s="23">
        <f>+OUTPUT!Q32*1000</f>
        <v>2094650.9700000002</v>
      </c>
      <c r="K317" s="23">
        <f>+OUTPUT!S32*1000</f>
        <v>2152574.4999999995</v>
      </c>
      <c r="L317" s="23">
        <f>+OUTPUT!U32*1000</f>
        <v>2166940.2600000007</v>
      </c>
      <c r="M317" s="23">
        <f>+OUTPUT!W32*1000</f>
        <v>2522851.6600000011</v>
      </c>
      <c r="N317" s="23">
        <f>+OUTPUT!Y32*1000</f>
        <v>2505705.6500000027</v>
      </c>
      <c r="O317" s="23">
        <f>+OUTPUT!AA32*1000</f>
        <v>3115032.0299998876</v>
      </c>
      <c r="P317" s="23">
        <f>+OUTPUT!AC32*1000</f>
        <v>3596315</v>
      </c>
      <c r="Q317" s="23">
        <f>+OUTPUT!AE32*1000</f>
        <v>3174086.290000001</v>
      </c>
      <c r="R317" s="23">
        <f>+OUTPUT!AG32*1000</f>
        <v>3370729.7000000025</v>
      </c>
      <c r="S317" s="23">
        <f>+OUTPUT!AI32*1000</f>
        <v>3853516.040000001</v>
      </c>
      <c r="T317" s="23">
        <f>+OUTPUT!AK32*1000</f>
        <v>3942902.4800000004</v>
      </c>
    </row>
    <row r="318" spans="2:20" ht="15" customHeight="1">
      <c r="B318" s="11" t="s">
        <v>325</v>
      </c>
      <c r="C318" s="23">
        <f>+OUTPUT!E34*1000</f>
        <v>624.17053753143853</v>
      </c>
      <c r="D318" s="23">
        <f>+OUTPUT!G34*1000</f>
        <v>403.86</v>
      </c>
      <c r="E318" s="23">
        <f>+OUTPUT!I34*1000</f>
        <v>474.89</v>
      </c>
      <c r="F318" s="23">
        <f>+OUTPUT!K34*1000</f>
        <v>612.48</v>
      </c>
      <c r="G318" s="23">
        <f t="shared" si="298"/>
        <v>651.62</v>
      </c>
      <c r="H318" s="23">
        <f>+OUTPUT!M34*1000</f>
        <v>651.62</v>
      </c>
      <c r="I318" s="23">
        <f>+OUTPUT!O34*1000</f>
        <v>449.96999999999997</v>
      </c>
      <c r="J318" s="23">
        <f>+OUTPUT!Q34*1000</f>
        <v>801.55</v>
      </c>
      <c r="K318" s="23">
        <f>+OUTPUT!S34*1000</f>
        <v>918.84999999999991</v>
      </c>
      <c r="L318" s="23">
        <f>+OUTPUT!U34*1000</f>
        <v>530.54999999999995</v>
      </c>
      <c r="M318" s="23">
        <f>+OUTPUT!W34*1000</f>
        <v>1044.69</v>
      </c>
      <c r="N318" s="23">
        <f>+OUTPUT!Y34*1000</f>
        <v>1297.28</v>
      </c>
      <c r="O318" s="23">
        <f>+OUTPUT!AA34*1000</f>
        <v>1297.2799999999993</v>
      </c>
      <c r="P318" s="23">
        <f>+OUTPUT!AC34*1000</f>
        <v>1114.8499999999995</v>
      </c>
      <c r="Q318" s="23">
        <f>+OUTPUT!AE34*1000</f>
        <v>1986.4599999999994</v>
      </c>
      <c r="R318" s="23">
        <f>+OUTPUT!AG34*1000</f>
        <v>587.82999999999981</v>
      </c>
      <c r="S318" s="23">
        <f>+OUTPUT!AI34*1000</f>
        <v>628.36999999999989</v>
      </c>
      <c r="T318" s="23">
        <f>+OUTPUT!AK34*1000</f>
        <v>614.00999999999988</v>
      </c>
    </row>
    <row r="319" spans="2:20" ht="15" customHeight="1">
      <c r="B319" s="11" t="s">
        <v>326</v>
      </c>
      <c r="C319" s="23">
        <f>+OUTPUT!E35*1000</f>
        <v>1792.9785523111632</v>
      </c>
      <c r="D319" s="23">
        <f>+OUTPUT!G35*1000</f>
        <v>3202.43</v>
      </c>
      <c r="E319" s="23">
        <f>+OUTPUT!I35*1000</f>
        <v>3163.94</v>
      </c>
      <c r="F319" s="23">
        <f>+OUTPUT!K35*1000</f>
        <v>2619.65</v>
      </c>
      <c r="G319" s="23">
        <f t="shared" si="298"/>
        <v>2234.6999999999998</v>
      </c>
      <c r="H319" s="23">
        <f>+OUTPUT!M35*1000</f>
        <v>2234.6999999999998</v>
      </c>
      <c r="I319" s="23">
        <f>+OUTPUT!O35*1000</f>
        <v>3757.9300000000003</v>
      </c>
      <c r="J319" s="23">
        <f>+OUTPUT!Q35*1000</f>
        <v>3949.62</v>
      </c>
      <c r="K319" s="23">
        <f>+OUTPUT!S35*1000</f>
        <v>3405.74</v>
      </c>
      <c r="L319" s="23">
        <f>+OUTPUT!U35*1000</f>
        <v>3457.5700000000006</v>
      </c>
      <c r="M319" s="23">
        <f>+OUTPUT!W35*1000</f>
        <v>4806.43</v>
      </c>
      <c r="N319" s="23">
        <f>+OUTPUT!Y35*1000</f>
        <v>5405.5100000000011</v>
      </c>
      <c r="O319" s="23">
        <f>+OUTPUT!AA35*1000</f>
        <v>6646.8000000000029</v>
      </c>
      <c r="P319" s="23">
        <f>+OUTPUT!AC35*1000</f>
        <v>6781.1200000000008</v>
      </c>
      <c r="Q319" s="23">
        <f>+OUTPUT!AE35*1000</f>
        <v>5833.4000000000015</v>
      </c>
      <c r="R319" s="23">
        <f>+OUTPUT!AG35*1000</f>
        <v>6172.9499999999989</v>
      </c>
      <c r="S319" s="23">
        <f>+OUTPUT!AI35*1000</f>
        <v>6431.4600000000009</v>
      </c>
      <c r="T319" s="23">
        <f>+OUTPUT!AK35*1000</f>
        <v>5171.97</v>
      </c>
    </row>
    <row r="320" spans="2:20" ht="15" customHeight="1">
      <c r="B320" s="11" t="s">
        <v>327</v>
      </c>
      <c r="C320" s="23">
        <f>+OUTPUT!E36*1000</f>
        <v>21274.763376781528</v>
      </c>
      <c r="D320" s="23">
        <f>+OUTPUT!G36*1000</f>
        <v>83607.759999999995</v>
      </c>
      <c r="E320" s="23">
        <f>+OUTPUT!I36*1000</f>
        <v>34694.050000000003</v>
      </c>
      <c r="F320" s="23">
        <f>+OUTPUT!K36*1000</f>
        <v>39402.050000000003</v>
      </c>
      <c r="G320" s="23">
        <f t="shared" si="298"/>
        <v>8745.18</v>
      </c>
      <c r="H320" s="23">
        <f>+OUTPUT!M36*1000</f>
        <v>8745.18</v>
      </c>
      <c r="I320" s="23">
        <f>+OUTPUT!O36*1000</f>
        <v>94974.250000000015</v>
      </c>
      <c r="J320" s="23">
        <f>+OUTPUT!Q36*1000</f>
        <v>243218.78</v>
      </c>
      <c r="K320" s="23">
        <f>+OUTPUT!S36*1000</f>
        <v>274805.25</v>
      </c>
      <c r="L320" s="23">
        <f>+OUTPUT!U36*1000</f>
        <v>369240.22999999986</v>
      </c>
      <c r="M320" s="23">
        <f>+OUTPUT!W36*1000</f>
        <v>335141.57999999955</v>
      </c>
      <c r="N320" s="23">
        <f>+OUTPUT!Y36*1000</f>
        <v>587847.50999999803</v>
      </c>
      <c r="O320" s="23">
        <f>+OUTPUT!AA36*1000</f>
        <v>496619.00000000838</v>
      </c>
      <c r="P320" s="23">
        <f>+OUTPUT!AC36*1000</f>
        <v>634940.9700000002</v>
      </c>
      <c r="Q320" s="23">
        <f>+OUTPUT!AE36*1000</f>
        <v>574746.75000000023</v>
      </c>
      <c r="R320" s="23">
        <f>+OUTPUT!AG36*1000</f>
        <v>542846.27999999968</v>
      </c>
      <c r="S320" s="23">
        <f>+OUTPUT!AI36*1000</f>
        <v>673858.51000000036</v>
      </c>
      <c r="T320" s="23">
        <f>+OUTPUT!AK36*1000</f>
        <v>690546.96999999986</v>
      </c>
    </row>
    <row r="321" spans="2:20" ht="15" customHeight="1">
      <c r="B321" s="11" t="s">
        <v>328</v>
      </c>
      <c r="C321" s="23">
        <f>+OUTPUT!E37*1000</f>
        <v>578584.01855068968</v>
      </c>
      <c r="D321" s="23">
        <f>+OUTPUT!G37*1000</f>
        <v>484308.93</v>
      </c>
      <c r="E321" s="23">
        <f>+OUTPUT!I37*1000</f>
        <v>472555.82</v>
      </c>
      <c r="F321" s="23">
        <f>+OUTPUT!K37*1000</f>
        <v>562736.84</v>
      </c>
      <c r="G321" s="23">
        <f t="shared" si="298"/>
        <v>509979.78000000102</v>
      </c>
      <c r="H321" s="23">
        <f>+OUTPUT!M37*1000</f>
        <v>509979.78000000102</v>
      </c>
      <c r="I321" s="23">
        <f>+OUTPUT!O37*1000</f>
        <v>582678.74000000092</v>
      </c>
      <c r="J321" s="23">
        <f>+OUTPUT!Q37*1000</f>
        <v>1006862.48</v>
      </c>
      <c r="K321" s="23">
        <f>+OUTPUT!S37*1000</f>
        <v>1207807.2400000002</v>
      </c>
      <c r="L321" s="23">
        <f>+OUTPUT!U37*1000</f>
        <v>1104897.3200000003</v>
      </c>
      <c r="M321" s="23">
        <f>+OUTPUT!W37*1000</f>
        <v>1424488.8799999978</v>
      </c>
      <c r="N321" s="23">
        <f>+OUTPUT!Y37*1000</f>
        <v>1563227.67</v>
      </c>
      <c r="O321" s="23">
        <f>+OUTPUT!AA37*1000</f>
        <v>1704071.0000001052</v>
      </c>
      <c r="P321" s="23">
        <f>+OUTPUT!AC37*1000</f>
        <v>1825299.9099999985</v>
      </c>
      <c r="Q321" s="23">
        <f>+OUTPUT!AE37*1000</f>
        <v>2043279.2000000002</v>
      </c>
      <c r="R321" s="23">
        <f>+OUTPUT!AG37*1000</f>
        <v>2074845.9000000006</v>
      </c>
      <c r="S321" s="23">
        <f>+OUTPUT!AI37*1000</f>
        <v>2114122.02</v>
      </c>
      <c r="T321" s="23">
        <f>+OUTPUT!AK37*1000</f>
        <v>2765215.3299999996</v>
      </c>
    </row>
    <row r="322" spans="2:20" ht="15" customHeight="1">
      <c r="B322" s="11" t="s">
        <v>329</v>
      </c>
      <c r="C322" s="23">
        <f>+OUTPUT!E38*1000</f>
        <v>2558568.5051854108</v>
      </c>
      <c r="D322" s="23">
        <f>+OUTPUT!G38*1000</f>
        <v>2642319.35</v>
      </c>
      <c r="E322" s="23">
        <f>+OUTPUT!I38*1000</f>
        <v>2716883.31</v>
      </c>
      <c r="F322" s="23">
        <f>+OUTPUT!K38*1000</f>
        <v>2627148.39</v>
      </c>
      <c r="G322" s="23">
        <f t="shared" si="298"/>
        <v>3536623.04</v>
      </c>
      <c r="H322" s="23">
        <f>+OUTPUT!M38*1000</f>
        <v>3536623.04</v>
      </c>
      <c r="I322" s="23">
        <f>+OUTPUT!O38*1000</f>
        <v>4314082.5800000699</v>
      </c>
      <c r="J322" s="23">
        <f>+OUTPUT!Q38*1000</f>
        <v>3889973.4699999914</v>
      </c>
      <c r="K322" s="23">
        <f>+OUTPUT!S38*1000</f>
        <v>3949521.3599999868</v>
      </c>
      <c r="L322" s="23">
        <f>+OUTPUT!U38*1000</f>
        <v>4465161.4999999842</v>
      </c>
      <c r="M322" s="23">
        <f>+OUTPUT!W38*1000</f>
        <v>4825290.9900000114</v>
      </c>
      <c r="N322" s="23">
        <f>+OUTPUT!Y38*1000</f>
        <v>4892694.1200000243</v>
      </c>
      <c r="O322" s="23">
        <f>+OUTPUT!AA38*1000</f>
        <v>4855633.559999682</v>
      </c>
      <c r="P322" s="23">
        <f>+OUTPUT!AC38*1000</f>
        <v>5635771.4200000009</v>
      </c>
      <c r="Q322" s="23">
        <f>+OUTPUT!AE38*1000</f>
        <v>5486860.2199999932</v>
      </c>
      <c r="R322" s="23">
        <f>+OUTPUT!AG38*1000</f>
        <v>6005023.6899999995</v>
      </c>
      <c r="S322" s="23">
        <f>+OUTPUT!AI38*1000</f>
        <v>6223712.6499999966</v>
      </c>
      <c r="T322" s="23">
        <f>+OUTPUT!AK38*1000</f>
        <v>5768931.889999995</v>
      </c>
    </row>
    <row r="323" spans="2:20" ht="15" customHeight="1">
      <c r="B323" s="11" t="s">
        <v>330</v>
      </c>
      <c r="C323" s="23">
        <f>+OUTPUT!E42*1000</f>
        <v>12234.868780857336</v>
      </c>
      <c r="D323" s="23">
        <f>+OUTPUT!G42*1000</f>
        <v>14693.24</v>
      </c>
      <c r="E323" s="23">
        <f>+OUTPUT!I42*1000</f>
        <v>13669.74</v>
      </c>
      <c r="F323" s="23">
        <f>+OUTPUT!K42*1000</f>
        <v>26448.450000000201</v>
      </c>
      <c r="G323" s="23">
        <f t="shared" si="298"/>
        <v>24581.2300000002</v>
      </c>
      <c r="H323" s="23">
        <f>+OUTPUT!M42*1000</f>
        <v>24581.2300000002</v>
      </c>
      <c r="I323" s="23">
        <f>+OUTPUT!O42*1000</f>
        <v>31962.419999998201</v>
      </c>
      <c r="J323" s="23">
        <f>+OUTPUT!Q42*1000</f>
        <v>29937.250000000211</v>
      </c>
      <c r="K323" s="23">
        <f>+OUTPUT!S42*1000</f>
        <v>35089.50000000016</v>
      </c>
      <c r="L323" s="23">
        <f>+OUTPUT!U42*1000</f>
        <v>39373.240000000187</v>
      </c>
      <c r="M323" s="23">
        <f>+OUTPUT!W42*1000</f>
        <v>40240.160000000287</v>
      </c>
      <c r="N323" s="23">
        <f>+OUTPUT!Y42*1000</f>
        <v>30303.600000000039</v>
      </c>
      <c r="O323" s="23">
        <f>+OUTPUT!AA42*1000</f>
        <v>21382.299999998744</v>
      </c>
      <c r="P323" s="23">
        <f>+OUTPUT!AC42*1000</f>
        <v>18157.179999999989</v>
      </c>
      <c r="Q323" s="23">
        <f>+OUTPUT!AE42*1000</f>
        <v>14248.5</v>
      </c>
      <c r="R323" s="23">
        <f>+OUTPUT!AG42*1000</f>
        <v>12864.500000000004</v>
      </c>
      <c r="S323" s="23">
        <f>+OUTPUT!AI42*1000</f>
        <v>12891.900000000005</v>
      </c>
      <c r="T323" s="23">
        <f>+OUTPUT!AK42*1000</f>
        <v>14154.900000000007</v>
      </c>
    </row>
    <row r="324" spans="2:20" ht="15" customHeight="1">
      <c r="B324" s="11" t="s">
        <v>331</v>
      </c>
      <c r="C324" s="23">
        <f>+OUTPUT!E43*1000</f>
        <v>34617.220700254875</v>
      </c>
      <c r="D324" s="23">
        <f>+OUTPUT!G43*1000</f>
        <v>35305.449999999997</v>
      </c>
      <c r="E324" s="23">
        <f>+OUTPUT!I43*1000</f>
        <v>46924.34</v>
      </c>
      <c r="F324" s="23">
        <f>+OUTPUT!K43*1000</f>
        <v>39134.449999999903</v>
      </c>
      <c r="G324" s="23">
        <f t="shared" si="298"/>
        <v>35939.33</v>
      </c>
      <c r="H324" s="23">
        <f>+OUTPUT!M43*1000</f>
        <v>35939.33</v>
      </c>
      <c r="I324" s="23">
        <f>+OUTPUT!O43*1000</f>
        <v>44942.07000000008</v>
      </c>
      <c r="J324" s="23">
        <f>+OUTPUT!Q43*1000</f>
        <v>73829.260000000184</v>
      </c>
      <c r="K324" s="23">
        <f>+OUTPUT!S43*1000</f>
        <v>54858.050000000068</v>
      </c>
      <c r="L324" s="23">
        <f>+OUTPUT!U43*1000</f>
        <v>42339.46</v>
      </c>
      <c r="M324" s="23">
        <f>+OUTPUT!W43*1000</f>
        <v>51671.989999999947</v>
      </c>
      <c r="N324" s="23">
        <f>+OUTPUT!Y43*1000</f>
        <v>60532.859999999913</v>
      </c>
      <c r="O324" s="23">
        <f>+OUTPUT!AA43*1000</f>
        <v>125792.16999999448</v>
      </c>
      <c r="P324" s="23">
        <f>+OUTPUT!AC43*1000</f>
        <v>107436.33999999988</v>
      </c>
      <c r="Q324" s="23">
        <f>+OUTPUT!AE43*1000</f>
        <v>105217.89999999988</v>
      </c>
      <c r="R324" s="23">
        <f>+OUTPUT!AG43*1000</f>
        <v>116337.98999999974</v>
      </c>
      <c r="S324" s="23">
        <f>+OUTPUT!AI43*1000</f>
        <v>124460.24999999999</v>
      </c>
      <c r="T324" s="23">
        <f>+OUTPUT!AK43*1000</f>
        <v>122363.76999999996</v>
      </c>
    </row>
    <row r="325" spans="2:20" ht="15" customHeight="1">
      <c r="B325" s="11" t="s">
        <v>332</v>
      </c>
      <c r="C325" s="23">
        <f>+OUTPUT!E44*1000</f>
        <v>190755.75277563435</v>
      </c>
      <c r="D325" s="23">
        <f>+OUTPUT!G44*1000</f>
        <v>120395.54</v>
      </c>
      <c r="E325" s="23">
        <f>+OUTPUT!I44*1000</f>
        <v>126184.12</v>
      </c>
      <c r="F325" s="23">
        <f>+OUTPUT!K44*1000</f>
        <v>100475.05</v>
      </c>
      <c r="G325" s="23">
        <f t="shared" si="298"/>
        <v>215441.93</v>
      </c>
      <c r="H325" s="23">
        <f>+OUTPUT!M44*1000</f>
        <v>215441.93</v>
      </c>
      <c r="I325" s="23">
        <f>+OUTPUT!O44*1000</f>
        <v>416784.49999999785</v>
      </c>
      <c r="J325" s="23">
        <f>+OUTPUT!Q44*1000</f>
        <v>657209.46000000241</v>
      </c>
      <c r="K325" s="23">
        <f>+OUTPUT!S44*1000</f>
        <v>803732.75000000652</v>
      </c>
      <c r="L325" s="23">
        <f>+OUTPUT!U44*1000</f>
        <v>906333.89000000304</v>
      </c>
      <c r="M325" s="23">
        <f>+OUTPUT!W44*1000</f>
        <v>1145082.2199999932</v>
      </c>
      <c r="N325" s="23">
        <f>+OUTPUT!Y44*1000</f>
        <v>1354897.0699999984</v>
      </c>
      <c r="O325" s="23">
        <f>+OUTPUT!AA44*1000</f>
        <v>1482684.4799999902</v>
      </c>
      <c r="P325" s="23">
        <f>+OUTPUT!AC44*1000</f>
        <v>1272986.0300000005</v>
      </c>
      <c r="Q325" s="23">
        <f>+OUTPUT!AE44*1000</f>
        <v>1109924.2500000005</v>
      </c>
      <c r="R325" s="23">
        <f>+OUTPUT!AG44*1000</f>
        <v>1215319.3599999994</v>
      </c>
      <c r="S325" s="23">
        <f>+OUTPUT!AI44*1000</f>
        <v>1066784.6700000011</v>
      </c>
      <c r="T325" s="23">
        <f>+OUTPUT!AK44*1000</f>
        <v>975887.30999999912</v>
      </c>
    </row>
    <row r="326" spans="2:20" ht="15" customHeight="1">
      <c r="B326" s="11" t="s">
        <v>333</v>
      </c>
      <c r="C326" s="23">
        <f>+OUTPUT!E45*1000</f>
        <v>111221.16265327574</v>
      </c>
      <c r="D326" s="23">
        <f>+OUTPUT!G45*1000</f>
        <v>186245.58</v>
      </c>
      <c r="E326" s="23">
        <f>+OUTPUT!I45*1000</f>
        <v>187119.35999999999</v>
      </c>
      <c r="F326" s="23">
        <f>+OUTPUT!K45*1000</f>
        <v>213979.62999999899</v>
      </c>
      <c r="G326" s="23">
        <f t="shared" si="298"/>
        <v>323845.770000002</v>
      </c>
      <c r="H326" s="23">
        <f>+OUTPUT!M45*1000</f>
        <v>323845.770000002</v>
      </c>
      <c r="I326" s="23">
        <f>+OUTPUT!O45*1000</f>
        <v>201479.62000000119</v>
      </c>
      <c r="J326" s="23">
        <f>+OUTPUT!Q45*1000</f>
        <v>47840.67</v>
      </c>
      <c r="K326" s="23">
        <f>+OUTPUT!S45*1000</f>
        <v>68570.270000000019</v>
      </c>
      <c r="L326" s="23">
        <f>+OUTPUT!U45*1000</f>
        <v>63426.909999999996</v>
      </c>
      <c r="M326" s="23">
        <f>+OUTPUT!W45*1000</f>
        <v>94960.270000000062</v>
      </c>
      <c r="N326" s="23">
        <f>+OUTPUT!Y45*1000</f>
        <v>96339.980000000069</v>
      </c>
      <c r="O326" s="23">
        <f>+OUTPUT!AA45*1000</f>
        <v>174105.61000000045</v>
      </c>
      <c r="P326" s="23">
        <f>+OUTPUT!AC45*1000</f>
        <v>523676.55000000034</v>
      </c>
      <c r="Q326" s="23">
        <f>+OUTPUT!AE45*1000</f>
        <v>715110.51000000071</v>
      </c>
      <c r="R326" s="23">
        <f>+OUTPUT!AG45*1000</f>
        <v>852229.2500000007</v>
      </c>
      <c r="S326" s="23">
        <f>+OUTPUT!AI45*1000</f>
        <v>1194528.7800000042</v>
      </c>
      <c r="T326" s="23">
        <f>+OUTPUT!AK45*1000</f>
        <v>1388684.010000004</v>
      </c>
    </row>
    <row r="327" spans="2:20" ht="15" customHeight="1">
      <c r="B327" s="11" t="s">
        <v>334</v>
      </c>
      <c r="C327" s="23">
        <f>+OUTPUT!E46*1000</f>
        <v>15202.084093655705</v>
      </c>
      <c r="D327" s="23">
        <f>+OUTPUT!G46*1000</f>
        <v>7568.11</v>
      </c>
      <c r="E327" s="23">
        <f>+OUTPUT!I46*1000</f>
        <v>3071.82</v>
      </c>
      <c r="F327" s="23">
        <f>+OUTPUT!K46*1000</f>
        <v>20215.650000000001</v>
      </c>
      <c r="G327" s="23">
        <f t="shared" si="298"/>
        <v>3245.77</v>
      </c>
      <c r="H327" s="23">
        <f>+OUTPUT!M46*1000</f>
        <v>3245.77</v>
      </c>
      <c r="I327" s="23">
        <f>+OUTPUT!O46*1000</f>
        <v>3392.27</v>
      </c>
      <c r="J327" s="23">
        <f>+OUTPUT!Q46*1000</f>
        <v>1935.09</v>
      </c>
      <c r="K327" s="23">
        <f>+OUTPUT!S46*1000</f>
        <v>3841.8900000000003</v>
      </c>
      <c r="L327" s="23">
        <f>+OUTPUT!U46*1000</f>
        <v>2167.62</v>
      </c>
      <c r="M327" s="23">
        <f>+OUTPUT!W46*1000</f>
        <v>2041.5</v>
      </c>
      <c r="N327" s="23">
        <f>+OUTPUT!Y46*1000</f>
        <v>2052.42</v>
      </c>
      <c r="O327" s="23">
        <f>+OUTPUT!AA46*1000</f>
        <v>281.95999999999998</v>
      </c>
      <c r="P327" s="23">
        <f>+OUTPUT!AC46*1000</f>
        <v>0.5</v>
      </c>
      <c r="Q327" s="23">
        <f>+OUTPUT!AE46*1000</f>
        <v>2</v>
      </c>
      <c r="R327" s="23">
        <f>+OUTPUT!AG46*1000</f>
        <v>0</v>
      </c>
      <c r="S327" s="23">
        <f>+OUTPUT!AI46*1000</f>
        <v>0.5</v>
      </c>
      <c r="T327" s="23">
        <f>+OUTPUT!AK46*1000</f>
        <v>3.5</v>
      </c>
    </row>
    <row r="328" spans="2:20" ht="15" customHeight="1">
      <c r="B328" s="11" t="s">
        <v>335</v>
      </c>
      <c r="C328" s="23">
        <f>+OUTPUT!E48*1000</f>
        <v>2730.3243053070182</v>
      </c>
      <c r="D328" s="23">
        <f>+OUTPUT!G48*1000</f>
        <v>3191.77</v>
      </c>
      <c r="E328" s="23">
        <f>+OUTPUT!I48*1000</f>
        <v>3230.18</v>
      </c>
      <c r="F328" s="23">
        <f>+OUTPUT!K48*1000</f>
        <v>5620.34</v>
      </c>
      <c r="G328" s="23">
        <f t="shared" si="298"/>
        <v>7211.9900000000098</v>
      </c>
      <c r="H328" s="23">
        <f>+OUTPUT!M48*1000</f>
        <v>7211.9900000000098</v>
      </c>
      <c r="I328" s="23">
        <f>+OUTPUT!O48*1000</f>
        <v>7822.7499999999436</v>
      </c>
      <c r="J328" s="23">
        <f>+OUTPUT!Q48*1000</f>
        <v>8005.780000000007</v>
      </c>
      <c r="K328" s="23">
        <f>+OUTPUT!S48*1000</f>
        <v>7868.9200000000073</v>
      </c>
      <c r="L328" s="23">
        <f>+OUTPUT!U48*1000</f>
        <v>7744.1100000000106</v>
      </c>
      <c r="M328" s="23">
        <f>+OUTPUT!W48*1000</f>
        <v>7075.0300000000025</v>
      </c>
      <c r="N328" s="23">
        <f>+OUTPUT!Y48*1000</f>
        <v>5689.0999999999985</v>
      </c>
      <c r="O328" s="23">
        <f>+OUTPUT!AA48*1000</f>
        <v>3159.2800000000175</v>
      </c>
      <c r="P328" s="23">
        <f>+OUTPUT!AC48*1000</f>
        <v>3276.5799999999981</v>
      </c>
      <c r="Q328" s="23">
        <f>+OUTPUT!AE48*1000</f>
        <v>2705.7199999999993</v>
      </c>
      <c r="R328" s="23">
        <f>+OUTPUT!AG48*1000</f>
        <v>2166.14</v>
      </c>
      <c r="S328" s="23">
        <f>+OUTPUT!AI48*1000</f>
        <v>2191.1000000000008</v>
      </c>
      <c r="T328" s="23">
        <f>+OUTPUT!AK48*1000</f>
        <v>2252.16</v>
      </c>
    </row>
    <row r="329" spans="2:20" ht="15" customHeight="1">
      <c r="B329" s="11" t="s">
        <v>336</v>
      </c>
      <c r="C329" s="23">
        <f>+OUTPUT!E49*1000</f>
        <v>11019.123292517475</v>
      </c>
      <c r="D329" s="23">
        <f>+OUTPUT!G49*1000</f>
        <v>10797.58</v>
      </c>
      <c r="E329" s="23">
        <f>+OUTPUT!I49*1000</f>
        <v>14402.5</v>
      </c>
      <c r="F329" s="23">
        <f>+OUTPUT!K49*1000</f>
        <v>14980.77</v>
      </c>
      <c r="G329" s="23">
        <f t="shared" si="298"/>
        <v>9886.76</v>
      </c>
      <c r="H329" s="23">
        <f>+OUTPUT!M49*1000</f>
        <v>9886.76</v>
      </c>
      <c r="I329" s="23">
        <f>+OUTPUT!O49*1000</f>
        <v>13128.18</v>
      </c>
      <c r="J329" s="23">
        <f>+OUTPUT!Q49*1000</f>
        <v>17468.689999999999</v>
      </c>
      <c r="K329" s="23">
        <f>+OUTPUT!S49*1000</f>
        <v>10371.14</v>
      </c>
      <c r="L329" s="23">
        <f>+OUTPUT!U49*1000</f>
        <v>7443.35</v>
      </c>
      <c r="M329" s="23">
        <f>+OUTPUT!W49*1000</f>
        <v>10991.040000000003</v>
      </c>
      <c r="N329" s="23">
        <f>+OUTPUT!Y49*1000</f>
        <v>12284.68</v>
      </c>
      <c r="O329" s="23">
        <f>+OUTPUT!AA49*1000</f>
        <v>21468.160000000025</v>
      </c>
      <c r="P329" s="23">
        <f>+OUTPUT!AC49*1000</f>
        <v>18724.469999999994</v>
      </c>
      <c r="Q329" s="23">
        <f>+OUTPUT!AE49*1000</f>
        <v>19414.78</v>
      </c>
      <c r="R329" s="23">
        <f>+OUTPUT!AG49*1000</f>
        <v>22862.690000000002</v>
      </c>
      <c r="S329" s="23">
        <f>+OUTPUT!AI49*1000</f>
        <v>24259.140000000007</v>
      </c>
      <c r="T329" s="23">
        <f>+OUTPUT!AK49*1000</f>
        <v>33905.120000000032</v>
      </c>
    </row>
    <row r="330" spans="2:20" ht="15" customHeight="1">
      <c r="B330" s="11" t="s">
        <v>337</v>
      </c>
      <c r="C330" s="23">
        <f>+OUTPUT!E50*1000</f>
        <v>104809.93636024819</v>
      </c>
      <c r="D330" s="23">
        <f>+OUTPUT!G50*1000</f>
        <v>76133.55</v>
      </c>
      <c r="E330" s="23">
        <f>+OUTPUT!I50*1000</f>
        <v>75355.740000000005</v>
      </c>
      <c r="F330" s="23">
        <f>+OUTPUT!K50*1000</f>
        <v>58122.12</v>
      </c>
      <c r="G330" s="23">
        <f t="shared" si="298"/>
        <v>90818.48</v>
      </c>
      <c r="H330" s="23">
        <f>+OUTPUT!M50*1000</f>
        <v>90818.48</v>
      </c>
      <c r="I330" s="23">
        <f>+OUTPUT!O50*1000</f>
        <v>288573.10000000533</v>
      </c>
      <c r="J330" s="23">
        <f>+OUTPUT!Q50*1000</f>
        <v>489417.33999999409</v>
      </c>
      <c r="K330" s="23">
        <f>+OUTPUT!S50*1000</f>
        <v>533899.73999999405</v>
      </c>
      <c r="L330" s="23">
        <f>+OUTPUT!U50*1000</f>
        <v>597150.67000000679</v>
      </c>
      <c r="M330" s="23">
        <f>+OUTPUT!W50*1000</f>
        <v>801193.799999999</v>
      </c>
      <c r="N330" s="23">
        <f>+OUTPUT!Y50*1000</f>
        <v>909563.18999999657</v>
      </c>
      <c r="O330" s="23">
        <f>+OUTPUT!AA50*1000</f>
        <v>904844.54999986908</v>
      </c>
      <c r="P330" s="23">
        <f>+OUTPUT!AC50*1000</f>
        <v>894118.10000000126</v>
      </c>
      <c r="Q330" s="23">
        <f>+OUTPUT!AE50*1000</f>
        <v>774797.96000000066</v>
      </c>
      <c r="R330" s="23">
        <f>+OUTPUT!AG50*1000</f>
        <v>777709.1600000012</v>
      </c>
      <c r="S330" s="23">
        <f>+OUTPUT!AI50*1000</f>
        <v>691716.05000000063</v>
      </c>
      <c r="T330" s="23">
        <f>+OUTPUT!AK50*1000</f>
        <v>569030.99000000011</v>
      </c>
    </row>
    <row r="331" spans="2:20" ht="15" customHeight="1">
      <c r="B331" s="11" t="s">
        <v>338</v>
      </c>
      <c r="C331" s="23">
        <f>+OUTPUT!E51*1000</f>
        <v>35882.865103107215</v>
      </c>
      <c r="D331" s="23">
        <f>+OUTPUT!G51*1000</f>
        <v>74243.230000000098</v>
      </c>
      <c r="E331" s="23">
        <f>+OUTPUT!I51*1000</f>
        <v>73020.039999999994</v>
      </c>
      <c r="F331" s="23">
        <f>+OUTPUT!K51*1000</f>
        <v>121455.53</v>
      </c>
      <c r="G331" s="23">
        <f t="shared" si="298"/>
        <v>204057.77</v>
      </c>
      <c r="H331" s="23">
        <f>+OUTPUT!M51*1000</f>
        <v>204057.77</v>
      </c>
      <c r="I331" s="23">
        <f>+OUTPUT!O51*1000</f>
        <v>130217.58999999778</v>
      </c>
      <c r="J331" s="23">
        <f>+OUTPUT!Q51*1000</f>
        <v>7174.84</v>
      </c>
      <c r="K331" s="23">
        <f>+OUTPUT!S51*1000</f>
        <v>12197.250000000002</v>
      </c>
      <c r="L331" s="23">
        <f>+OUTPUT!U51*1000</f>
        <v>8032.11</v>
      </c>
      <c r="M331" s="23">
        <f>+OUTPUT!W51*1000</f>
        <v>13276.210000000001</v>
      </c>
      <c r="N331" s="23">
        <f>+OUTPUT!Y51*1000</f>
        <v>28322.399999999998</v>
      </c>
      <c r="O331" s="23">
        <f>+OUTPUT!AA51*1000</f>
        <v>62930.370000000163</v>
      </c>
      <c r="P331" s="23">
        <f>+OUTPUT!AC51*1000</f>
        <v>370781.62000000011</v>
      </c>
      <c r="Q331" s="23">
        <f>+OUTPUT!AE51*1000</f>
        <v>557694.9800000008</v>
      </c>
      <c r="R331" s="23">
        <f>+OUTPUT!AG51*1000</f>
        <v>684705.09000000171</v>
      </c>
      <c r="S331" s="23">
        <f>+OUTPUT!AI51*1000</f>
        <v>973212.33000000322</v>
      </c>
      <c r="T331" s="23">
        <f>+OUTPUT!AK51*1000</f>
        <v>1162695.9700000049</v>
      </c>
    </row>
    <row r="332" spans="2:20" ht="15" customHeight="1">
      <c r="B332" s="11" t="s">
        <v>339</v>
      </c>
      <c r="C332" s="23">
        <f>+OUTPUT!E52*1000</f>
        <v>19496.68447340123</v>
      </c>
      <c r="D332" s="23">
        <f>+OUTPUT!G52*1000</f>
        <v>13043.06</v>
      </c>
      <c r="E332" s="23">
        <f>+OUTPUT!I52*1000</f>
        <v>6480.22</v>
      </c>
      <c r="F332" s="23">
        <f>+OUTPUT!K52*1000</f>
        <v>11714.22</v>
      </c>
      <c r="G332" s="23">
        <f t="shared" si="298"/>
        <v>14188.42</v>
      </c>
      <c r="H332" s="23">
        <f>+OUTPUT!M52*1000</f>
        <v>14188.42</v>
      </c>
      <c r="I332" s="23">
        <f>+OUTPUT!O52*1000</f>
        <v>11882.16</v>
      </c>
      <c r="J332" s="23">
        <f>+OUTPUT!Q52*1000</f>
        <v>2942.16</v>
      </c>
      <c r="K332" s="23">
        <f>+OUTPUT!S52*1000</f>
        <v>5516.5499999999993</v>
      </c>
      <c r="L332" s="23">
        <f>+OUTPUT!U52*1000</f>
        <v>3973.0699999999997</v>
      </c>
      <c r="M332" s="23">
        <f>+OUTPUT!W52*1000</f>
        <v>8589.6999999999989</v>
      </c>
      <c r="N332" s="23">
        <f>+OUTPUT!Y52*1000</f>
        <v>8221.98</v>
      </c>
      <c r="O332" s="23">
        <f>+OUTPUT!AA52*1000</f>
        <v>1398.68</v>
      </c>
      <c r="P332" s="23">
        <f>+OUTPUT!AC52*1000</f>
        <v>0</v>
      </c>
      <c r="Q332" s="23">
        <f>+OUTPUT!AE52*1000</f>
        <v>280.45999999999998</v>
      </c>
      <c r="R332" s="23">
        <f>+OUTPUT!AG52*1000</f>
        <v>0</v>
      </c>
      <c r="S332" s="23">
        <f>+OUTPUT!AI52*1000</f>
        <v>2</v>
      </c>
      <c r="T332" s="23">
        <f>+OUTPUT!AK52*1000</f>
        <v>0</v>
      </c>
    </row>
    <row r="333" spans="2:20" ht="15" customHeight="1">
      <c r="B333" s="11" t="s">
        <v>340</v>
      </c>
      <c r="C333" s="23">
        <f>+OUTPUT!E56*1000</f>
        <v>12752.08548186718</v>
      </c>
      <c r="D333" s="23">
        <f>+OUTPUT!G56*1000</f>
        <v>15786.06</v>
      </c>
      <c r="E333" s="23">
        <f>+OUTPUT!I56*1000</f>
        <v>14527.02</v>
      </c>
      <c r="F333" s="23">
        <f>+OUTPUT!K56*1000</f>
        <v>27086.380000000201</v>
      </c>
      <c r="G333" s="23">
        <f t="shared" si="298"/>
        <v>26349.190000000199</v>
      </c>
      <c r="H333" s="23">
        <f>+OUTPUT!M56*1000</f>
        <v>26349.190000000199</v>
      </c>
      <c r="I333" s="23">
        <f>+OUTPUT!O56*1000</f>
        <v>33435.889999998079</v>
      </c>
      <c r="J333" s="23">
        <f>+OUTPUT!Q56*1000</f>
        <v>35399.760000000235</v>
      </c>
      <c r="K333" s="23">
        <f>+OUTPUT!S56*1000</f>
        <v>36486.200000000194</v>
      </c>
      <c r="L333" s="23">
        <f>+OUTPUT!U56*1000</f>
        <v>38501.960000000159</v>
      </c>
      <c r="M333" s="23">
        <f>+OUTPUT!W56*1000</f>
        <v>40345.870000000286</v>
      </c>
      <c r="N333" s="23">
        <f>+OUTPUT!Y56*1000</f>
        <v>32081.400000000089</v>
      </c>
      <c r="O333" s="23">
        <f>+OUTPUT!AA56*1000</f>
        <v>24359.219999998404</v>
      </c>
      <c r="P333" s="23">
        <f>+OUTPUT!AC56*1000</f>
        <v>20136.999999999978</v>
      </c>
      <c r="Q333" s="23">
        <f>+OUTPUT!AE56*1000</f>
        <v>15794.400000000001</v>
      </c>
      <c r="R333" s="23">
        <f>+OUTPUT!AG56*1000</f>
        <v>14107.9</v>
      </c>
      <c r="S333" s="23">
        <f>+OUTPUT!AI56*1000</f>
        <v>13966.300000000001</v>
      </c>
      <c r="T333" s="23">
        <f>+OUTPUT!AK56*1000</f>
        <v>15372.100000000002</v>
      </c>
    </row>
    <row r="334" spans="2:20" ht="15" customHeight="1">
      <c r="B334" s="11" t="s">
        <v>341</v>
      </c>
      <c r="C334" s="23">
        <f>+OUTPUT!E57*1000</f>
        <v>41613.15158405948</v>
      </c>
      <c r="D334" s="23">
        <f>+OUTPUT!G57*1000</f>
        <v>42112.18</v>
      </c>
      <c r="E334" s="23">
        <f>+OUTPUT!I57*1000</f>
        <v>56969.010000000097</v>
      </c>
      <c r="F334" s="23">
        <f>+OUTPUT!K57*1000</f>
        <v>47116.46</v>
      </c>
      <c r="G334" s="23">
        <f t="shared" si="298"/>
        <v>41939.699999999997</v>
      </c>
      <c r="H334" s="23">
        <f>+OUTPUT!M57*1000</f>
        <v>41939.699999999997</v>
      </c>
      <c r="I334" s="23">
        <f>+OUTPUT!O57*1000</f>
        <v>52668.570000000094</v>
      </c>
      <c r="J334" s="23">
        <f>+OUTPUT!Q57*1000</f>
        <v>85004.650000000227</v>
      </c>
      <c r="K334" s="23">
        <f>+OUTPUT!S57*1000</f>
        <v>61055.830000000096</v>
      </c>
      <c r="L334" s="23">
        <f>+OUTPUT!U57*1000</f>
        <v>48216.939999999995</v>
      </c>
      <c r="M334" s="23">
        <f>+OUTPUT!W57*1000</f>
        <v>60318.039999999884</v>
      </c>
      <c r="N334" s="23">
        <f>+OUTPUT!Y57*1000</f>
        <v>70723.819999999803</v>
      </c>
      <c r="O334" s="23">
        <f>+OUTPUT!AA57*1000</f>
        <v>131836.78999999518</v>
      </c>
      <c r="P334" s="23">
        <f>+OUTPUT!AC57*1000</f>
        <v>108397.2099999999</v>
      </c>
      <c r="Q334" s="23">
        <f>+OUTPUT!AE57*1000</f>
        <v>106347.60999999987</v>
      </c>
      <c r="R334" s="23">
        <f>+OUTPUT!AG57*1000</f>
        <v>118699.42999999983</v>
      </c>
      <c r="S334" s="23">
        <f>+OUTPUT!AI57*1000</f>
        <v>134838.92999999991</v>
      </c>
      <c r="T334" s="23">
        <f>+OUTPUT!AK57*1000</f>
        <v>135142.63999999993</v>
      </c>
    </row>
    <row r="335" spans="2:20" ht="15" customHeight="1">
      <c r="B335" s="11" t="s">
        <v>342</v>
      </c>
      <c r="C335" s="23">
        <f>+OUTPUT!E58*1000</f>
        <v>261944.0604508883</v>
      </c>
      <c r="D335" s="23">
        <f>+OUTPUT!G58*1000</f>
        <v>174574.02999999901</v>
      </c>
      <c r="E335" s="23">
        <f>+OUTPUT!I58*1000</f>
        <v>178160.679999999</v>
      </c>
      <c r="F335" s="23">
        <f>+OUTPUT!K58*1000</f>
        <v>126229.24</v>
      </c>
      <c r="G335" s="23">
        <f t="shared" si="298"/>
        <v>256968.04000000004</v>
      </c>
      <c r="H335" s="23">
        <f>+OUTPUT!M58*1000</f>
        <v>256968.04000000004</v>
      </c>
      <c r="I335" s="23">
        <f>+OUTPUT!O58*1000</f>
        <v>599946.70000000391</v>
      </c>
      <c r="J335" s="23">
        <f>+OUTPUT!Q58*1000</f>
        <v>779841.98000000592</v>
      </c>
      <c r="K335" s="23">
        <f>+OUTPUT!S58*1000</f>
        <v>808844.78000000608</v>
      </c>
      <c r="L335" s="23">
        <f>+OUTPUT!U58*1000</f>
        <v>907610.11000000383</v>
      </c>
      <c r="M335" s="23">
        <f>+OUTPUT!W58*1000</f>
        <v>1199842.4899999925</v>
      </c>
      <c r="N335" s="23">
        <f>+OUTPUT!Y58*1000</f>
        <v>1587210.1699999988</v>
      </c>
      <c r="O335" s="23">
        <f>+OUTPUT!AA58*1000</f>
        <v>1720596.0000000051</v>
      </c>
      <c r="P335" s="23">
        <f>+OUTPUT!AC58*1000</f>
        <v>1490408.8800000004</v>
      </c>
      <c r="Q335" s="23">
        <f>+OUTPUT!AE58*1000</f>
        <v>1300208.3800000011</v>
      </c>
      <c r="R335" s="23">
        <f>+OUTPUT!AG58*1000</f>
        <v>1365112.1799999995</v>
      </c>
      <c r="S335" s="23">
        <f>+OUTPUT!AI58*1000</f>
        <v>1163627.540000001</v>
      </c>
      <c r="T335" s="23">
        <f>+OUTPUT!AK58*1000</f>
        <v>1043591.8899999994</v>
      </c>
    </row>
    <row r="336" spans="2:20" ht="15" customHeight="1">
      <c r="B336" s="11" t="s">
        <v>343</v>
      </c>
      <c r="C336" s="23">
        <f>+OUTPUT!E59*1000</f>
        <v>126033.92542267835</v>
      </c>
      <c r="D336" s="23">
        <f>+OUTPUT!G59*1000</f>
        <v>229046.33999999901</v>
      </c>
      <c r="E336" s="23">
        <f>+OUTPUT!I59*1000</f>
        <v>214114.109999999</v>
      </c>
      <c r="F336" s="23">
        <f>+OUTPUT!K59*1000</f>
        <v>258606.46999999898</v>
      </c>
      <c r="G336" s="23">
        <f t="shared" si="298"/>
        <v>370543.73000000301</v>
      </c>
      <c r="H336" s="23">
        <f>+OUTPUT!M59*1000</f>
        <v>370543.73000000301</v>
      </c>
      <c r="I336" s="23">
        <f>+OUTPUT!O59*1000</f>
        <v>312403.19000000396</v>
      </c>
      <c r="J336" s="23">
        <f>+OUTPUT!Q59*1000</f>
        <v>51532.21</v>
      </c>
      <c r="K336" s="23">
        <f>+OUTPUT!S59*1000</f>
        <v>61846.540000000008</v>
      </c>
      <c r="L336" s="23">
        <f>+OUTPUT!U59*1000</f>
        <v>54051.040000000001</v>
      </c>
      <c r="M336" s="23">
        <f>+OUTPUT!W59*1000</f>
        <v>93376.520000000106</v>
      </c>
      <c r="N336" s="23">
        <f>+OUTPUT!Y59*1000</f>
        <v>110249.07000000008</v>
      </c>
      <c r="O336" s="23">
        <f>+OUTPUT!AA59*1000</f>
        <v>193473.20000000167</v>
      </c>
      <c r="P336" s="23">
        <f>+OUTPUT!AC59*1000</f>
        <v>607310.04000000039</v>
      </c>
      <c r="Q336" s="23">
        <f>+OUTPUT!AE59*1000</f>
        <v>820205.0600000011</v>
      </c>
      <c r="R336" s="23">
        <f>+OUTPUT!AG59*1000</f>
        <v>882535.94000000134</v>
      </c>
      <c r="S336" s="23">
        <f>+OUTPUT!AI59*1000</f>
        <v>1305528.7500000042</v>
      </c>
      <c r="T336" s="23">
        <f>+OUTPUT!AK59*1000</f>
        <v>1554631.6800000037</v>
      </c>
    </row>
    <row r="337" spans="2:20" ht="15" customHeight="1">
      <c r="B337" s="11" t="s">
        <v>344</v>
      </c>
      <c r="C337" s="23">
        <f>+OUTPUT!E60*1000</f>
        <v>23029.839068981961</v>
      </c>
      <c r="D337" s="23">
        <f>+OUTPUT!G60*1000</f>
        <v>12932.08</v>
      </c>
      <c r="E337" s="23">
        <f>+OUTPUT!I60*1000</f>
        <v>4871.42</v>
      </c>
      <c r="F337" s="23">
        <f>+OUTPUT!K60*1000</f>
        <v>26574.75</v>
      </c>
      <c r="G337" s="23">
        <f t="shared" si="298"/>
        <v>11072.03</v>
      </c>
      <c r="H337" s="23">
        <f>+OUTPUT!M60*1000</f>
        <v>11072.03</v>
      </c>
      <c r="I337" s="23">
        <f>+OUTPUT!O60*1000</f>
        <v>4673.34</v>
      </c>
      <c r="J337" s="23">
        <f>+OUTPUT!Q60*1000</f>
        <v>3846.89</v>
      </c>
      <c r="K337" s="23">
        <f>+OUTPUT!S60*1000</f>
        <v>6723.880000000001</v>
      </c>
      <c r="L337" s="23">
        <f>+OUTPUT!U60*1000</f>
        <v>4832.7800000000007</v>
      </c>
      <c r="M337" s="23">
        <f>+OUTPUT!W60*1000</f>
        <v>9167.14</v>
      </c>
      <c r="N337" s="23">
        <f>+OUTPUT!Y60*1000</f>
        <v>4435.58</v>
      </c>
      <c r="O337" s="23">
        <f>+OUTPUT!AA60*1000</f>
        <v>913.71</v>
      </c>
      <c r="P337" s="23">
        <f>+OUTPUT!AC60*1000</f>
        <v>0.5</v>
      </c>
      <c r="Q337" s="23">
        <f>+OUTPUT!AE60*1000</f>
        <v>2</v>
      </c>
      <c r="R337" s="23">
        <f>+OUTPUT!AG60*1000</f>
        <v>-0.5</v>
      </c>
      <c r="S337" s="23">
        <f>+OUTPUT!AI60*1000</f>
        <v>0</v>
      </c>
      <c r="T337" s="23">
        <f>+OUTPUT!AK60*1000</f>
        <v>3.5</v>
      </c>
    </row>
    <row r="338" spans="2:20" ht="15" customHeight="1">
      <c r="B338" s="11" t="s">
        <v>345</v>
      </c>
      <c r="C338" s="23">
        <f>+OUTPUT!E62*1000</f>
        <v>2041.1389608830229</v>
      </c>
      <c r="D338" s="23">
        <f>+OUTPUT!G62*1000</f>
        <v>1882.69</v>
      </c>
      <c r="E338" s="23">
        <f>+OUTPUT!I62*1000</f>
        <v>2261.29</v>
      </c>
      <c r="F338" s="23">
        <f>+OUTPUT!K62*1000</f>
        <v>4861.01</v>
      </c>
      <c r="G338" s="23">
        <f t="shared" si="298"/>
        <v>5180.63</v>
      </c>
      <c r="H338" s="23">
        <f>+OUTPUT!M62*1000</f>
        <v>5180.63</v>
      </c>
      <c r="I338" s="23">
        <f>+OUTPUT!O62*1000</f>
        <v>6144.86</v>
      </c>
      <c r="J338" s="23">
        <f>+OUTPUT!Q62*1000</f>
        <v>7497.440000000006</v>
      </c>
      <c r="K338" s="23">
        <f>+OUTPUT!S62*1000</f>
        <v>6289.3399999999992</v>
      </c>
      <c r="L338" s="23">
        <f>+OUTPUT!U62*1000</f>
        <v>8742.3100000000122</v>
      </c>
      <c r="M338" s="23">
        <f>+OUTPUT!W62*1000</f>
        <v>7195.5000000000045</v>
      </c>
      <c r="N338" s="23">
        <f>+OUTPUT!Y62*1000</f>
        <v>3751.6799999999976</v>
      </c>
      <c r="O338" s="23">
        <f>+OUTPUT!AA62*1000</f>
        <v>993.14000000000271</v>
      </c>
      <c r="P338" s="23">
        <f>+OUTPUT!AC62*1000</f>
        <v>1133.9000000000005</v>
      </c>
      <c r="Q338" s="23">
        <f>+OUTPUT!AE62*1000</f>
        <v>986.34</v>
      </c>
      <c r="R338" s="23">
        <f>+OUTPUT!AG62*1000</f>
        <v>781.99999999999989</v>
      </c>
      <c r="S338" s="23">
        <f>+OUTPUT!AI62*1000</f>
        <v>908.61999999999989</v>
      </c>
      <c r="T338" s="23">
        <f>+OUTPUT!AK62*1000</f>
        <v>875.84000000000037</v>
      </c>
    </row>
    <row r="339" spans="2:20" ht="15" customHeight="1">
      <c r="B339" s="11" t="s">
        <v>346</v>
      </c>
      <c r="C339" s="23">
        <f>+OUTPUT!E63*1000</f>
        <v>2688.6373136363954</v>
      </c>
      <c r="D339" s="23">
        <f>+OUTPUT!G63*1000</f>
        <v>2728.38</v>
      </c>
      <c r="E339" s="23">
        <f>+OUTPUT!I63*1000</f>
        <v>2809.92</v>
      </c>
      <c r="F339" s="23">
        <f>+OUTPUT!K63*1000</f>
        <v>5817.2</v>
      </c>
      <c r="G339" s="23">
        <f t="shared" si="298"/>
        <v>3100.03</v>
      </c>
      <c r="H339" s="23">
        <f>+OUTPUT!M63*1000</f>
        <v>3100.03</v>
      </c>
      <c r="I339" s="23">
        <f>+OUTPUT!O63*1000</f>
        <v>4197.8500000000104</v>
      </c>
      <c r="J339" s="23">
        <f>+OUTPUT!Q63*1000</f>
        <v>4518.8500000000004</v>
      </c>
      <c r="K339" s="23">
        <f>+OUTPUT!S63*1000</f>
        <v>3418.71</v>
      </c>
      <c r="L339" s="23">
        <f>+OUTPUT!U63*1000</f>
        <v>811.4799999999999</v>
      </c>
      <c r="M339" s="23">
        <f>+OUTPUT!W63*1000</f>
        <v>1134.01</v>
      </c>
      <c r="N339" s="23">
        <f>+OUTPUT!Y63*1000</f>
        <v>861.68000000000006</v>
      </c>
      <c r="O339" s="23">
        <f>+OUTPUT!AA63*1000</f>
        <v>13364.339999999997</v>
      </c>
      <c r="P339" s="23">
        <f>+OUTPUT!AC63*1000</f>
        <v>17946.32</v>
      </c>
      <c r="Q339" s="23">
        <f>+OUTPUT!AE63*1000</f>
        <v>18503.52</v>
      </c>
      <c r="R339" s="23">
        <f>+OUTPUT!AG63*1000</f>
        <v>20944.480000000007</v>
      </c>
      <c r="S339" s="23">
        <f>+OUTPUT!AI63*1000</f>
        <v>13001.680000000017</v>
      </c>
      <c r="T339" s="23">
        <f>+OUTPUT!AK63*1000</f>
        <v>19808.930000000022</v>
      </c>
    </row>
    <row r="340" spans="2:20" ht="15" customHeight="1">
      <c r="B340" s="11" t="s">
        <v>347</v>
      </c>
      <c r="C340" s="23">
        <f>+OUTPUT!E64*1000</f>
        <v>22138.851042224469</v>
      </c>
      <c r="D340" s="23">
        <f>+OUTPUT!G64*1000</f>
        <v>13523.85</v>
      </c>
      <c r="E340" s="23">
        <f>+OUTPUT!I64*1000</f>
        <v>15747.47</v>
      </c>
      <c r="F340" s="23">
        <f>+OUTPUT!K64*1000</f>
        <v>28284.240000000002</v>
      </c>
      <c r="G340" s="23">
        <f t="shared" si="298"/>
        <v>42807.14</v>
      </c>
      <c r="H340" s="23">
        <f>+OUTPUT!M64*1000</f>
        <v>42807.14</v>
      </c>
      <c r="I340" s="23">
        <f>+OUTPUT!O64*1000</f>
        <v>172861.76999999938</v>
      </c>
      <c r="J340" s="23">
        <f>+OUTPUT!Q64*1000</f>
        <v>348747.59999999747</v>
      </c>
      <c r="K340" s="23">
        <f>+OUTPUT!S64*1000</f>
        <v>527894.35999999428</v>
      </c>
      <c r="L340" s="23">
        <f>+OUTPUT!U64*1000</f>
        <v>595182.93000000739</v>
      </c>
      <c r="M340" s="23">
        <f>+OUTPUT!W64*1000</f>
        <v>742731.03999999759</v>
      </c>
      <c r="N340" s="23">
        <f>+OUTPUT!Y64*1000</f>
        <v>647527.0099999985</v>
      </c>
      <c r="O340" s="23">
        <f>+OUTPUT!AA64*1000</f>
        <v>628555.2599999354</v>
      </c>
      <c r="P340" s="23">
        <f>+OUTPUT!AC64*1000</f>
        <v>648420.25000000116</v>
      </c>
      <c r="Q340" s="23">
        <f>+OUTPUT!AE64*1000</f>
        <v>559207.29000000062</v>
      </c>
      <c r="R340" s="23">
        <f>+OUTPUT!AG64*1000</f>
        <v>608555.39000000048</v>
      </c>
      <c r="S340" s="23">
        <f>+OUTPUT!AI64*1000</f>
        <v>583476.49000000057</v>
      </c>
      <c r="T340" s="23">
        <f>+OUTPUT!AK64*1000</f>
        <v>497336.26000000007</v>
      </c>
    </row>
    <row r="341" spans="2:20" ht="15" customHeight="1">
      <c r="B341" s="11" t="s">
        <v>348</v>
      </c>
      <c r="C341" s="23">
        <f>+OUTPUT!E65*1000</f>
        <v>18388.478203832216</v>
      </c>
      <c r="D341" s="23">
        <f>+OUTPUT!G65*1000</f>
        <v>22755.46</v>
      </c>
      <c r="E341" s="23">
        <f>+OUTPUT!I65*1000</f>
        <v>36286.53</v>
      </c>
      <c r="F341" s="23">
        <f>+OUTPUT!K65*1000</f>
        <v>58518.25</v>
      </c>
      <c r="G341" s="23">
        <f t="shared" si="298"/>
        <v>132498.18</v>
      </c>
      <c r="H341" s="23">
        <f>+OUTPUT!M65*1000</f>
        <v>132498.18</v>
      </c>
      <c r="I341" s="23">
        <f>+OUTPUT!O65*1000</f>
        <v>94011.579999998692</v>
      </c>
      <c r="J341" s="23">
        <f>+OUTPUT!Q65*1000</f>
        <v>2694.73</v>
      </c>
      <c r="K341" s="23">
        <f>+OUTPUT!S65*1000</f>
        <v>19811.97</v>
      </c>
      <c r="L341" s="23">
        <f>+OUTPUT!U65*1000</f>
        <v>18042.950000000004</v>
      </c>
      <c r="M341" s="23">
        <f>+OUTPUT!W65*1000</f>
        <v>15094.529999999999</v>
      </c>
      <c r="N341" s="23">
        <f>+OUTPUT!Y65*1000</f>
        <v>11873.789999999999</v>
      </c>
      <c r="O341" s="23">
        <f>+OUTPUT!AA65*1000</f>
        <v>41032.690000000119</v>
      </c>
      <c r="P341" s="23">
        <f>+OUTPUT!AC65*1000</f>
        <v>274732.88</v>
      </c>
      <c r="Q341" s="23">
        <f>+OUTPUT!AE65*1000</f>
        <v>440296.68000000034</v>
      </c>
      <c r="R341" s="23">
        <f>+OUTPUT!AG65*1000</f>
        <v>654780.32000000088</v>
      </c>
      <c r="S341" s="23">
        <f>+OUTPUT!AI65*1000</f>
        <v>850525.44000000251</v>
      </c>
      <c r="T341" s="23">
        <f>+OUTPUT!AK65*1000</f>
        <v>983108.87000000291</v>
      </c>
    </row>
    <row r="342" spans="2:20" ht="15" customHeight="1">
      <c r="B342" s="11" t="s">
        <v>349</v>
      </c>
      <c r="C342" s="23">
        <f>+OUTPUT!E66*1000</f>
        <v>8471.7467361976305</v>
      </c>
      <c r="D342" s="23">
        <f>+OUTPUT!G66*1000</f>
        <v>7163.04</v>
      </c>
      <c r="E342" s="23">
        <f>+OUTPUT!I66*1000</f>
        <v>7943.32</v>
      </c>
      <c r="F342" s="23">
        <f>+OUTPUT!K66*1000</f>
        <v>4900.16</v>
      </c>
      <c r="G342" s="23">
        <f t="shared" si="298"/>
        <v>7582.96</v>
      </c>
      <c r="H342" s="23">
        <f>+OUTPUT!M66*1000</f>
        <v>7582.96</v>
      </c>
      <c r="I342" s="23">
        <f>+OUTPUT!O66*1000</f>
        <v>17405.310000000001</v>
      </c>
      <c r="J342" s="23">
        <f>+OUTPUT!Q66*1000</f>
        <v>12136.41</v>
      </c>
      <c r="K342" s="23">
        <f>+OUTPUT!S66*1000</f>
        <v>19863.95</v>
      </c>
      <c r="L342" s="23">
        <f>+OUTPUT!U66*1000</f>
        <v>14093.58</v>
      </c>
      <c r="M342" s="23">
        <f>+OUTPUT!W66*1000</f>
        <v>15212.039999999999</v>
      </c>
      <c r="N342" s="23">
        <f>+OUTPUT!Y66*1000</f>
        <v>12927.529999999999</v>
      </c>
      <c r="O342" s="23">
        <f>+OUTPUT!AA66*1000</f>
        <v>349.67</v>
      </c>
      <c r="P342" s="23">
        <f>+OUTPUT!AC66*1000</f>
        <v>0</v>
      </c>
      <c r="Q342" s="23">
        <f>+OUTPUT!AE66*1000</f>
        <v>0</v>
      </c>
      <c r="R342" s="23">
        <f>+OUTPUT!AG66*1000</f>
        <v>0</v>
      </c>
      <c r="S342" s="23">
        <f>+OUTPUT!AI66*1000</f>
        <v>2.5</v>
      </c>
      <c r="T342" s="23">
        <f>+OUTPUT!AK66*1000</f>
        <v>0</v>
      </c>
    </row>
    <row r="343" spans="2:20" ht="15" customHeight="1">
      <c r="B343" s="11" t="s">
        <v>305</v>
      </c>
      <c r="C343" s="23">
        <f>+OUTPUT!E67*1000</f>
        <v>704240.48013518762</v>
      </c>
      <c r="D343" s="23">
        <f>+OUTPUT!G67*1000</f>
        <v>806445.66</v>
      </c>
      <c r="E343" s="23">
        <f>+OUTPUT!I67*1000</f>
        <v>738665.12000000011</v>
      </c>
      <c r="F343" s="23">
        <f>+OUTPUT!K67*1000</f>
        <v>899598.77000000014</v>
      </c>
      <c r="G343" s="23">
        <f t="shared" si="298"/>
        <v>1060692.49</v>
      </c>
      <c r="H343" s="23">
        <f>+OUTPUT!M67*1000</f>
        <v>1060692.49</v>
      </c>
      <c r="I343" s="23">
        <f>+OUTPUT!O67*1000</f>
        <v>1147177.48</v>
      </c>
      <c r="J343" s="23">
        <f>+OUTPUT!Q67*1000</f>
        <v>1332995.76</v>
      </c>
      <c r="K343" s="23">
        <f>+OUTPUT!S67*1000</f>
        <v>1460635.5899999999</v>
      </c>
      <c r="L343" s="23">
        <f>+OUTPUT!U67*1000</f>
        <v>1589556.69</v>
      </c>
      <c r="M343" s="23">
        <f>+OUTPUT!W67*1000</f>
        <v>1787316.8800000001</v>
      </c>
      <c r="N343" s="23">
        <f>+OUTPUT!Y67*1000</f>
        <v>1953781.9899999995</v>
      </c>
      <c r="O343" s="23">
        <f>+OUTPUT!AA67*1000</f>
        <v>2240717.6900000004</v>
      </c>
      <c r="P343" s="23">
        <f>+OUTPUT!AC67*1000</f>
        <v>2585884.6500000008</v>
      </c>
      <c r="Q343" s="23">
        <f>+OUTPUT!AE67*1000</f>
        <v>2606900.6399999978</v>
      </c>
      <c r="R343" s="23">
        <f>+OUTPUT!AG67*1000</f>
        <v>2749978.6599999983</v>
      </c>
      <c r="S343" s="23">
        <f>+OUTPUT!AI67*1000</f>
        <v>3030196.339999998</v>
      </c>
      <c r="T343" s="23">
        <f>+OUTPUT!AK67*1000</f>
        <v>3235032.2499999991</v>
      </c>
    </row>
    <row r="344" spans="2:20" ht="15" customHeight="1">
      <c r="B344" s="11" t="s">
        <v>306</v>
      </c>
      <c r="C344" s="23">
        <f>+OUTPUT!E68*1000</f>
        <v>178701.73675117121</v>
      </c>
      <c r="D344" s="23">
        <f>+OUTPUT!G68*1000</f>
        <v>234645.55000000002</v>
      </c>
      <c r="E344" s="23">
        <f>+OUTPUT!I68*1000</f>
        <v>148957.47999999998</v>
      </c>
      <c r="F344" s="23">
        <f>+OUTPUT!K68*1000</f>
        <v>124954.49</v>
      </c>
      <c r="G344" s="23">
        <f t="shared" si="298"/>
        <v>123910.13</v>
      </c>
      <c r="H344" s="23">
        <f>+OUTPUT!M68*1000</f>
        <v>123910.13</v>
      </c>
      <c r="I344" s="23">
        <f>+OUTPUT!O68*1000</f>
        <v>148878.82999999999</v>
      </c>
      <c r="J344" s="23">
        <f>+OUTPUT!Q68*1000</f>
        <v>155427.63</v>
      </c>
      <c r="K344" s="23">
        <f>+OUTPUT!S68*1000</f>
        <v>123128.84000000003</v>
      </c>
      <c r="L344" s="23">
        <f>+OUTPUT!U68*1000</f>
        <v>134461.26</v>
      </c>
      <c r="M344" s="23">
        <f>+OUTPUT!W68*1000</f>
        <v>183000.66999999998</v>
      </c>
      <c r="N344" s="23">
        <f>+OUTPUT!Y68*1000</f>
        <v>277431.93000000005</v>
      </c>
      <c r="O344" s="23">
        <f>+OUTPUT!AA68*1000</f>
        <v>273060.75000000012</v>
      </c>
      <c r="P344" s="23">
        <f>+OUTPUT!AC68*1000</f>
        <v>291209.98000000033</v>
      </c>
      <c r="Q344" s="23">
        <f>+OUTPUT!AE68*1000</f>
        <v>325958.89000000025</v>
      </c>
      <c r="R344" s="23">
        <f>+OUTPUT!AG68*1000</f>
        <v>373042.95000000007</v>
      </c>
      <c r="S344" s="23">
        <f>+OUTPUT!AI68*1000</f>
        <v>438823.76999999984</v>
      </c>
      <c r="T344" s="23">
        <f>+OUTPUT!AK68*1000</f>
        <v>489958.35000000033</v>
      </c>
    </row>
    <row r="345" spans="2:20" ht="15" customHeight="1">
      <c r="B345" s="11" t="s">
        <v>60</v>
      </c>
      <c r="C345" s="23">
        <f>+OUTPUT!E69*1000</f>
        <v>0</v>
      </c>
      <c r="D345" s="23">
        <f>+OUTPUT!G69*1000</f>
        <v>0</v>
      </c>
      <c r="E345" s="23">
        <f>+OUTPUT!I69*1000</f>
        <v>0</v>
      </c>
      <c r="F345" s="23">
        <f>+OUTPUT!K69*1000</f>
        <v>0</v>
      </c>
      <c r="G345" s="10">
        <v>0</v>
      </c>
      <c r="H345" s="23">
        <f>+OUTPUT!M69*1000</f>
        <v>1831830.7</v>
      </c>
      <c r="I345" s="23">
        <f>+OUTPUT!O69*1000</f>
        <v>2208186.2600000007</v>
      </c>
      <c r="J345" s="23">
        <f>+OUTPUT!Q69*1000</f>
        <v>2602985.37</v>
      </c>
      <c r="K345" s="23">
        <f>+OUTPUT!S69*1000</f>
        <v>3070436.9299999997</v>
      </c>
      <c r="L345" s="23">
        <f>+OUTPUT!U69*1000</f>
        <v>6635993.5800000001</v>
      </c>
      <c r="M345" s="23">
        <f>+OUTPUT!W69*1000</f>
        <v>5852829.6160504213</v>
      </c>
      <c r="N345" s="23">
        <f>+OUTPUT!Y69*1000</f>
        <v>7850392.6100000013</v>
      </c>
      <c r="O345" s="23">
        <f>+OUTPUT!AA69*1000</f>
        <v>10136781.290000001</v>
      </c>
      <c r="P345" s="23">
        <f>+OUTPUT!AC69*1000</f>
        <v>11864465.059999999</v>
      </c>
      <c r="Q345" s="23">
        <f>+OUTPUT!AE69*1000</f>
        <v>12876441.709999999</v>
      </c>
      <c r="R345" s="23">
        <f>+OUTPUT!AG69*1000</f>
        <v>13459634.560000001</v>
      </c>
      <c r="S345" s="23">
        <f>+OUTPUT!AI69*1000</f>
        <v>15030645.080000009</v>
      </c>
      <c r="T345" s="23">
        <f>+OUTPUT!AK69*1000</f>
        <v>16732853.720000014</v>
      </c>
    </row>
    <row r="346" spans="2:20" ht="15" customHeight="1">
      <c r="B346" s="11" t="s">
        <v>58</v>
      </c>
      <c r="C346" s="23">
        <f>+OUTPUT!E70*1000</f>
        <v>1142514.1465130961</v>
      </c>
      <c r="D346" s="23">
        <f>+OUTPUT!G70*1000</f>
        <v>2453996.06</v>
      </c>
      <c r="E346" s="23">
        <f>+OUTPUT!I70*1000</f>
        <v>3206577.5194000001</v>
      </c>
      <c r="F346" s="23">
        <f>+OUTPUT!K70*1000</f>
        <v>2976946.59</v>
      </c>
      <c r="G346" s="10">
        <f t="shared" si="298"/>
        <v>3186203.9</v>
      </c>
      <c r="H346" s="23">
        <f>+OUTPUT!M70*1000</f>
        <v>3186203.9</v>
      </c>
      <c r="I346" s="23">
        <f>+OUTPUT!O70*1000</f>
        <v>3682344.2710000002</v>
      </c>
      <c r="J346" s="23">
        <f>+OUTPUT!Q70*1000</f>
        <v>4320648.0299999993</v>
      </c>
      <c r="K346" s="23">
        <f>+OUTPUT!S70*1000</f>
        <v>4709327.8999999994</v>
      </c>
      <c r="L346" s="23">
        <f>+OUTPUT!U70*1000</f>
        <v>4641069.82</v>
      </c>
      <c r="M346" s="23">
        <f>+OUTPUT!W70*1000</f>
        <v>5572627.0299999993</v>
      </c>
      <c r="N346" s="23">
        <f>+OUTPUT!Y70*1000</f>
        <v>5985054.120000001</v>
      </c>
      <c r="O346" s="23">
        <f>+OUTPUT!AA70*1000</f>
        <v>6375683.2800000012</v>
      </c>
      <c r="P346" s="23">
        <f>+OUTPUT!AC70*1000</f>
        <v>6589617.3000000007</v>
      </c>
      <c r="Q346" s="23">
        <f>+OUTPUT!AE70*1000</f>
        <v>6796902.9399999995</v>
      </c>
      <c r="R346" s="23">
        <f>+OUTPUT!AG70*1000</f>
        <v>6843945.8399999999</v>
      </c>
      <c r="S346" s="23">
        <f>+OUTPUT!AI70*1000</f>
        <v>6579318.4700000007</v>
      </c>
      <c r="T346" s="23">
        <f>+OUTPUT!AK70*1000</f>
        <v>6586808.1500000004</v>
      </c>
    </row>
    <row r="347" spans="2:20" ht="15" customHeight="1">
      <c r="B347" s="11" t="s">
        <v>56</v>
      </c>
      <c r="C347" s="23">
        <f>+OUTPUT!E71*1000</f>
        <v>1130346.9485714287</v>
      </c>
      <c r="D347" s="23">
        <f>+OUTPUT!G71*1000</f>
        <v>1198056.6200000001</v>
      </c>
      <c r="E347" s="23">
        <f>+OUTPUT!I71*1000</f>
        <v>1478996.5499999998</v>
      </c>
      <c r="F347" s="23">
        <f>+OUTPUT!K71*1000</f>
        <v>1939249.06</v>
      </c>
      <c r="G347" s="10">
        <f t="shared" ref="G347:G364" si="299">+H347</f>
        <v>2597262.14</v>
      </c>
      <c r="H347" s="23">
        <f>+OUTPUT!M71*1000</f>
        <v>2597262.14</v>
      </c>
      <c r="I347" s="23">
        <f>+OUTPUT!O71*1000</f>
        <v>2641377.13</v>
      </c>
      <c r="J347" s="23">
        <f>+OUTPUT!Q71*1000</f>
        <v>3218185.63</v>
      </c>
      <c r="K347" s="23">
        <f>+OUTPUT!S71*1000</f>
        <v>3631149.54</v>
      </c>
      <c r="L347" s="23">
        <f>+OUTPUT!U71*1000</f>
        <v>3892963.75</v>
      </c>
      <c r="M347" s="23">
        <f>+OUTPUT!W71*1000</f>
        <v>4383513.5500000007</v>
      </c>
      <c r="N347" s="23">
        <f>+OUTPUT!Y71*1000</f>
        <v>5004654.3699999992</v>
      </c>
      <c r="O347" s="23">
        <f>+OUTPUT!AA71*1000</f>
        <v>5491770.5500000007</v>
      </c>
      <c r="P347" s="23">
        <f>+OUTPUT!AC71*1000</f>
        <v>5970295.8100000005</v>
      </c>
      <c r="Q347" s="23">
        <f>+OUTPUT!AE71*1000</f>
        <v>6131559.0900000008</v>
      </c>
      <c r="R347" s="23">
        <f>+OUTPUT!AG71*1000</f>
        <v>9499581.9900000002</v>
      </c>
      <c r="S347" s="23">
        <f>+OUTPUT!AI71*1000</f>
        <v>9884874.2799999993</v>
      </c>
      <c r="T347" s="23">
        <f>+OUTPUT!AK71*1000</f>
        <v>10374877.26</v>
      </c>
    </row>
    <row r="348" spans="2:20" ht="15" customHeight="1">
      <c r="B348" s="11" t="s">
        <v>63</v>
      </c>
      <c r="C348" s="23">
        <f>+OUTPUT!E72*1000</f>
        <v>640885.77142857155</v>
      </c>
      <c r="D348" s="23">
        <f>+OUTPUT!G72*1000</f>
        <v>616980</v>
      </c>
      <c r="E348" s="23">
        <f>+OUTPUT!I72*1000</f>
        <v>725641.29840000009</v>
      </c>
      <c r="F348" s="23">
        <f>+OUTPUT!K72*1000</f>
        <v>898169.58</v>
      </c>
      <c r="G348" s="10">
        <f t="shared" si="299"/>
        <v>1052626.07</v>
      </c>
      <c r="H348" s="23">
        <f>+OUTPUT!M72*1000</f>
        <v>1052626.07</v>
      </c>
      <c r="I348" s="23">
        <f>+OUTPUT!O72*1000</f>
        <v>1069763.1300000001</v>
      </c>
      <c r="J348" s="23">
        <f>+OUTPUT!Q72*1000</f>
        <v>1424542.6909999999</v>
      </c>
      <c r="K348" s="23">
        <f>+OUTPUT!S72*1000</f>
        <v>1579456.38</v>
      </c>
      <c r="L348" s="23">
        <f>+OUTPUT!U72*1000</f>
        <v>1936585.12</v>
      </c>
      <c r="M348" s="23">
        <f>+OUTPUT!W72*1000</f>
        <v>2203427.0199999996</v>
      </c>
      <c r="N348" s="23">
        <f>+OUTPUT!Y72*1000</f>
        <v>2560890.8500000006</v>
      </c>
      <c r="O348" s="23">
        <f>+OUTPUT!AA72*1000</f>
        <v>2841861.22</v>
      </c>
      <c r="P348" s="23">
        <f>+OUTPUT!AC72*1000</f>
        <v>3247446.2000000007</v>
      </c>
      <c r="Q348" s="23">
        <f>+OUTPUT!AE72*1000</f>
        <v>3366374.28</v>
      </c>
      <c r="R348" s="23">
        <f>+OUTPUT!AG72*1000</f>
        <v>3468249.15</v>
      </c>
      <c r="S348" s="23">
        <f>+OUTPUT!AI72*1000</f>
        <v>3710679.66</v>
      </c>
      <c r="T348" s="23">
        <f>+OUTPUT!AK72*1000</f>
        <v>3633327.5599999996</v>
      </c>
    </row>
    <row r="349" spans="2:20" ht="15" customHeight="1">
      <c r="B349" s="11" t="s">
        <v>57</v>
      </c>
      <c r="C349" s="23">
        <f>+OUTPUT!E73*1000</f>
        <v>5362173.6012727264</v>
      </c>
      <c r="D349" s="23">
        <f>+OUTPUT!G73*1000</f>
        <v>6772473.5299999993</v>
      </c>
      <c r="E349" s="23">
        <f>+OUTPUT!I73*1000</f>
        <v>7010588.669999999</v>
      </c>
      <c r="F349" s="23">
        <f>+OUTPUT!K73*1000</f>
        <v>7520359.5999999996</v>
      </c>
      <c r="G349" s="10">
        <f t="shared" si="299"/>
        <v>9394401.9399999995</v>
      </c>
      <c r="H349" s="23">
        <f>+OUTPUT!M73*1000</f>
        <v>9394401.9399999995</v>
      </c>
      <c r="I349" s="23">
        <f>+OUTPUT!O73*1000</f>
        <v>9746630.790000001</v>
      </c>
      <c r="J349" s="23">
        <f>+OUTPUT!Q73*1000</f>
        <v>11556618.92</v>
      </c>
      <c r="K349" s="23">
        <f>+OUTPUT!S73*1000</f>
        <v>14017739.889999999</v>
      </c>
      <c r="L349" s="23">
        <f>+OUTPUT!U73*1000</f>
        <v>14457731.189999999</v>
      </c>
      <c r="M349" s="23">
        <f>+OUTPUT!W73*1000</f>
        <v>15742873.48</v>
      </c>
      <c r="N349" s="23">
        <f>+OUTPUT!Y73*1000</f>
        <v>18388567.689999998</v>
      </c>
      <c r="O349" s="23">
        <f>+OUTPUT!AA73*1000</f>
        <v>19740952.740000002</v>
      </c>
      <c r="P349" s="23">
        <f>+OUTPUT!AC73*1000</f>
        <v>20183773.84</v>
      </c>
      <c r="Q349" s="23">
        <f>+OUTPUT!AE73*1000</f>
        <v>21661213.16</v>
      </c>
      <c r="R349" s="23">
        <f>+OUTPUT!AG73*1000</f>
        <v>22788787.07</v>
      </c>
      <c r="S349" s="23">
        <f>+OUTPUT!AI73*1000</f>
        <v>25258171.530000001</v>
      </c>
      <c r="T349" s="23">
        <f>+OUTPUT!AK73*1000</f>
        <v>26563062.830000002</v>
      </c>
    </row>
    <row r="350" spans="2:20" ht="15" customHeight="1">
      <c r="B350" s="11" t="s">
        <v>53</v>
      </c>
      <c r="C350" s="23">
        <f>+OUTPUT!E74*1000</f>
        <v>1301065.0971428573</v>
      </c>
      <c r="D350" s="23">
        <f>+OUTPUT!G74*1000</f>
        <v>1604170.8900000004</v>
      </c>
      <c r="E350" s="23">
        <f>+OUTPUT!I74*1000</f>
        <v>1711828.5899999999</v>
      </c>
      <c r="F350" s="23">
        <f>+OUTPUT!K74*1000</f>
        <v>1806591.6800000002</v>
      </c>
      <c r="G350" s="10">
        <f t="shared" si="299"/>
        <v>2082751.4000000001</v>
      </c>
      <c r="H350" s="23">
        <f>+OUTPUT!M74*1000</f>
        <v>2082751.4000000001</v>
      </c>
      <c r="I350" s="23">
        <f>+OUTPUT!O74*1000</f>
        <v>2380962.3600000003</v>
      </c>
      <c r="J350" s="23">
        <f>+OUTPUT!Q74*1000</f>
        <v>3086739.81</v>
      </c>
      <c r="K350" s="23">
        <f>+OUTPUT!S74*1000</f>
        <v>3484371.73</v>
      </c>
      <c r="L350" s="23">
        <f>+OUTPUT!U74*1000</f>
        <v>3740560.21</v>
      </c>
      <c r="M350" s="23">
        <f>+OUTPUT!W74*1000</f>
        <v>4890158.6900000004</v>
      </c>
      <c r="N350" s="23">
        <f>+OUTPUT!Y74*1000</f>
        <v>5856582.1500000004</v>
      </c>
      <c r="O350" s="23">
        <f>+OUTPUT!AA74*1000</f>
        <v>6696556.6099999994</v>
      </c>
      <c r="P350" s="23">
        <f>+OUTPUT!AC74*1000</f>
        <v>7619750.7499999991</v>
      </c>
      <c r="Q350" s="23">
        <f>+OUTPUT!AE74*1000</f>
        <v>8515006.0800000001</v>
      </c>
      <c r="R350" s="23">
        <f>+OUTPUT!AG74*1000</f>
        <v>8311558.1999999993</v>
      </c>
      <c r="S350" s="23">
        <f>+OUTPUT!AI74*1000</f>
        <v>8761573.2300000004</v>
      </c>
      <c r="T350" s="23">
        <f>+OUTPUT!AK74*1000</f>
        <v>9141628.2199999988</v>
      </c>
    </row>
    <row r="351" spans="2:20" ht="15" customHeight="1">
      <c r="B351" s="11" t="s">
        <v>240</v>
      </c>
      <c r="C351" s="23">
        <f>+OUTPUT!E75*1000</f>
        <v>227749.63519999996</v>
      </c>
      <c r="D351" s="23">
        <f>+OUTPUT!G75*1000</f>
        <v>263425.89760000003</v>
      </c>
      <c r="E351" s="23">
        <f>+OUTPUT!I75*1000</f>
        <v>239014.92999999996</v>
      </c>
      <c r="F351" s="23">
        <f>+OUTPUT!K75*1000</f>
        <v>230279.21799999991</v>
      </c>
      <c r="G351" s="10">
        <f t="shared" si="299"/>
        <v>210826.4</v>
      </c>
      <c r="H351" s="23">
        <f>+OUTPUT!M75*1000</f>
        <v>210826.4</v>
      </c>
      <c r="I351" s="23">
        <f>+OUTPUT!O75*1000</f>
        <v>196465.33000000002</v>
      </c>
      <c r="J351" s="23">
        <f>+OUTPUT!Q75*1000</f>
        <v>258712.00000000006</v>
      </c>
      <c r="K351" s="23">
        <f>+OUTPUT!S75*1000</f>
        <v>292267.74000000005</v>
      </c>
      <c r="L351" s="23">
        <f>+OUTPUT!U75*1000</f>
        <v>267956.91000000003</v>
      </c>
      <c r="M351" s="23">
        <f>+OUTPUT!W75*1000</f>
        <v>414938.84999999992</v>
      </c>
      <c r="N351" s="23">
        <f>+OUTPUT!Y75*1000</f>
        <v>537311.18999999994</v>
      </c>
      <c r="O351" s="23">
        <f>+OUTPUT!AA75*1000</f>
        <v>570449.55000000005</v>
      </c>
      <c r="P351" s="23">
        <f>+OUTPUT!AC75*1000</f>
        <v>546167.73</v>
      </c>
      <c r="Q351" s="23">
        <f>+OUTPUT!AE75*1000</f>
        <v>506076.66000000009</v>
      </c>
      <c r="R351" s="23">
        <f>+OUTPUT!AG75*1000</f>
        <v>538521.78</v>
      </c>
      <c r="S351" s="23">
        <f>+OUTPUT!AI75*1000</f>
        <v>561250.62</v>
      </c>
      <c r="T351" s="23">
        <f>+OUTPUT!AK75*1000</f>
        <v>459953.07</v>
      </c>
    </row>
    <row r="352" spans="2:20" ht="15" customHeight="1">
      <c r="B352" s="11" t="s">
        <v>241</v>
      </c>
      <c r="C352" s="23">
        <f>+OUTPUT!E76*1000</f>
        <v>546401.04674285708</v>
      </c>
      <c r="D352" s="23">
        <f>+OUTPUT!G76*1000</f>
        <v>515996.83030000085</v>
      </c>
      <c r="E352" s="23">
        <f>+OUTPUT!I76*1000</f>
        <v>422439.03255064401</v>
      </c>
      <c r="F352" s="23">
        <f>+OUTPUT!K76*1000</f>
        <v>381963.61620000069</v>
      </c>
      <c r="G352" s="10">
        <f t="shared" si="299"/>
        <v>413935.7104999994</v>
      </c>
      <c r="H352" s="23">
        <f>+OUTPUT!M76*1000</f>
        <v>413935.7104999994</v>
      </c>
      <c r="I352" s="23">
        <f>+OUTPUT!O76*1000</f>
        <v>460790.18</v>
      </c>
      <c r="J352" s="23">
        <f>+OUTPUT!Q76*1000</f>
        <v>637653.15999999992</v>
      </c>
      <c r="K352" s="23">
        <f>+OUTPUT!S76*1000</f>
        <v>977285.37</v>
      </c>
      <c r="L352" s="23">
        <f>+OUTPUT!U76*1000</f>
        <v>1331437.1800000004</v>
      </c>
      <c r="M352" s="23">
        <f>+OUTPUT!W76*1000</f>
        <v>1160927.8299999998</v>
      </c>
      <c r="N352" s="23">
        <f>+OUTPUT!Y76*1000</f>
        <v>1166935.82</v>
      </c>
      <c r="O352" s="23">
        <f>+OUTPUT!AA76*1000</f>
        <v>1193566.51</v>
      </c>
      <c r="P352" s="23">
        <f>+OUTPUT!AC76*1000</f>
        <v>1325505.4999999998</v>
      </c>
      <c r="Q352" s="23">
        <f>+OUTPUT!AE76*1000</f>
        <v>1319274.8699999999</v>
      </c>
      <c r="R352" s="23">
        <f>+OUTPUT!AG76*1000</f>
        <v>1419721.9600000002</v>
      </c>
      <c r="S352" s="23">
        <f>+OUTPUT!AI76*1000</f>
        <v>1530324.73</v>
      </c>
      <c r="T352" s="23">
        <f>+OUTPUT!AK76*1000</f>
        <v>1462642.3000000003</v>
      </c>
    </row>
    <row r="353" spans="2:20" ht="15" customHeight="1">
      <c r="B353" s="11" t="s">
        <v>242</v>
      </c>
      <c r="C353" s="23">
        <f>+OUTPUT!E77*1000</f>
        <v>121638.99428571429</v>
      </c>
      <c r="D353" s="23">
        <f>+OUTPUT!G77*1000</f>
        <v>121514.03</v>
      </c>
      <c r="E353" s="23">
        <f>+OUTPUT!I77*1000</f>
        <v>131620.96</v>
      </c>
      <c r="F353" s="23">
        <f>+OUTPUT!K77*1000</f>
        <v>122960.72</v>
      </c>
      <c r="G353" s="10">
        <f t="shared" si="299"/>
        <v>70136.620800000004</v>
      </c>
      <c r="H353" s="23">
        <f>+OUTPUT!M77*1000</f>
        <v>70136.620800000004</v>
      </c>
      <c r="I353" s="23">
        <f>+OUTPUT!O77*1000</f>
        <v>55610.995800000004</v>
      </c>
      <c r="J353" s="23">
        <f>+OUTPUT!Q77*1000</f>
        <v>57006</v>
      </c>
      <c r="K353" s="23">
        <f>+OUTPUT!S77*1000</f>
        <v>38551.83</v>
      </c>
      <c r="L353" s="23">
        <f>+OUTPUT!U77*1000</f>
        <v>29748.84</v>
      </c>
      <c r="M353" s="23">
        <f>+OUTPUT!W77*1000</f>
        <v>33654.58</v>
      </c>
      <c r="N353" s="23">
        <f>+OUTPUT!Y77*1000</f>
        <v>31222.68</v>
      </c>
      <c r="O353" s="23">
        <f>+OUTPUT!AA77*1000</f>
        <v>62736.73</v>
      </c>
      <c r="P353" s="23">
        <f>+OUTPUT!AC77*1000</f>
        <v>10786.749999999998</v>
      </c>
      <c r="Q353" s="23">
        <f>+OUTPUT!AE77*1000</f>
        <v>15346.679999999995</v>
      </c>
      <c r="R353" s="23">
        <f>+OUTPUT!AG77*1000</f>
        <v>15346.679999999995</v>
      </c>
      <c r="S353" s="23">
        <f>+OUTPUT!AI77*1000</f>
        <v>15346.679999999995</v>
      </c>
      <c r="T353" s="23">
        <f>+OUTPUT!AK77*1000</f>
        <v>7827.7699999999995</v>
      </c>
    </row>
    <row r="354" spans="2:20" ht="15" customHeight="1">
      <c r="B354" s="11" t="s">
        <v>243</v>
      </c>
      <c r="C354" s="23">
        <f>+OUTPUT!E78*1000</f>
        <v>98540.520228571404</v>
      </c>
      <c r="D354" s="23">
        <f>+OUTPUT!G78*1000</f>
        <v>108563.93999999996</v>
      </c>
      <c r="E354" s="23">
        <f>+OUTPUT!I78*1000</f>
        <v>109859.6</v>
      </c>
      <c r="F354" s="23">
        <f>+OUTPUT!K78*1000</f>
        <v>95297.861700000038</v>
      </c>
      <c r="G354" s="10">
        <f t="shared" si="299"/>
        <v>69868.3</v>
      </c>
      <c r="H354" s="23">
        <f>+OUTPUT!M78*1000</f>
        <v>69868.3</v>
      </c>
      <c r="I354" s="23">
        <f>+OUTPUT!O78*1000</f>
        <v>65642.881900000008</v>
      </c>
      <c r="J354" s="23">
        <f>+OUTPUT!Q78*1000</f>
        <v>71542.390000000014</v>
      </c>
      <c r="K354" s="23">
        <f>+OUTPUT!S78*1000</f>
        <v>76054.350000000006</v>
      </c>
      <c r="L354" s="23">
        <f>+OUTPUT!U78*1000</f>
        <v>81435</v>
      </c>
      <c r="M354" s="23">
        <f>+OUTPUT!W78*1000</f>
        <v>67119.969999999987</v>
      </c>
      <c r="N354" s="23">
        <f>+OUTPUT!Y78*1000</f>
        <v>68711.530000000013</v>
      </c>
      <c r="O354" s="23">
        <f>+OUTPUT!AA78*1000</f>
        <v>49770.279999999992</v>
      </c>
      <c r="P354" s="23">
        <f>+OUTPUT!AC78*1000</f>
        <v>61663.579999999994</v>
      </c>
      <c r="Q354" s="23">
        <f>+OUTPUT!AE78*1000</f>
        <v>81261.759999999995</v>
      </c>
      <c r="R354" s="23">
        <f>+OUTPUT!AG78*1000</f>
        <v>88283.75</v>
      </c>
      <c r="S354" s="23">
        <f>+OUTPUT!AI78*1000</f>
        <v>89055.3</v>
      </c>
      <c r="T354" s="23">
        <f>+OUTPUT!AK78*1000</f>
        <v>88651.760000000009</v>
      </c>
    </row>
    <row r="355" spans="2:20" ht="15" customHeight="1">
      <c r="B355" s="11" t="s">
        <v>244</v>
      </c>
      <c r="C355" s="23">
        <f>+OUTPUT!E79*1000</f>
        <v>95259.611771428536</v>
      </c>
      <c r="D355" s="23">
        <f>+OUTPUT!G79*1000</f>
        <v>96512.643899999952</v>
      </c>
      <c r="E355" s="23">
        <f>+OUTPUT!I79*1000</f>
        <v>75961.37</v>
      </c>
      <c r="F355" s="23">
        <f>+OUTPUT!K79*1000</f>
        <v>73812.37</v>
      </c>
      <c r="G355" s="10">
        <f t="shared" si="299"/>
        <v>74320.009999999995</v>
      </c>
      <c r="H355" s="23">
        <f>+OUTPUT!M79*1000</f>
        <v>74320.009999999995</v>
      </c>
      <c r="I355" s="23">
        <f>+OUTPUT!O79*1000</f>
        <v>70347.73</v>
      </c>
      <c r="J355" s="23">
        <f>+OUTPUT!Q79*1000</f>
        <v>64296.000000000007</v>
      </c>
      <c r="K355" s="23">
        <f>+OUTPUT!S79*1000</f>
        <v>29095.390000000003</v>
      </c>
      <c r="L355" s="23">
        <f>+OUTPUT!U79*1000</f>
        <v>18245.400000000005</v>
      </c>
      <c r="M355" s="23">
        <f>+OUTPUT!W79*1000</f>
        <v>16619.29</v>
      </c>
      <c r="N355" s="23">
        <f>+OUTPUT!Y79*1000</f>
        <v>14617.770000000004</v>
      </c>
      <c r="O355" s="23">
        <f>+OUTPUT!AA79*1000</f>
        <v>3076.3199999999997</v>
      </c>
      <c r="P355" s="23">
        <f>+OUTPUT!AC79*1000</f>
        <v>2612.4599999999996</v>
      </c>
      <c r="Q355" s="23">
        <f>+OUTPUT!AE79*1000</f>
        <v>3715.1999999999994</v>
      </c>
      <c r="R355" s="23">
        <f>+OUTPUT!AG79*1000</f>
        <v>15346.679999999995</v>
      </c>
      <c r="S355" s="23">
        <f>+OUTPUT!AI79*1000</f>
        <v>3715.1999999999994</v>
      </c>
      <c r="T355" s="23">
        <f>+OUTPUT!AK79*1000</f>
        <v>2342.9299999999994</v>
      </c>
    </row>
    <row r="356" spans="2:20" ht="15" customHeight="1">
      <c r="B356" s="9" t="s">
        <v>27</v>
      </c>
      <c r="C356" s="23">
        <f>+OUTPUT!E80*1000</f>
        <v>497049.14285714284</v>
      </c>
      <c r="D356" s="23">
        <f>+OUTPUT!G80*1000</f>
        <v>489889</v>
      </c>
      <c r="E356" s="23">
        <f>+OUTPUT!I80*1000</f>
        <v>499120</v>
      </c>
      <c r="F356" s="23">
        <f>+OUTPUT!K80*1000</f>
        <v>461566</v>
      </c>
      <c r="G356" s="10">
        <f t="shared" si="299"/>
        <v>276766.43999999989</v>
      </c>
      <c r="H356" s="23">
        <f>+OUTPUT!M80*1000</f>
        <v>276766.43999999989</v>
      </c>
      <c r="I356" s="23">
        <f>+OUTPUT!O80*1000</f>
        <v>237704.12000000005</v>
      </c>
      <c r="J356" s="23">
        <f>+OUTPUT!Q80*1000</f>
        <v>219347.30999999994</v>
      </c>
      <c r="K356" s="23">
        <f>+OUTPUT!S80*1000</f>
        <v>63413.869999999981</v>
      </c>
      <c r="L356" s="23">
        <f>+OUTPUT!U80*1000</f>
        <v>132131.28999999998</v>
      </c>
      <c r="M356" s="23">
        <f>+OUTPUT!W80*1000</f>
        <v>143735.51999999993</v>
      </c>
      <c r="N356" s="23">
        <f>+OUTPUT!Y80*1000</f>
        <v>133211.27000000002</v>
      </c>
      <c r="O356" s="23">
        <f>+OUTPUT!AA80*1000</f>
        <v>98983.220000000016</v>
      </c>
      <c r="P356" s="23">
        <f>+OUTPUT!AC80*1000</f>
        <v>64042.920000000013</v>
      </c>
      <c r="Q356" s="23">
        <f>+OUTPUT!AE80*1000</f>
        <v>73556.639999999999</v>
      </c>
      <c r="R356" s="23">
        <f>+OUTPUT!AG80*1000</f>
        <v>88658.39999999998</v>
      </c>
      <c r="S356" s="23">
        <f>+OUTPUT!AI80*1000</f>
        <v>69533.300000000017</v>
      </c>
      <c r="T356" s="23">
        <f>+OUTPUT!AK80*1000</f>
        <v>60214.399999999994</v>
      </c>
    </row>
    <row r="357" spans="2:20" ht="15" customHeight="1">
      <c r="B357" s="9" t="s">
        <v>245</v>
      </c>
      <c r="C357" s="23">
        <f>+OUTPUT!E81*1000</f>
        <v>60093.987932065676</v>
      </c>
      <c r="D357" s="23">
        <f>+OUTPUT!G81*1000</f>
        <v>68512</v>
      </c>
      <c r="E357" s="23">
        <f>+OUTPUT!I81*1000</f>
        <v>78932.800000000003</v>
      </c>
      <c r="F357" s="23">
        <f>+OUTPUT!K81*1000</f>
        <v>80360</v>
      </c>
      <c r="G357" s="10">
        <f t="shared" si="299"/>
        <v>116040.31000000001</v>
      </c>
      <c r="H357" s="23">
        <f>+OUTPUT!M81*1000</f>
        <v>116040.31000000001</v>
      </c>
      <c r="I357" s="23">
        <f>+OUTPUT!O81*1000</f>
        <v>216040.59000000003</v>
      </c>
      <c r="J357" s="23">
        <f>+OUTPUT!Q81*1000</f>
        <v>252098.38</v>
      </c>
      <c r="K357" s="23">
        <f>+OUTPUT!S81*1000</f>
        <v>294660.44</v>
      </c>
      <c r="L357" s="23">
        <f>+OUTPUT!U81*1000</f>
        <v>298607.5</v>
      </c>
      <c r="M357" s="23">
        <f>+OUTPUT!W81*1000</f>
        <v>329924.63</v>
      </c>
      <c r="N357" s="23">
        <f>+OUTPUT!Y81*1000</f>
        <v>429929.31000000006</v>
      </c>
      <c r="O357" s="23">
        <f>+OUTPUT!AA81*1000</f>
        <v>624117.21</v>
      </c>
      <c r="P357" s="23">
        <f>+OUTPUT!AC81*1000</f>
        <v>821853.02999999991</v>
      </c>
      <c r="Q357" s="23">
        <f>+OUTPUT!AE81*1000</f>
        <v>1199018.8899999999</v>
      </c>
      <c r="R357" s="23">
        <f>+OUTPUT!AG81*1000</f>
        <v>1144724.2399999986</v>
      </c>
      <c r="S357" s="23">
        <f>+OUTPUT!AI81*1000</f>
        <v>1183789.4500000004</v>
      </c>
      <c r="T357" s="23">
        <f>+OUTPUT!AK81*1000</f>
        <v>1243309.52</v>
      </c>
    </row>
    <row r="358" spans="2:20" ht="15" customHeight="1">
      <c r="B358" s="9" t="s">
        <v>247</v>
      </c>
      <c r="C358" s="23">
        <f>+OUTPUT!E82*1000</f>
        <v>2453696.9440233684</v>
      </c>
      <c r="D358" s="23">
        <f>+OUTPUT!G82*1000</f>
        <v>3095137.1642509224</v>
      </c>
      <c r="E358" s="23">
        <f>+OUTPUT!I82*1000</f>
        <v>3116870.4989493559</v>
      </c>
      <c r="F358" s="23">
        <f>+OUTPUT!K82*1000</f>
        <v>2618801.7541</v>
      </c>
      <c r="G358" s="10">
        <f t="shared" si="299"/>
        <v>3945990.5687000006</v>
      </c>
      <c r="H358" s="23">
        <f>+OUTPUT!M82*1000</f>
        <v>3945990.5687000006</v>
      </c>
      <c r="I358" s="23">
        <f>+OUTPUT!O82*1000</f>
        <v>5176005.992300001</v>
      </c>
      <c r="J358" s="23">
        <f>+OUTPUT!Q82*1000</f>
        <v>7226976.1500000013</v>
      </c>
      <c r="K358" s="23">
        <f>+OUTPUT!S82*1000</f>
        <v>9478510.379999999</v>
      </c>
      <c r="L358" s="23">
        <f>+OUTPUT!U82*1000</f>
        <v>12323708.58</v>
      </c>
      <c r="M358" s="23">
        <f>+OUTPUT!W82*1000</f>
        <v>14101216.869999997</v>
      </c>
      <c r="N358" s="23">
        <f>+OUTPUT!Y82*1000</f>
        <v>19040812.859999999</v>
      </c>
      <c r="O358" s="23">
        <f>+OUTPUT!AA82*1000</f>
        <v>21018696.800000001</v>
      </c>
      <c r="P358" s="23">
        <f>+OUTPUT!AC82*1000</f>
        <v>22715716.129999995</v>
      </c>
      <c r="Q358" s="23">
        <f>+OUTPUT!AE82*1000</f>
        <v>25242694.189999994</v>
      </c>
      <c r="R358" s="23">
        <f>+OUTPUT!AG82*1000</f>
        <v>26040409.920000002</v>
      </c>
      <c r="S358" s="23">
        <f>+OUTPUT!AI82*1000</f>
        <v>25286934.950000007</v>
      </c>
      <c r="T358" s="23">
        <f>+OUTPUT!AK82*1000</f>
        <v>29182003.210000005</v>
      </c>
    </row>
    <row r="359" spans="2:20" ht="15" customHeight="1">
      <c r="B359" s="9" t="s">
        <v>246</v>
      </c>
      <c r="C359" s="23">
        <f>+OUTPUT!E83*1000</f>
        <v>45327.614317650987</v>
      </c>
      <c r="D359" s="23">
        <f>+OUTPUT!G83*1000</f>
        <v>153958.0154</v>
      </c>
      <c r="E359" s="23">
        <f>+OUTPUT!I83*1000</f>
        <v>149905.53849999997</v>
      </c>
      <c r="F359" s="23">
        <f>+OUTPUT!K83*1000</f>
        <v>137900.32</v>
      </c>
      <c r="G359" s="10">
        <f t="shared" si="299"/>
        <v>30009.19</v>
      </c>
      <c r="H359" s="23">
        <f>+OUTPUT!M83*1000</f>
        <v>30009.19</v>
      </c>
      <c r="I359" s="23">
        <f>+OUTPUT!O83*1000</f>
        <v>103040</v>
      </c>
      <c r="J359" s="23">
        <f>+OUTPUT!Q83*1000</f>
        <v>111540</v>
      </c>
      <c r="K359" s="23">
        <f>+OUTPUT!S83*1000</f>
        <v>113040</v>
      </c>
      <c r="L359" s="23">
        <f>+OUTPUT!U83*1000</f>
        <v>113040</v>
      </c>
      <c r="M359" s="23">
        <f>+OUTPUT!W83*1000</f>
        <v>86040</v>
      </c>
      <c r="N359" s="23">
        <f>+OUTPUT!Y83*1000</f>
        <v>59040</v>
      </c>
      <c r="O359" s="23">
        <f>+OUTPUT!AA83*1000</f>
        <v>149520</v>
      </c>
      <c r="P359" s="23">
        <f>+OUTPUT!AC83*1000</f>
        <v>252000</v>
      </c>
      <c r="Q359" s="23">
        <f>+OUTPUT!AE83*1000</f>
        <v>264600</v>
      </c>
      <c r="R359" s="23">
        <f>+OUTPUT!AG83*1000</f>
        <v>277836</v>
      </c>
      <c r="S359" s="23">
        <f>+OUTPUT!AI83*1000</f>
        <v>291720</v>
      </c>
      <c r="T359" s="23">
        <f>+OUTPUT!AK83*1000</f>
        <v>306312</v>
      </c>
    </row>
    <row r="360" spans="2:20" ht="15" customHeight="1">
      <c r="B360" s="9" t="s">
        <v>350</v>
      </c>
      <c r="C360" s="23">
        <f>+OUTPUT!E84*1000</f>
        <v>1981463.3057396996</v>
      </c>
      <c r="D360" s="23">
        <f>+OUTPUT!G84*1000</f>
        <v>3154676.09</v>
      </c>
      <c r="E360" s="23">
        <f>+OUTPUT!I84*1000</f>
        <v>3407109.5</v>
      </c>
      <c r="F360" s="23">
        <f>+OUTPUT!K84*1000</f>
        <v>3385054.3699999996</v>
      </c>
      <c r="G360" s="10">
        <f t="shared" si="299"/>
        <v>3693867.8</v>
      </c>
      <c r="H360" s="23">
        <f>+OUTPUT!M84*1000</f>
        <v>3693867.8</v>
      </c>
      <c r="I360" s="23">
        <f>+OUTPUT!O84*1000</f>
        <v>4109758.6199999996</v>
      </c>
      <c r="J360" s="23">
        <f>+OUTPUT!Q84*1000</f>
        <v>5314768.3599999985</v>
      </c>
      <c r="K360" s="23">
        <f>+OUTPUT!S84*1000</f>
        <v>6066990.3400000008</v>
      </c>
      <c r="L360" s="23">
        <f>+OUTPUT!U84*1000</f>
        <v>7482638.5000000009</v>
      </c>
      <c r="M360" s="23">
        <f>+OUTPUT!W84*1000</f>
        <v>9323944.540000001</v>
      </c>
      <c r="N360" s="23">
        <f>+OUTPUT!Y84*1000</f>
        <v>12509879.74</v>
      </c>
      <c r="O360" s="23">
        <f>+OUTPUT!AA84*1000</f>
        <v>14385995.339999998</v>
      </c>
      <c r="P360" s="23">
        <f>+OUTPUT!AC84*1000</f>
        <v>14657216.009999998</v>
      </c>
      <c r="Q360" s="23">
        <f>+OUTPUT!AE84*1000</f>
        <v>14662510.479999999</v>
      </c>
      <c r="R360" s="23">
        <f>+OUTPUT!AG84*1000</f>
        <v>14290652.799999999</v>
      </c>
      <c r="S360" s="23">
        <f>+OUTPUT!AI84*1000</f>
        <v>17541682.119999997</v>
      </c>
      <c r="T360" s="23">
        <f>+OUTPUT!AK84*1000</f>
        <v>22689650.120000001</v>
      </c>
    </row>
    <row r="361" spans="2:20" ht="15" customHeight="1">
      <c r="B361" s="9" t="s">
        <v>309</v>
      </c>
      <c r="C361" s="23">
        <f>+OUTPUT!E85*1000</f>
        <v>366312.27144307439</v>
      </c>
      <c r="D361" s="23">
        <f>+OUTPUT!G85*1000</f>
        <v>612351.85</v>
      </c>
      <c r="E361" s="23">
        <f>+OUTPUT!I85*1000</f>
        <v>656198.26</v>
      </c>
      <c r="F361" s="23">
        <f>+OUTPUT!K85*1000</f>
        <v>752004.30999999994</v>
      </c>
      <c r="G361" s="10">
        <f t="shared" si="299"/>
        <v>1315853.23</v>
      </c>
      <c r="H361" s="23">
        <f>+OUTPUT!M85*1000</f>
        <v>1315853.23</v>
      </c>
      <c r="I361" s="23">
        <f>+OUTPUT!O85*1000</f>
        <v>1618164.66</v>
      </c>
      <c r="J361" s="23">
        <f>+OUTPUT!Q85*1000</f>
        <v>2270188.83</v>
      </c>
      <c r="K361" s="23">
        <f>+OUTPUT!S85*1000</f>
        <v>2766981.22</v>
      </c>
      <c r="L361" s="23">
        <f>+OUTPUT!U85*1000</f>
        <v>2968618.8999999994</v>
      </c>
      <c r="M361" s="23">
        <f>+OUTPUT!W85*1000</f>
        <v>4083324.6999999997</v>
      </c>
      <c r="N361" s="23">
        <f>+OUTPUT!Y85*1000</f>
        <v>5171341.9999999991</v>
      </c>
      <c r="O361" s="23">
        <f>+OUTPUT!AA85*1000</f>
        <v>6131827.7700000005</v>
      </c>
      <c r="P361" s="23">
        <f>+OUTPUT!AC85*1000</f>
        <v>7290114</v>
      </c>
      <c r="Q361" s="23">
        <f>+OUTPUT!AE85*1000</f>
        <v>7548032.3300000001</v>
      </c>
      <c r="R361" s="23">
        <f>+OUTPUT!AG85*1000</f>
        <v>7941855.1099999994</v>
      </c>
      <c r="S361" s="23">
        <f>+OUTPUT!AI85*1000</f>
        <v>8229785.4800000004</v>
      </c>
      <c r="T361" s="23">
        <f>+OUTPUT!AK85*1000</f>
        <v>10890049.899999999</v>
      </c>
    </row>
    <row r="362" spans="2:20" ht="15" customHeight="1">
      <c r="B362" s="9" t="s">
        <v>308</v>
      </c>
      <c r="C362" s="23">
        <f>+OUTPUT!E86*1000</f>
        <v>298145.59648862801</v>
      </c>
      <c r="D362" s="23">
        <f>+OUTPUT!G86*1000</f>
        <v>476867.63</v>
      </c>
      <c r="E362" s="23">
        <f>+OUTPUT!I86*1000</f>
        <v>451781.06000000006</v>
      </c>
      <c r="F362" s="23">
        <f>+OUTPUT!K86*1000</f>
        <v>417367.20999999996</v>
      </c>
      <c r="G362" s="10">
        <f t="shared" si="299"/>
        <v>437842.16</v>
      </c>
      <c r="H362" s="23">
        <f>+OUTPUT!M86*1000</f>
        <v>437842.16</v>
      </c>
      <c r="I362" s="23">
        <f>+OUTPUT!O86*1000</f>
        <v>473884.00999999995</v>
      </c>
      <c r="J362" s="23">
        <f>+OUTPUT!Q86*1000</f>
        <v>559026.41</v>
      </c>
      <c r="K362" s="23">
        <f>+OUTPUT!S86*1000</f>
        <v>824452.70000000007</v>
      </c>
      <c r="L362" s="23">
        <f>+OUTPUT!U86*1000</f>
        <v>909740.57</v>
      </c>
      <c r="M362" s="23">
        <f>+OUTPUT!W86*1000</f>
        <v>1093276.0299999998</v>
      </c>
      <c r="N362" s="23">
        <f>+OUTPUT!Y86*1000</f>
        <v>1448417.77</v>
      </c>
      <c r="O362" s="23">
        <f>+OUTPUT!AA86*1000</f>
        <v>1646169.19</v>
      </c>
      <c r="P362" s="23">
        <f>+OUTPUT!AC86*1000</f>
        <v>1991584.87</v>
      </c>
      <c r="Q362" s="23">
        <f>+OUTPUT!AE86*1000</f>
        <v>2279877.0500000003</v>
      </c>
      <c r="R362" s="23">
        <f>+OUTPUT!AG86*1000</f>
        <v>2374754.3600000003</v>
      </c>
      <c r="S362" s="23">
        <f>+OUTPUT!AI86*1000</f>
        <v>2997070.33</v>
      </c>
      <c r="T362" s="23">
        <f>+OUTPUT!AK86*1000</f>
        <v>3595350.899999999</v>
      </c>
    </row>
    <row r="363" spans="2:20" ht="15" customHeight="1">
      <c r="B363" s="9" t="s">
        <v>278</v>
      </c>
      <c r="C363" s="23">
        <f>+OUTPUT!E87*1000</f>
        <v>28171.420011080925</v>
      </c>
      <c r="D363" s="23">
        <f>+OUTPUT!G87*1000</f>
        <v>329895.54666666669</v>
      </c>
      <c r="E363" s="23">
        <f>+OUTPUT!I87*1000</f>
        <v>261735.08999999997</v>
      </c>
      <c r="F363" s="23">
        <f>+OUTPUT!K87*1000</f>
        <v>382098.79000000004</v>
      </c>
      <c r="G363" s="10">
        <f t="shared" si="299"/>
        <v>515767.22999999992</v>
      </c>
      <c r="H363" s="23">
        <f>+OUTPUT!M87*1000</f>
        <v>515767.22999999992</v>
      </c>
      <c r="I363" s="23">
        <f>+OUTPUT!O87*1000</f>
        <v>614726.04999999993</v>
      </c>
      <c r="J363" s="23">
        <f>+OUTPUT!Q87*1000</f>
        <v>573880.24000000011</v>
      </c>
      <c r="K363" s="23">
        <f>+OUTPUT!S87*1000</f>
        <v>1239946.5900000001</v>
      </c>
      <c r="L363" s="23">
        <f>+OUTPUT!U87*1000</f>
        <v>1648075.32</v>
      </c>
      <c r="M363" s="23">
        <f>+OUTPUT!W87*1000</f>
        <v>1974722.7</v>
      </c>
      <c r="N363" s="23">
        <f>+OUTPUT!Y87*1000</f>
        <v>2167226.2399999998</v>
      </c>
      <c r="O363" s="23">
        <f>+OUTPUT!AA87*1000</f>
        <v>2570318.36</v>
      </c>
      <c r="P363" s="23">
        <f>+OUTPUT!AC87*1000</f>
        <v>2626908.9699999997</v>
      </c>
      <c r="Q363" s="23">
        <f>+OUTPUT!AE87*1000</f>
        <v>2698331.4400000004</v>
      </c>
      <c r="R363" s="23">
        <f>+OUTPUT!AG87*1000</f>
        <v>2955904.6599999992</v>
      </c>
      <c r="S363" s="23">
        <f>+OUTPUT!AI87*1000</f>
        <v>3758884.6500000004</v>
      </c>
      <c r="T363" s="23">
        <f>+OUTPUT!AK87*1000</f>
        <v>4198670.51</v>
      </c>
    </row>
    <row r="364" spans="2:20" ht="15" customHeight="1" thickBot="1">
      <c r="B364" s="12" t="s">
        <v>361</v>
      </c>
      <c r="C364" s="13">
        <f>+OUTPUT!E88*1000</f>
        <v>988460.36552822217</v>
      </c>
      <c r="D364" s="13">
        <f>+OUTPUT!G88*1000</f>
        <v>1061973.04</v>
      </c>
      <c r="E364" s="13">
        <f>+OUTPUT!I88*1000</f>
        <v>1181531.9153</v>
      </c>
      <c r="F364" s="13">
        <f>+OUTPUT!K88*1000</f>
        <v>1405750.57</v>
      </c>
      <c r="G364" s="13">
        <f t="shared" si="299"/>
        <v>1502086.92</v>
      </c>
      <c r="H364" s="13">
        <f>+OUTPUT!M88*1000</f>
        <v>1502086.92</v>
      </c>
      <c r="I364" s="13">
        <f>+OUTPUT!O88*1000</f>
        <v>1542748.65</v>
      </c>
      <c r="J364" s="13">
        <f>+OUTPUT!Q88*1000</f>
        <v>2352786.7400000002</v>
      </c>
      <c r="K364" s="13">
        <f>+OUTPUT!S88*1000</f>
        <v>2116624.17</v>
      </c>
      <c r="L364" s="13">
        <f>+OUTPUT!U88*1000</f>
        <v>3041160.51</v>
      </c>
      <c r="M364" s="13">
        <f>+OUTPUT!W88*1000</f>
        <v>3770650.6399999997</v>
      </c>
      <c r="N364" s="13">
        <f>+OUTPUT!Y88*1000</f>
        <v>4011287.7799999993</v>
      </c>
      <c r="O364" s="13">
        <f>+OUTPUT!AA88*1000</f>
        <v>5034683.1399999987</v>
      </c>
      <c r="P364" s="13">
        <f>+OUTPUT!AC88*1000</f>
        <v>6199962.1299999999</v>
      </c>
      <c r="Q364" s="13">
        <f>+OUTPUT!AE88*1000</f>
        <v>7423930.5600000005</v>
      </c>
      <c r="R364" s="13">
        <f>+OUTPUT!AG88*1000</f>
        <v>6185536.0499999998</v>
      </c>
      <c r="S364" s="13">
        <f>+OUTPUT!AI88*1000</f>
        <v>6792049.29</v>
      </c>
      <c r="T364" s="13">
        <f>+OUTPUT!AK88*1000</f>
        <v>7075750.6399999987</v>
      </c>
    </row>
    <row r="365" spans="2:20" ht="15" customHeight="1">
      <c r="C365" s="3"/>
      <c r="D365" s="3"/>
      <c r="E365" s="3"/>
      <c r="F365" s="3"/>
      <c r="G365" s="3"/>
      <c r="H365" s="3"/>
      <c r="I365" s="3"/>
      <c r="J365" s="3"/>
    </row>
    <row r="366" spans="2:20" ht="15" customHeight="1">
      <c r="B366" s="51" t="s">
        <v>362</v>
      </c>
      <c r="C366" s="25"/>
      <c r="D366" s="25"/>
    </row>
    <row r="367" spans="2:20" ht="15" customHeight="1" thickBot="1">
      <c r="C367" s="3"/>
      <c r="D367" s="3"/>
      <c r="E367" s="3"/>
      <c r="F367" s="3"/>
      <c r="G367" s="3"/>
      <c r="H367" s="3"/>
      <c r="I367" s="3"/>
      <c r="J367" s="3"/>
      <c r="N367" s="52"/>
    </row>
    <row r="368" spans="2:20" ht="16.5" customHeight="1">
      <c r="B368" s="43" t="s">
        <v>397</v>
      </c>
      <c r="C368" s="43">
        <v>2001</v>
      </c>
      <c r="D368" s="44">
        <f>C368+1</f>
        <v>2002</v>
      </c>
      <c r="E368" s="44">
        <f>D368+1</f>
        <v>2003</v>
      </c>
      <c r="F368" s="44">
        <f>E368+1</f>
        <v>2004</v>
      </c>
      <c r="G368" s="45">
        <f>F368+1</f>
        <v>2005</v>
      </c>
      <c r="H368" s="44">
        <f>F368+1</f>
        <v>2005</v>
      </c>
      <c r="I368" s="44">
        <f t="shared" ref="I368:O368" si="300">H368+1</f>
        <v>2006</v>
      </c>
      <c r="J368" s="44">
        <f t="shared" si="300"/>
        <v>2007</v>
      </c>
      <c r="K368" s="44">
        <f t="shared" si="300"/>
        <v>2008</v>
      </c>
      <c r="L368" s="44">
        <f t="shared" si="300"/>
        <v>2009</v>
      </c>
      <c r="M368" s="44">
        <f t="shared" si="300"/>
        <v>2010</v>
      </c>
      <c r="N368" s="44">
        <f t="shared" si="300"/>
        <v>2011</v>
      </c>
      <c r="O368" s="44">
        <f t="shared" si="300"/>
        <v>2012</v>
      </c>
      <c r="P368" s="44">
        <f t="shared" ref="P368:T368" si="301">O368+1</f>
        <v>2013</v>
      </c>
      <c r="Q368" s="44">
        <f t="shared" si="301"/>
        <v>2014</v>
      </c>
      <c r="R368" s="44">
        <f t="shared" si="301"/>
        <v>2015</v>
      </c>
      <c r="S368" s="44">
        <f t="shared" si="301"/>
        <v>2016</v>
      </c>
      <c r="T368" s="44">
        <f t="shared" si="301"/>
        <v>2017</v>
      </c>
    </row>
    <row r="369" spans="2:20" ht="15" customHeight="1">
      <c r="B369" s="9" t="s">
        <v>61</v>
      </c>
      <c r="C369" s="10">
        <f t="shared" ref="C369:I371" si="302">+C300-C443</f>
        <v>9622521.7963562012</v>
      </c>
      <c r="D369" s="10">
        <f t="shared" si="302"/>
        <v>10116188.558155678</v>
      </c>
      <c r="E369" s="10">
        <f t="shared" si="302"/>
        <v>11472654.524200318</v>
      </c>
      <c r="F369" s="10">
        <f t="shared" si="302"/>
        <v>12825123.400174797</v>
      </c>
      <c r="G369" s="10">
        <f t="shared" si="302"/>
        <v>14407908.130410958</v>
      </c>
      <c r="H369" s="10">
        <f t="shared" si="302"/>
        <v>14407908.130410958</v>
      </c>
      <c r="I369" s="10">
        <f t="shared" si="302"/>
        <v>15871958.549187835</v>
      </c>
      <c r="J369" s="10">
        <f t="shared" ref="J369:O369" si="303">+J300-J443</f>
        <v>19122628.449925438</v>
      </c>
      <c r="K369" s="10">
        <f t="shared" si="303"/>
        <v>20966031.517089073</v>
      </c>
      <c r="L369" s="10">
        <f t="shared" si="303"/>
        <v>22135304.429006718</v>
      </c>
      <c r="M369" s="10">
        <f t="shared" si="303"/>
        <v>23151985.555544164</v>
      </c>
      <c r="N369" s="10">
        <f t="shared" si="303"/>
        <v>25652123.860130273</v>
      </c>
      <c r="O369" s="10">
        <f t="shared" si="303"/>
        <v>28170111.568190083</v>
      </c>
      <c r="P369" s="10">
        <f t="shared" ref="P369:S371" si="304">+P300-P443</f>
        <v>31265742.309170157</v>
      </c>
      <c r="Q369" s="10">
        <f t="shared" si="304"/>
        <v>31802230.227802306</v>
      </c>
      <c r="R369" s="10">
        <f t="shared" si="304"/>
        <v>33972829.048205517</v>
      </c>
      <c r="S369" s="10">
        <f t="shared" si="304"/>
        <v>36728101.224722154</v>
      </c>
      <c r="T369" s="10">
        <f t="shared" ref="T369" si="305">+T300-T443</f>
        <v>39492181.020383246</v>
      </c>
    </row>
    <row r="370" spans="2:20" ht="15" customHeight="1">
      <c r="B370" s="11" t="s">
        <v>62</v>
      </c>
      <c r="C370" s="10">
        <f t="shared" si="302"/>
        <v>1522104.8673850477</v>
      </c>
      <c r="D370" s="10">
        <f t="shared" si="302"/>
        <v>1687389.6865923996</v>
      </c>
      <c r="E370" s="10">
        <f t="shared" si="302"/>
        <v>2177737.9511751002</v>
      </c>
      <c r="F370" s="10">
        <f t="shared" si="302"/>
        <v>2430382.0003880002</v>
      </c>
      <c r="G370" s="10">
        <f t="shared" si="302"/>
        <v>2621103.0546617</v>
      </c>
      <c r="H370" s="10">
        <f t="shared" si="302"/>
        <v>2621103.0546617</v>
      </c>
      <c r="I370" s="10">
        <f t="shared" si="302"/>
        <v>3501306.2912272005</v>
      </c>
      <c r="J370" s="10">
        <f t="shared" ref="J370:O371" si="306">+J301-J444</f>
        <v>4552811.8303599004</v>
      </c>
      <c r="K370" s="10">
        <f t="shared" si="306"/>
        <v>5002999.951829832</v>
      </c>
      <c r="L370" s="10">
        <f t="shared" si="306"/>
        <v>5161356.5609847046</v>
      </c>
      <c r="M370" s="10">
        <f t="shared" si="306"/>
        <v>7670908.4289829675</v>
      </c>
      <c r="N370" s="10">
        <f t="shared" si="306"/>
        <v>9784789.0241230428</v>
      </c>
      <c r="O370" s="10">
        <f t="shared" si="306"/>
        <v>13474575.556952635</v>
      </c>
      <c r="P370" s="10">
        <f t="shared" si="304"/>
        <v>16696047.871230446</v>
      </c>
      <c r="Q370" s="10">
        <f t="shared" si="304"/>
        <v>19055354.8594983</v>
      </c>
      <c r="R370" s="10">
        <f t="shared" si="304"/>
        <v>22583829.751063902</v>
      </c>
      <c r="S370" s="10">
        <f t="shared" si="304"/>
        <v>24964314.794476405</v>
      </c>
      <c r="T370" s="10">
        <f t="shared" ref="T370:T371" si="307">+T301-T444</f>
        <v>27821062.406823635</v>
      </c>
    </row>
    <row r="371" spans="2:20" ht="15" customHeight="1">
      <c r="B371" s="11" t="s">
        <v>588</v>
      </c>
      <c r="C371" s="10">
        <f t="shared" si="302"/>
        <v>0</v>
      </c>
      <c r="D371" s="10">
        <f t="shared" si="302"/>
        <v>0</v>
      </c>
      <c r="E371" s="10">
        <f t="shared" si="302"/>
        <v>0</v>
      </c>
      <c r="F371" s="10">
        <f t="shared" si="302"/>
        <v>0</v>
      </c>
      <c r="G371" s="10">
        <f t="shared" si="302"/>
        <v>0</v>
      </c>
      <c r="H371" s="10">
        <f t="shared" si="302"/>
        <v>0</v>
      </c>
      <c r="I371" s="10">
        <f t="shared" si="302"/>
        <v>0</v>
      </c>
      <c r="J371" s="10">
        <f t="shared" si="306"/>
        <v>0</v>
      </c>
      <c r="K371" s="10">
        <f t="shared" si="306"/>
        <v>0</v>
      </c>
      <c r="L371" s="10">
        <f t="shared" si="306"/>
        <v>0</v>
      </c>
      <c r="M371" s="10">
        <f t="shared" si="306"/>
        <v>0</v>
      </c>
      <c r="N371" s="10">
        <f t="shared" si="306"/>
        <v>0</v>
      </c>
      <c r="O371" s="10">
        <f t="shared" si="306"/>
        <v>0</v>
      </c>
      <c r="P371" s="10">
        <f t="shared" si="304"/>
        <v>0</v>
      </c>
      <c r="Q371" s="10">
        <f t="shared" si="304"/>
        <v>0</v>
      </c>
      <c r="R371" s="10">
        <f t="shared" si="304"/>
        <v>0</v>
      </c>
      <c r="S371" s="10">
        <f t="shared" si="304"/>
        <v>0</v>
      </c>
      <c r="T371" s="10">
        <f t="shared" si="307"/>
        <v>0</v>
      </c>
    </row>
    <row r="372" spans="2:20" ht="15" customHeight="1">
      <c r="B372" s="11" t="s">
        <v>310</v>
      </c>
      <c r="C372" s="10">
        <f t="shared" ref="C372:I381" si="308">+C303-C446</f>
        <v>1351.7391923325758</v>
      </c>
      <c r="D372" s="10">
        <f t="shared" si="308"/>
        <v>1082.1649085999998</v>
      </c>
      <c r="E372" s="10">
        <f t="shared" si="308"/>
        <v>1195.2167314499998</v>
      </c>
      <c r="F372" s="10">
        <f t="shared" si="308"/>
        <v>1188.8964566999998</v>
      </c>
      <c r="G372" s="10">
        <f t="shared" si="308"/>
        <v>1202.4020214000002</v>
      </c>
      <c r="H372" s="10">
        <f t="shared" si="308"/>
        <v>1202.4020214000002</v>
      </c>
      <c r="I372" s="10">
        <f t="shared" si="308"/>
        <v>1331.8247718000002</v>
      </c>
      <c r="J372" s="10">
        <f t="shared" ref="J372:O372" si="309">+J303-J446</f>
        <v>1680.6009600000007</v>
      </c>
      <c r="K372" s="10">
        <f t="shared" si="309"/>
        <v>2026.3495949999997</v>
      </c>
      <c r="L372" s="10">
        <f t="shared" si="309"/>
        <v>2235.0654053999997</v>
      </c>
      <c r="M372" s="10">
        <f t="shared" si="309"/>
        <v>2478.4564828499988</v>
      </c>
      <c r="N372" s="10">
        <f t="shared" si="309"/>
        <v>2255.7614089499993</v>
      </c>
      <c r="O372" s="10">
        <f t="shared" si="309"/>
        <v>2553.2571275999908</v>
      </c>
      <c r="P372" s="10">
        <f t="shared" ref="P372:S391" si="310">+P303-P446</f>
        <v>1978.8973326000023</v>
      </c>
      <c r="Q372" s="10">
        <f t="shared" si="310"/>
        <v>2482.6991764500008</v>
      </c>
      <c r="R372" s="10">
        <f t="shared" si="310"/>
        <v>1865.4284488500007</v>
      </c>
      <c r="S372" s="10">
        <f t="shared" si="310"/>
        <v>1674.8007241500018</v>
      </c>
      <c r="T372" s="10">
        <f t="shared" ref="T372" si="311">+T303-T446</f>
        <v>1821.3590137500014</v>
      </c>
    </row>
    <row r="373" spans="2:20" ht="15" customHeight="1">
      <c r="B373" s="11" t="s">
        <v>311</v>
      </c>
      <c r="C373" s="10">
        <f t="shared" si="308"/>
        <v>2518.4640153952569</v>
      </c>
      <c r="D373" s="10">
        <f t="shared" si="308"/>
        <v>3769.5071155499991</v>
      </c>
      <c r="E373" s="10">
        <f t="shared" si="308"/>
        <v>3336.7497939000004</v>
      </c>
      <c r="F373" s="10">
        <f t="shared" si="308"/>
        <v>2756.4301471500003</v>
      </c>
      <c r="G373" s="10">
        <f t="shared" si="308"/>
        <v>2025.7291525499995</v>
      </c>
      <c r="H373" s="10">
        <f t="shared" si="308"/>
        <v>2025.7291525499995</v>
      </c>
      <c r="I373" s="10">
        <f t="shared" si="308"/>
        <v>1724.06539935</v>
      </c>
      <c r="J373" s="10">
        <f t="shared" ref="J373:O373" si="312">+J304-J447</f>
        <v>2121.3081832500002</v>
      </c>
      <c r="K373" s="10">
        <f t="shared" si="312"/>
        <v>2446.4328992999999</v>
      </c>
      <c r="L373" s="10">
        <f t="shared" si="312"/>
        <v>2061.3234982499998</v>
      </c>
      <c r="M373" s="10">
        <f t="shared" si="312"/>
        <v>3177.4943169000016</v>
      </c>
      <c r="N373" s="10">
        <f t="shared" si="312"/>
        <v>3130.6135823999994</v>
      </c>
      <c r="O373" s="10">
        <f t="shared" si="312"/>
        <v>3944.4229718999959</v>
      </c>
      <c r="P373" s="10">
        <f t="shared" si="310"/>
        <v>3948.0915631499993</v>
      </c>
      <c r="Q373" s="10">
        <f t="shared" si="310"/>
        <v>4148.5820057999972</v>
      </c>
      <c r="R373" s="10">
        <f t="shared" si="310"/>
        <v>3956.7005239499995</v>
      </c>
      <c r="S373" s="10">
        <f t="shared" si="310"/>
        <v>4261.2837034499989</v>
      </c>
      <c r="T373" s="10">
        <f t="shared" ref="T373" si="313">+T304-T447</f>
        <v>3295.6744441499977</v>
      </c>
    </row>
    <row r="374" spans="2:20" ht="15" customHeight="1">
      <c r="B374" s="11" t="s">
        <v>312</v>
      </c>
      <c r="C374" s="10">
        <f t="shared" si="308"/>
        <v>13652.290843781739</v>
      </c>
      <c r="D374" s="10">
        <f t="shared" si="308"/>
        <v>11942.237660849998</v>
      </c>
      <c r="E374" s="10">
        <f t="shared" si="308"/>
        <v>10348.550132849999</v>
      </c>
      <c r="F374" s="10">
        <f t="shared" si="308"/>
        <v>7809.5297137499983</v>
      </c>
      <c r="G374" s="10">
        <f t="shared" si="308"/>
        <v>2175.9199910999996</v>
      </c>
      <c r="H374" s="10">
        <f t="shared" si="308"/>
        <v>2175.9199910999996</v>
      </c>
      <c r="I374" s="10">
        <f t="shared" si="308"/>
        <v>14305.778419049973</v>
      </c>
      <c r="J374" s="10">
        <f t="shared" ref="J374:O374" si="314">+J305-J448</f>
        <v>36176.560141950002</v>
      </c>
      <c r="K374" s="10">
        <f t="shared" si="314"/>
        <v>56958.967382850009</v>
      </c>
      <c r="L374" s="10">
        <f t="shared" si="314"/>
        <v>95827.704548849957</v>
      </c>
      <c r="M374" s="10">
        <f t="shared" si="314"/>
        <v>88361.310403349926</v>
      </c>
      <c r="N374" s="10">
        <f t="shared" si="314"/>
        <v>150677.21136735025</v>
      </c>
      <c r="O374" s="10">
        <f t="shared" si="314"/>
        <v>160088.84706060105</v>
      </c>
      <c r="P374" s="10">
        <f t="shared" si="310"/>
        <v>148728.83928840008</v>
      </c>
      <c r="Q374" s="10">
        <f t="shared" si="310"/>
        <v>135302.38743690006</v>
      </c>
      <c r="R374" s="10">
        <f t="shared" si="310"/>
        <v>143667.9571594501</v>
      </c>
      <c r="S374" s="10">
        <f t="shared" si="310"/>
        <v>178406.85689010005</v>
      </c>
      <c r="T374" s="10">
        <f t="shared" ref="T374" si="315">+T305-T448</f>
        <v>166930.79033744987</v>
      </c>
    </row>
    <row r="375" spans="2:20" ht="15" customHeight="1">
      <c r="B375" s="11" t="s">
        <v>313</v>
      </c>
      <c r="C375" s="10">
        <f t="shared" si="308"/>
        <v>209629.4570521916</v>
      </c>
      <c r="D375" s="10">
        <f t="shared" si="308"/>
        <v>153027.45766574977</v>
      </c>
      <c r="E375" s="10">
        <f t="shared" si="308"/>
        <v>123445.73221739969</v>
      </c>
      <c r="F375" s="10">
        <f t="shared" si="308"/>
        <v>145651.95962640003</v>
      </c>
      <c r="G375" s="10">
        <f t="shared" si="308"/>
        <v>133138.12712985021</v>
      </c>
      <c r="H375" s="10">
        <f t="shared" si="308"/>
        <v>133138.12712985021</v>
      </c>
      <c r="I375" s="10">
        <f t="shared" si="308"/>
        <v>122107.69787220168</v>
      </c>
      <c r="J375" s="10">
        <f t="shared" ref="J375:O375" si="316">+J306-J449</f>
        <v>201113.91522764962</v>
      </c>
      <c r="K375" s="10">
        <f t="shared" si="316"/>
        <v>260061.9052549497</v>
      </c>
      <c r="L375" s="10">
        <f t="shared" si="316"/>
        <v>293910.68374919845</v>
      </c>
      <c r="M375" s="10">
        <f t="shared" si="316"/>
        <v>340486.47979560192</v>
      </c>
      <c r="N375" s="10">
        <f t="shared" si="316"/>
        <v>395166.09093525377</v>
      </c>
      <c r="O375" s="10">
        <f t="shared" si="316"/>
        <v>426009.37669152743</v>
      </c>
      <c r="P375" s="10">
        <f t="shared" si="310"/>
        <v>344013.12874484947</v>
      </c>
      <c r="Q375" s="10">
        <f t="shared" si="310"/>
        <v>385273.22875019931</v>
      </c>
      <c r="R375" s="10">
        <f t="shared" si="310"/>
        <v>377969.06872034934</v>
      </c>
      <c r="S375" s="10">
        <f t="shared" si="310"/>
        <v>407177.20800584927</v>
      </c>
      <c r="T375" s="10">
        <f t="shared" ref="T375" si="317">+T306-T449</f>
        <v>538782.81396524957</v>
      </c>
    </row>
    <row r="376" spans="2:20" ht="15" customHeight="1">
      <c r="B376" s="11" t="s">
        <v>314</v>
      </c>
      <c r="C376" s="10">
        <f t="shared" si="308"/>
        <v>318685.47588871967</v>
      </c>
      <c r="D376" s="10">
        <f t="shared" si="308"/>
        <v>298045.16034345003</v>
      </c>
      <c r="E376" s="10">
        <f t="shared" si="308"/>
        <v>351349.67793015006</v>
      </c>
      <c r="F376" s="10">
        <f t="shared" si="308"/>
        <v>389741.74280639994</v>
      </c>
      <c r="G376" s="10">
        <f t="shared" si="308"/>
        <v>490824.48420539987</v>
      </c>
      <c r="H376" s="10">
        <f t="shared" si="308"/>
        <v>490824.48420539987</v>
      </c>
      <c r="I376" s="10">
        <f t="shared" si="308"/>
        <v>408619.55906505347</v>
      </c>
      <c r="J376" s="10">
        <f t="shared" ref="J376:O376" si="318">+J307-J450</f>
        <v>472139.14670099993</v>
      </c>
      <c r="K376" s="10">
        <f t="shared" si="318"/>
        <v>563162.29166069999</v>
      </c>
      <c r="L376" s="10">
        <f t="shared" si="318"/>
        <v>545175.69850305002</v>
      </c>
      <c r="M376" s="10">
        <f t="shared" si="318"/>
        <v>611876.70906659984</v>
      </c>
      <c r="N376" s="10">
        <f t="shared" si="318"/>
        <v>640652.45660235034</v>
      </c>
      <c r="O376" s="10">
        <f t="shared" si="318"/>
        <v>766886.37995653227</v>
      </c>
      <c r="P376" s="10">
        <f t="shared" si="310"/>
        <v>897097.91351760039</v>
      </c>
      <c r="Q376" s="10">
        <f t="shared" si="310"/>
        <v>778480.86091140006</v>
      </c>
      <c r="R376" s="10">
        <f t="shared" si="310"/>
        <v>957069.6825019503</v>
      </c>
      <c r="S376" s="10">
        <f t="shared" si="310"/>
        <v>1005902.0689302003</v>
      </c>
      <c r="T376" s="10">
        <f t="shared" ref="T376" si="319">+T307-T450</f>
        <v>990668.79083519988</v>
      </c>
    </row>
    <row r="377" spans="2:20" ht="15" customHeight="1">
      <c r="B377" s="11" t="s">
        <v>315</v>
      </c>
      <c r="C377" s="10">
        <f t="shared" si="308"/>
        <v>356.39313818682922</v>
      </c>
      <c r="D377" s="10">
        <f t="shared" si="308"/>
        <v>442.3136800499999</v>
      </c>
      <c r="E377" s="10">
        <f t="shared" si="308"/>
        <v>345.71001824999996</v>
      </c>
      <c r="F377" s="10">
        <f t="shared" si="308"/>
        <v>464.0034212999999</v>
      </c>
      <c r="G377" s="10">
        <f t="shared" si="308"/>
        <v>387.29253464999988</v>
      </c>
      <c r="H377" s="10">
        <f t="shared" si="308"/>
        <v>387.29253464999988</v>
      </c>
      <c r="I377" s="10">
        <f t="shared" si="308"/>
        <v>342.5923593</v>
      </c>
      <c r="J377" s="10">
        <f t="shared" ref="J377:O377" si="320">+J308-J451</f>
        <v>513.37107449999985</v>
      </c>
      <c r="K377" s="10">
        <f t="shared" si="320"/>
        <v>563.70157199999994</v>
      </c>
      <c r="L377" s="10">
        <f t="shared" si="320"/>
        <v>409.76233424999987</v>
      </c>
      <c r="M377" s="10">
        <f t="shared" si="320"/>
        <v>569.05127909999987</v>
      </c>
      <c r="N377" s="10">
        <f t="shared" si="320"/>
        <v>620.99080785000001</v>
      </c>
      <c r="O377" s="10">
        <f t="shared" si="320"/>
        <v>620.99080784999956</v>
      </c>
      <c r="P377" s="10">
        <f t="shared" si="310"/>
        <v>631.42762814999969</v>
      </c>
      <c r="Q377" s="10">
        <f t="shared" si="310"/>
        <v>547.93306574999974</v>
      </c>
      <c r="R377" s="10">
        <f t="shared" si="310"/>
        <v>407.03599169999984</v>
      </c>
      <c r="S377" s="10">
        <f t="shared" si="310"/>
        <v>409.04921159999981</v>
      </c>
      <c r="T377" s="10">
        <f t="shared" ref="T377" si="321">+T308-T451</f>
        <v>354.85189019999984</v>
      </c>
    </row>
    <row r="378" spans="2:20" ht="15" customHeight="1">
      <c r="B378" s="11" t="s">
        <v>316</v>
      </c>
      <c r="C378" s="10">
        <f t="shared" si="308"/>
        <v>1458.1414377873161</v>
      </c>
      <c r="D378" s="10">
        <f t="shared" si="308"/>
        <v>1525.4568796499998</v>
      </c>
      <c r="E378" s="10">
        <f t="shared" si="308"/>
        <v>3201.9773363999993</v>
      </c>
      <c r="F378" s="10">
        <f t="shared" si="308"/>
        <v>2009.9323273499995</v>
      </c>
      <c r="G378" s="10">
        <f t="shared" si="308"/>
        <v>915.74473725000007</v>
      </c>
      <c r="H378" s="10">
        <f t="shared" si="308"/>
        <v>915.74473725000007</v>
      </c>
      <c r="I378" s="10">
        <f t="shared" si="308"/>
        <v>1426.6623609000007</v>
      </c>
      <c r="J378" s="10">
        <f t="shared" ref="J378:O378" si="322">+J309-J452</f>
        <v>1453.2358337999995</v>
      </c>
      <c r="K378" s="10">
        <f t="shared" si="322"/>
        <v>1728.6221758499996</v>
      </c>
      <c r="L378" s="10">
        <f t="shared" si="322"/>
        <v>1712.2589716500006</v>
      </c>
      <c r="M378" s="10">
        <f t="shared" si="322"/>
        <v>2024.7637338000004</v>
      </c>
      <c r="N378" s="10">
        <f t="shared" si="322"/>
        <v>2480.7992323500011</v>
      </c>
      <c r="O378" s="10">
        <f t="shared" si="322"/>
        <v>3028.1453235000008</v>
      </c>
      <c r="P378" s="10">
        <f t="shared" si="310"/>
        <v>3516.0782575499998</v>
      </c>
      <c r="Q378" s="10">
        <f t="shared" si="310"/>
        <v>3327.7160488500012</v>
      </c>
      <c r="R378" s="10">
        <f t="shared" si="310"/>
        <v>3491.9994267000002</v>
      </c>
      <c r="S378" s="10">
        <f t="shared" si="310"/>
        <v>2688.7530055500001</v>
      </c>
      <c r="T378" s="10">
        <f t="shared" ref="T378" si="323">+T309-T452</f>
        <v>2530.0767798000006</v>
      </c>
    </row>
    <row r="379" spans="2:20" ht="15" customHeight="1">
      <c r="B379" s="11" t="s">
        <v>317</v>
      </c>
      <c r="C379" s="10">
        <f t="shared" si="308"/>
        <v>17376.131962405969</v>
      </c>
      <c r="D379" s="10">
        <f t="shared" si="308"/>
        <v>30459.113455049999</v>
      </c>
      <c r="E379" s="10">
        <f t="shared" si="308"/>
        <v>13219.669453050003</v>
      </c>
      <c r="F379" s="10">
        <f t="shared" si="308"/>
        <v>14726.927545649996</v>
      </c>
      <c r="G379" s="10">
        <f t="shared" si="308"/>
        <v>22212.681555149997</v>
      </c>
      <c r="H379" s="10">
        <f t="shared" si="308"/>
        <v>22212.681555149997</v>
      </c>
      <c r="I379" s="10">
        <f t="shared" si="308"/>
        <v>43117.058513699725</v>
      </c>
      <c r="J379" s="10">
        <f t="shared" ref="J379:O379" si="324">+J310-J453</f>
        <v>89996.425980750006</v>
      </c>
      <c r="K379" s="10">
        <f t="shared" si="324"/>
        <v>88982.391316949972</v>
      </c>
      <c r="L379" s="10">
        <f t="shared" si="324"/>
        <v>120687.54886979988</v>
      </c>
      <c r="M379" s="10">
        <f t="shared" si="324"/>
        <v>78776.053802099894</v>
      </c>
      <c r="N379" s="10">
        <f t="shared" si="324"/>
        <v>140247.44248589955</v>
      </c>
      <c r="O379" s="10">
        <f t="shared" si="324"/>
        <v>161976.7556068488</v>
      </c>
      <c r="P379" s="10">
        <f t="shared" si="310"/>
        <v>146662.01161604997</v>
      </c>
      <c r="Q379" s="10">
        <f t="shared" si="310"/>
        <v>125698.85224065004</v>
      </c>
      <c r="R379" s="10">
        <f t="shared" si="310"/>
        <v>122828.87082735001</v>
      </c>
      <c r="S379" s="10">
        <f t="shared" si="310"/>
        <v>155791.93554359995</v>
      </c>
      <c r="T379" s="10">
        <f t="shared" ref="T379" si="325">+T310-T453</f>
        <v>176975.90549550002</v>
      </c>
    </row>
    <row r="380" spans="2:20" ht="15" customHeight="1">
      <c r="B380" s="11" t="s">
        <v>318</v>
      </c>
      <c r="C380" s="10">
        <f t="shared" si="308"/>
        <v>139992.18512327725</v>
      </c>
      <c r="D380" s="10">
        <f t="shared" si="308"/>
        <v>175788.37864620052</v>
      </c>
      <c r="E380" s="10">
        <f t="shared" si="308"/>
        <v>184690.47662100021</v>
      </c>
      <c r="F380" s="10">
        <f t="shared" si="308"/>
        <v>208223.94113190018</v>
      </c>
      <c r="G380" s="10">
        <f t="shared" si="308"/>
        <v>235955.98604204995</v>
      </c>
      <c r="H380" s="10">
        <f t="shared" si="308"/>
        <v>235955.98604204995</v>
      </c>
      <c r="I380" s="10">
        <f t="shared" si="308"/>
        <v>229406.62900769862</v>
      </c>
      <c r="J380" s="10">
        <f t="shared" ref="J380:O380" si="326">+J311-J454</f>
        <v>280447.41468825005</v>
      </c>
      <c r="K380" s="10">
        <f t="shared" si="326"/>
        <v>285083.1366974999</v>
      </c>
      <c r="L380" s="10">
        <f t="shared" si="326"/>
        <v>279355.61618775001</v>
      </c>
      <c r="M380" s="10">
        <f t="shared" si="326"/>
        <v>370932.76991520007</v>
      </c>
      <c r="N380" s="10">
        <f t="shared" si="326"/>
        <v>420956.58091005101</v>
      </c>
      <c r="O380" s="10">
        <f t="shared" si="326"/>
        <v>437001.40802747849</v>
      </c>
      <c r="P380" s="10">
        <f t="shared" si="310"/>
        <v>504012.79428299982</v>
      </c>
      <c r="Q380" s="10">
        <f t="shared" si="310"/>
        <v>639363.30591374985</v>
      </c>
      <c r="R380" s="10">
        <f t="shared" si="310"/>
        <v>710757.4204026002</v>
      </c>
      <c r="S380" s="10">
        <f t="shared" si="310"/>
        <v>739604.72992500011</v>
      </c>
      <c r="T380" s="10">
        <f t="shared" ref="T380" si="327">+T311-T454</f>
        <v>818746.22433015052</v>
      </c>
    </row>
    <row r="381" spans="2:20" ht="15" customHeight="1">
      <c r="B381" s="11" t="s">
        <v>319</v>
      </c>
      <c r="C381" s="10">
        <f t="shared" si="308"/>
        <v>701335.50026155682</v>
      </c>
      <c r="D381" s="10">
        <f t="shared" si="308"/>
        <v>766826.71192889987</v>
      </c>
      <c r="E381" s="10">
        <f t="shared" si="308"/>
        <v>751479.53759144992</v>
      </c>
      <c r="F381" s="10">
        <f t="shared" si="308"/>
        <v>867165.55570260016</v>
      </c>
      <c r="G381" s="10">
        <f t="shared" si="308"/>
        <v>995716.71060839994</v>
      </c>
      <c r="H381" s="10">
        <f t="shared" si="308"/>
        <v>995716.71060839994</v>
      </c>
      <c r="I381" s="10">
        <f t="shared" si="308"/>
        <v>1021129.5184704261</v>
      </c>
      <c r="J381" s="10">
        <f t="shared" ref="J381:O381" si="328">+J312-J455</f>
        <v>1021246.2852245998</v>
      </c>
      <c r="K381" s="10">
        <f t="shared" si="328"/>
        <v>1041813.0333634461</v>
      </c>
      <c r="L381" s="10">
        <f t="shared" si="328"/>
        <v>1169796.653341196</v>
      </c>
      <c r="M381" s="10">
        <f t="shared" si="328"/>
        <v>1296178.2033817521</v>
      </c>
      <c r="N381" s="10">
        <f t="shared" si="328"/>
        <v>1269574.4395030569</v>
      </c>
      <c r="O381" s="10">
        <f t="shared" si="328"/>
        <v>1289880.1538584949</v>
      </c>
      <c r="P381" s="10">
        <f t="shared" si="310"/>
        <v>1482545.3188841976</v>
      </c>
      <c r="Q381" s="10">
        <f t="shared" si="310"/>
        <v>1454497.8188921986</v>
      </c>
      <c r="R381" s="10">
        <f t="shared" si="310"/>
        <v>1442760.6773650488</v>
      </c>
      <c r="S381" s="10">
        <f t="shared" si="310"/>
        <v>1586417.1190096484</v>
      </c>
      <c r="T381" s="10">
        <f t="shared" ref="T381" si="329">+T312-T455</f>
        <v>1513252.0017490489</v>
      </c>
    </row>
    <row r="382" spans="2:20" ht="15" customHeight="1">
      <c r="B382" s="11" t="s">
        <v>320</v>
      </c>
      <c r="C382" s="10">
        <f t="shared" ref="C382:I391" si="330">+C313-C456</f>
        <v>1573.4532918149753</v>
      </c>
      <c r="D382" s="10">
        <f t="shared" si="330"/>
        <v>1372.49335845</v>
      </c>
      <c r="E382" s="10">
        <f t="shared" si="330"/>
        <v>1385.2034180999999</v>
      </c>
      <c r="F382" s="10">
        <f t="shared" si="330"/>
        <v>1438.7262336000003</v>
      </c>
      <c r="G382" s="10">
        <f t="shared" si="330"/>
        <v>1376.65881855</v>
      </c>
      <c r="H382" s="10">
        <f t="shared" si="330"/>
        <v>1376.65881855</v>
      </c>
      <c r="I382" s="10">
        <f t="shared" si="330"/>
        <v>1524.5815666500002</v>
      </c>
      <c r="J382" s="10">
        <f t="shared" ref="J382:O382" si="331">+J313-J456</f>
        <v>1938.818295</v>
      </c>
      <c r="K382" s="10">
        <f t="shared" si="331"/>
        <v>2288.9434949999995</v>
      </c>
      <c r="L382" s="10">
        <f t="shared" si="331"/>
        <v>2428.6537476000003</v>
      </c>
      <c r="M382" s="10">
        <f t="shared" si="331"/>
        <v>2761.772130899999</v>
      </c>
      <c r="N382" s="10">
        <f t="shared" si="331"/>
        <v>2432.7728675999997</v>
      </c>
      <c r="O382" s="10">
        <f t="shared" si="331"/>
        <v>2772.0390374999806</v>
      </c>
      <c r="P382" s="10">
        <f t="shared" si="310"/>
        <v>2251.2226536000016</v>
      </c>
      <c r="Q382" s="10">
        <f t="shared" si="310"/>
        <v>2478.5465886000002</v>
      </c>
      <c r="R382" s="10">
        <f t="shared" si="310"/>
        <v>2113.0261776000016</v>
      </c>
      <c r="S382" s="10">
        <f t="shared" si="310"/>
        <v>1892.6609809500014</v>
      </c>
      <c r="T382" s="10">
        <f t="shared" ref="T382" si="332">+T313-T456</f>
        <v>2069.9453313000013</v>
      </c>
    </row>
    <row r="383" spans="2:20" ht="15" customHeight="1">
      <c r="B383" s="11" t="s">
        <v>321</v>
      </c>
      <c r="C383" s="10">
        <f t="shared" si="330"/>
        <v>3576.9366545334669</v>
      </c>
      <c r="D383" s="10">
        <f t="shared" si="330"/>
        <v>4406.6680438500007</v>
      </c>
      <c r="E383" s="10">
        <f t="shared" si="330"/>
        <v>5456.7192631499984</v>
      </c>
      <c r="F383" s="10">
        <f t="shared" si="330"/>
        <v>3953.3563133999996</v>
      </c>
      <c r="G383" s="10">
        <f t="shared" si="330"/>
        <v>2301.9650630999995</v>
      </c>
      <c r="H383" s="10">
        <f t="shared" si="330"/>
        <v>2301.9650630999995</v>
      </c>
      <c r="I383" s="10">
        <f t="shared" si="330"/>
        <v>2081.4608461500002</v>
      </c>
      <c r="J383" s="10">
        <f t="shared" ref="J383:O383" si="333">+J314-J457</f>
        <v>2520.3427843500003</v>
      </c>
      <c r="K383" s="10">
        <f t="shared" si="333"/>
        <v>3156.03627615</v>
      </c>
      <c r="L383" s="10">
        <f t="shared" si="333"/>
        <v>2787.9826063500004</v>
      </c>
      <c r="M383" s="10">
        <f t="shared" si="333"/>
        <v>3796.9687737000004</v>
      </c>
      <c r="N383" s="10">
        <f t="shared" si="333"/>
        <v>4059.1610595000002</v>
      </c>
      <c r="O383" s="10">
        <f t="shared" si="333"/>
        <v>4984.0193497500059</v>
      </c>
      <c r="P383" s="10">
        <f t="shared" si="310"/>
        <v>5532.5059222500022</v>
      </c>
      <c r="Q383" s="10">
        <f t="shared" si="310"/>
        <v>5639.4331285499993</v>
      </c>
      <c r="R383" s="10">
        <f t="shared" si="310"/>
        <v>5600.237127299999</v>
      </c>
      <c r="S383" s="10">
        <f t="shared" si="310"/>
        <v>5087.5663031999975</v>
      </c>
      <c r="T383" s="10">
        <f t="shared" ref="T383" si="334">+T314-T457</f>
        <v>4343.9055272999994</v>
      </c>
    </row>
    <row r="384" spans="2:20" ht="15" customHeight="1">
      <c r="B384" s="11" t="s">
        <v>322</v>
      </c>
      <c r="C384" s="10">
        <f t="shared" si="330"/>
        <v>24379.614948680857</v>
      </c>
      <c r="D384" s="10">
        <f t="shared" si="330"/>
        <v>20238.315254550005</v>
      </c>
      <c r="E384" s="10">
        <f t="shared" si="330"/>
        <v>13903.502585399998</v>
      </c>
      <c r="F384" s="10">
        <f t="shared" si="330"/>
        <v>11671.220160449993</v>
      </c>
      <c r="G384" s="10">
        <f t="shared" si="330"/>
        <v>19353.837212550003</v>
      </c>
      <c r="H384" s="10">
        <f t="shared" si="330"/>
        <v>19353.837212550003</v>
      </c>
      <c r="I384" s="10">
        <f t="shared" si="330"/>
        <v>30548.822739749841</v>
      </c>
      <c r="J384" s="10">
        <f t="shared" ref="J384:O384" si="335">+J315-J458</f>
        <v>59710.593606300012</v>
      </c>
      <c r="K384" s="10">
        <f t="shared" si="335"/>
        <v>72259.44892065</v>
      </c>
      <c r="L384" s="10">
        <f t="shared" si="335"/>
        <v>118316.8897573498</v>
      </c>
      <c r="M384" s="10">
        <f t="shared" si="335"/>
        <v>81415.835619749909</v>
      </c>
      <c r="N384" s="10">
        <f t="shared" si="335"/>
        <v>141186.94424775016</v>
      </c>
      <c r="O384" s="10">
        <f t="shared" si="335"/>
        <v>189277.05237975728</v>
      </c>
      <c r="P384" s="10">
        <f t="shared" si="310"/>
        <v>134464.96519200009</v>
      </c>
      <c r="Q384" s="10">
        <f t="shared" si="310"/>
        <v>116028.3813444</v>
      </c>
      <c r="R384" s="10">
        <f t="shared" si="310"/>
        <v>129016.62318915006</v>
      </c>
      <c r="S384" s="10">
        <f t="shared" si="310"/>
        <v>163074.17155725003</v>
      </c>
      <c r="T384" s="10">
        <f t="shared" ref="T384" si="336">+T315-T458</f>
        <v>166408.82059994992</v>
      </c>
    </row>
    <row r="385" spans="2:20" ht="15" customHeight="1">
      <c r="B385" s="11" t="s">
        <v>323</v>
      </c>
      <c r="C385" s="10">
        <f t="shared" si="330"/>
        <v>202689.42607590149</v>
      </c>
      <c r="D385" s="10">
        <f t="shared" si="330"/>
        <v>197210.37452174979</v>
      </c>
      <c r="E385" s="10">
        <f t="shared" si="330"/>
        <v>178408.66415399994</v>
      </c>
      <c r="F385" s="10">
        <f t="shared" si="330"/>
        <v>200372.31401175028</v>
      </c>
      <c r="G385" s="10">
        <f t="shared" si="330"/>
        <v>224090.26875855017</v>
      </c>
      <c r="H385" s="10">
        <f t="shared" si="330"/>
        <v>224090.26875855017</v>
      </c>
      <c r="I385" s="10">
        <f t="shared" si="330"/>
        <v>191203.32280545239</v>
      </c>
      <c r="J385" s="10">
        <f t="shared" ref="J385:O385" si="337">+J316-J459</f>
        <v>220340.71363049967</v>
      </c>
      <c r="K385" s="10">
        <f t="shared" si="337"/>
        <v>257788.24369514978</v>
      </c>
      <c r="L385" s="10">
        <f t="shared" si="337"/>
        <v>289988.81295929861</v>
      </c>
      <c r="M385" s="10">
        <f t="shared" si="337"/>
        <v>344210.63282550173</v>
      </c>
      <c r="N385" s="10">
        <f t="shared" si="337"/>
        <v>411517.81823715265</v>
      </c>
      <c r="O385" s="10">
        <f t="shared" si="337"/>
        <v>424709.50084423437</v>
      </c>
      <c r="P385" s="10">
        <f t="shared" si="310"/>
        <v>373342.3959028495</v>
      </c>
      <c r="Q385" s="10">
        <f t="shared" si="310"/>
        <v>483434.68252184917</v>
      </c>
      <c r="R385" s="10">
        <f t="shared" si="310"/>
        <v>531854.71671914915</v>
      </c>
      <c r="S385" s="10">
        <f t="shared" si="310"/>
        <v>577093.41037124884</v>
      </c>
      <c r="T385" s="10">
        <f t="shared" ref="T385" si="338">+T316-T459</f>
        <v>631255.04989424907</v>
      </c>
    </row>
    <row r="386" spans="2:20" ht="15" customHeight="1">
      <c r="B386" s="11" t="s">
        <v>324</v>
      </c>
      <c r="C386" s="10">
        <f t="shared" si="330"/>
        <v>357654.30661981879</v>
      </c>
      <c r="D386" s="10">
        <f t="shared" si="330"/>
        <v>368916.24957029987</v>
      </c>
      <c r="E386" s="10">
        <f t="shared" si="330"/>
        <v>424119.33135179989</v>
      </c>
      <c r="F386" s="10">
        <f t="shared" si="330"/>
        <v>477806.53578209993</v>
      </c>
      <c r="G386" s="10">
        <f t="shared" si="330"/>
        <v>518694.23902049987</v>
      </c>
      <c r="H386" s="10">
        <f t="shared" si="330"/>
        <v>518694.23902049987</v>
      </c>
      <c r="I386" s="10">
        <f t="shared" si="330"/>
        <v>492214.24440000695</v>
      </c>
      <c r="J386" s="10">
        <f t="shared" ref="J386:O386" si="339">+J317-J460</f>
        <v>539257.41897165007</v>
      </c>
      <c r="K386" s="10">
        <f t="shared" si="339"/>
        <v>554169.54215249978</v>
      </c>
      <c r="L386" s="10">
        <f t="shared" si="339"/>
        <v>557867.93523570034</v>
      </c>
      <c r="M386" s="10">
        <f t="shared" si="339"/>
        <v>649495.54560870025</v>
      </c>
      <c r="N386" s="10">
        <f t="shared" si="339"/>
        <v>645081.39106425084</v>
      </c>
      <c r="O386" s="10">
        <f t="shared" si="339"/>
        <v>801949.42096332088</v>
      </c>
      <c r="P386" s="10">
        <f t="shared" si="310"/>
        <v>925853.31517500011</v>
      </c>
      <c r="Q386" s="10">
        <f t="shared" si="310"/>
        <v>817152.64492905</v>
      </c>
      <c r="R386" s="10">
        <f t="shared" si="310"/>
        <v>867777.50761650037</v>
      </c>
      <c r="S386" s="10">
        <f t="shared" si="310"/>
        <v>992068.43691779999</v>
      </c>
      <c r="T386" s="10">
        <f t="shared" ref="T386" si="340">+T317-T460</f>
        <v>1015080.5289636003</v>
      </c>
    </row>
    <row r="387" spans="2:20" ht="15" customHeight="1">
      <c r="B387" s="11" t="s">
        <v>325</v>
      </c>
      <c r="C387" s="10">
        <f t="shared" si="330"/>
        <v>160.68958403478121</v>
      </c>
      <c r="D387" s="10">
        <f t="shared" si="330"/>
        <v>103.97173770000001</v>
      </c>
      <c r="E387" s="10">
        <f t="shared" si="330"/>
        <v>122.25805604999999</v>
      </c>
      <c r="F387" s="10">
        <f t="shared" si="330"/>
        <v>157.67991360000002</v>
      </c>
      <c r="G387" s="10">
        <f t="shared" si="330"/>
        <v>167.75631089999996</v>
      </c>
      <c r="H387" s="10">
        <f t="shared" si="330"/>
        <v>167.75631089999996</v>
      </c>
      <c r="I387" s="10">
        <f t="shared" si="330"/>
        <v>115.84252664999997</v>
      </c>
      <c r="J387" s="10">
        <f t="shared" ref="J387:O387" si="341">+J318-J461</f>
        <v>206.35503975000006</v>
      </c>
      <c r="K387" s="10">
        <f t="shared" si="341"/>
        <v>236.55333825000002</v>
      </c>
      <c r="L387" s="10">
        <f t="shared" si="341"/>
        <v>136.58744474999997</v>
      </c>
      <c r="M387" s="10">
        <f t="shared" si="341"/>
        <v>268.95021704999999</v>
      </c>
      <c r="N387" s="10">
        <f t="shared" si="341"/>
        <v>333.97824960000003</v>
      </c>
      <c r="O387" s="10">
        <f t="shared" si="341"/>
        <v>333.9782495999998</v>
      </c>
      <c r="P387" s="10">
        <f t="shared" si="310"/>
        <v>287.01255824999976</v>
      </c>
      <c r="Q387" s="10">
        <f t="shared" si="310"/>
        <v>511.40419469999983</v>
      </c>
      <c r="R387" s="10">
        <f t="shared" si="310"/>
        <v>151.33389434999992</v>
      </c>
      <c r="S387" s="10">
        <f t="shared" si="310"/>
        <v>161.77071464999995</v>
      </c>
      <c r="T387" s="10">
        <f t="shared" ref="T387" si="342">+T318-T461</f>
        <v>158.07380444999995</v>
      </c>
    </row>
    <row r="388" spans="2:20" ht="15" customHeight="1">
      <c r="B388" s="11" t="s">
        <v>326</v>
      </c>
      <c r="C388" s="10">
        <f t="shared" si="330"/>
        <v>461.59336339974743</v>
      </c>
      <c r="D388" s="10">
        <f t="shared" si="330"/>
        <v>824.44959134999999</v>
      </c>
      <c r="E388" s="10">
        <f t="shared" si="330"/>
        <v>814.54053329999988</v>
      </c>
      <c r="F388" s="10">
        <f t="shared" si="330"/>
        <v>674.41579425000009</v>
      </c>
      <c r="G388" s="10">
        <f t="shared" si="330"/>
        <v>575.31234149999977</v>
      </c>
      <c r="H388" s="10">
        <f t="shared" si="330"/>
        <v>575.31234149999977</v>
      </c>
      <c r="I388" s="10">
        <f t="shared" si="330"/>
        <v>967.46028885000032</v>
      </c>
      <c r="J388" s="10">
        <f t="shared" ref="J388:O388" si="343">+J319-J462</f>
        <v>1016.8099208999997</v>
      </c>
      <c r="K388" s="10">
        <f t="shared" si="343"/>
        <v>876.79073429999971</v>
      </c>
      <c r="L388" s="10">
        <f t="shared" si="343"/>
        <v>890.13410865000014</v>
      </c>
      <c r="M388" s="10">
        <f t="shared" si="343"/>
        <v>1237.3913713500001</v>
      </c>
      <c r="N388" s="10">
        <f t="shared" si="343"/>
        <v>1391.6215219500004</v>
      </c>
      <c r="O388" s="10">
        <f t="shared" si="343"/>
        <v>1711.1854260000009</v>
      </c>
      <c r="P388" s="10">
        <f t="shared" si="310"/>
        <v>1745.7654383999998</v>
      </c>
      <c r="Q388" s="10">
        <f t="shared" si="310"/>
        <v>1501.7796630000003</v>
      </c>
      <c r="R388" s="10">
        <f t="shared" si="310"/>
        <v>1589.1951127499988</v>
      </c>
      <c r="S388" s="10">
        <f t="shared" si="310"/>
        <v>1655.7472197000006</v>
      </c>
      <c r="T388" s="10">
        <f t="shared" ref="T388" si="344">+T319-T462</f>
        <v>1331.49781665</v>
      </c>
    </row>
    <row r="389" spans="2:20" ht="15" customHeight="1">
      <c r="B389" s="11" t="s">
        <v>327</v>
      </c>
      <c r="C389" s="10">
        <f t="shared" si="330"/>
        <v>5477.0814575355198</v>
      </c>
      <c r="D389" s="10">
        <f t="shared" si="330"/>
        <v>21524.399773200006</v>
      </c>
      <c r="E389" s="10">
        <f t="shared" si="330"/>
        <v>8931.8097022500006</v>
      </c>
      <c r="F389" s="10">
        <f t="shared" si="330"/>
        <v>10143.860762250002</v>
      </c>
      <c r="G389" s="10">
        <f t="shared" si="330"/>
        <v>2251.4028650999999</v>
      </c>
      <c r="H389" s="10">
        <f t="shared" si="330"/>
        <v>2251.4028650999999</v>
      </c>
      <c r="I389" s="10">
        <f t="shared" si="330"/>
        <v>24450.645791250005</v>
      </c>
      <c r="J389" s="10">
        <f t="shared" ref="J389:O389" si="345">+J320-J463</f>
        <v>62615.458817099978</v>
      </c>
      <c r="K389" s="10">
        <f t="shared" si="345"/>
        <v>70747.237586250005</v>
      </c>
      <c r="L389" s="10">
        <f t="shared" si="345"/>
        <v>95059.051012349955</v>
      </c>
      <c r="M389" s="10">
        <f t="shared" si="345"/>
        <v>86280.524063099903</v>
      </c>
      <c r="N389" s="10">
        <f t="shared" si="345"/>
        <v>151338.40221194952</v>
      </c>
      <c r="O389" s="10">
        <f t="shared" si="345"/>
        <v>127852.07845500216</v>
      </c>
      <c r="P389" s="10">
        <f t="shared" si="310"/>
        <v>163462.37802165002</v>
      </c>
      <c r="Q389" s="10">
        <f t="shared" si="310"/>
        <v>147965.67705375003</v>
      </c>
      <c r="R389" s="10">
        <f t="shared" si="310"/>
        <v>139753.06055459991</v>
      </c>
      <c r="S389" s="10">
        <f t="shared" si="310"/>
        <v>173481.50410695007</v>
      </c>
      <c r="T389" s="10">
        <f t="shared" ref="T389" si="346">+T320-T463</f>
        <v>177777.86469164991</v>
      </c>
    </row>
    <row r="390" spans="2:20" ht="15" customHeight="1">
      <c r="B390" s="11" t="s">
        <v>328</v>
      </c>
      <c r="C390" s="10">
        <f t="shared" si="330"/>
        <v>148953.56265578227</v>
      </c>
      <c r="D390" s="10">
        <f t="shared" si="330"/>
        <v>124682.91248384997</v>
      </c>
      <c r="E390" s="10">
        <f t="shared" si="330"/>
        <v>121657.13307989994</v>
      </c>
      <c r="F390" s="10">
        <f t="shared" si="330"/>
        <v>144873.78577379999</v>
      </c>
      <c r="G390" s="10">
        <f t="shared" si="330"/>
        <v>131291.74446210027</v>
      </c>
      <c r="H390" s="10">
        <f t="shared" si="330"/>
        <v>131291.74446210027</v>
      </c>
      <c r="I390" s="10">
        <f t="shared" si="330"/>
        <v>150007.72821930022</v>
      </c>
      <c r="J390" s="10">
        <f t="shared" ref="J390:O390" si="347">+J321-J464</f>
        <v>259211.71116359998</v>
      </c>
      <c r="K390" s="10">
        <f t="shared" si="347"/>
        <v>310943.93490180012</v>
      </c>
      <c r="L390" s="10">
        <f t="shared" si="347"/>
        <v>284450.29054740013</v>
      </c>
      <c r="M390" s="10">
        <f t="shared" si="347"/>
        <v>366727.53971159924</v>
      </c>
      <c r="N390" s="10">
        <f t="shared" si="347"/>
        <v>402445.14750314993</v>
      </c>
      <c r="O390" s="10">
        <f t="shared" si="347"/>
        <v>438704.55859502708</v>
      </c>
      <c r="P390" s="10">
        <f t="shared" si="310"/>
        <v>469914.33532994962</v>
      </c>
      <c r="Q390" s="10">
        <f t="shared" si="310"/>
        <v>526032.01364400005</v>
      </c>
      <c r="R390" s="10">
        <f t="shared" si="310"/>
        <v>534158.7027255001</v>
      </c>
      <c r="S390" s="10">
        <f t="shared" si="310"/>
        <v>544270.14343889989</v>
      </c>
      <c r="T390" s="10">
        <f t="shared" ref="T390" si="348">+T321-T464</f>
        <v>711890.86063185008</v>
      </c>
    </row>
    <row r="391" spans="2:20" ht="15" customHeight="1">
      <c r="B391" s="11" t="s">
        <v>329</v>
      </c>
      <c r="C391" s="10">
        <f t="shared" si="330"/>
        <v>658690.66881745821</v>
      </c>
      <c r="D391" s="10">
        <f t="shared" si="330"/>
        <v>680251.90506074997</v>
      </c>
      <c r="E391" s="10">
        <f t="shared" si="330"/>
        <v>699448.02374295006</v>
      </c>
      <c r="F391" s="10">
        <f t="shared" si="330"/>
        <v>676346.2172635498</v>
      </c>
      <c r="G391" s="10">
        <f t="shared" si="330"/>
        <v>910485.91853279993</v>
      </c>
      <c r="H391" s="10">
        <f t="shared" si="330"/>
        <v>910485.91853279993</v>
      </c>
      <c r="I391" s="10">
        <f t="shared" si="330"/>
        <v>1110638.989808118</v>
      </c>
      <c r="J391" s="10">
        <f t="shared" ref="J391:O391" si="349">+J322-J465</f>
        <v>1001454.2199841477</v>
      </c>
      <c r="K391" s="10">
        <f t="shared" si="349"/>
        <v>1016784.5265251966</v>
      </c>
      <c r="L391" s="10">
        <f t="shared" si="349"/>
        <v>1149533.502367496</v>
      </c>
      <c r="M391" s="10">
        <f t="shared" si="349"/>
        <v>1242247.0389205525</v>
      </c>
      <c r="N391" s="10">
        <f t="shared" si="349"/>
        <v>1259599.6377234063</v>
      </c>
      <c r="O391" s="10">
        <f t="shared" si="349"/>
        <v>1250058.5818541185</v>
      </c>
      <c r="P391" s="10">
        <f t="shared" si="310"/>
        <v>1450901.1732219006</v>
      </c>
      <c r="Q391" s="10">
        <f t="shared" si="310"/>
        <v>1412564.7293378981</v>
      </c>
      <c r="R391" s="10">
        <f t="shared" si="310"/>
        <v>1545963.3238720503</v>
      </c>
      <c r="S391" s="10">
        <f t="shared" si="310"/>
        <v>1602263.7031792486</v>
      </c>
      <c r="T391" s="10">
        <f t="shared" ref="T391" si="350">+T322-T465</f>
        <v>1485182.6704210481</v>
      </c>
    </row>
    <row r="392" spans="2:20" ht="15" customHeight="1">
      <c r="B392" s="11" t="s">
        <v>330</v>
      </c>
      <c r="C392" s="10">
        <f t="shared" ref="C392:I401" si="351">+C323-C466</f>
        <v>3149.8057932878164</v>
      </c>
      <c r="D392" s="10">
        <f t="shared" si="351"/>
        <v>3782.7011717999994</v>
      </c>
      <c r="E392" s="10">
        <f t="shared" si="351"/>
        <v>3519.2062143000003</v>
      </c>
      <c r="F392" s="10">
        <f t="shared" si="351"/>
        <v>6809.0212102500518</v>
      </c>
      <c r="G392" s="10">
        <f t="shared" si="351"/>
        <v>6328.3147573500501</v>
      </c>
      <c r="H392" s="10">
        <f t="shared" si="351"/>
        <v>6328.3147573500501</v>
      </c>
      <c r="I392" s="10">
        <f t="shared" si="351"/>
        <v>8228.5652168995366</v>
      </c>
      <c r="J392" s="10">
        <f t="shared" ref="J392:O392" si="352">+J323-J466</f>
        <v>7707.1953262500538</v>
      </c>
      <c r="K392" s="10">
        <f t="shared" si="352"/>
        <v>9033.6163275000399</v>
      </c>
      <c r="L392" s="10">
        <f t="shared" si="352"/>
        <v>10136.443771800048</v>
      </c>
      <c r="M392" s="10">
        <f t="shared" si="352"/>
        <v>10359.627991200075</v>
      </c>
      <c r="N392" s="10">
        <f t="shared" si="352"/>
        <v>7801.5103020000097</v>
      </c>
      <c r="O392" s="10">
        <f t="shared" si="352"/>
        <v>5504.7662234996769</v>
      </c>
      <c r="P392" s="10">
        <f t="shared" ref="P392:S411" si="353">+P323-P466</f>
        <v>4674.4752050999978</v>
      </c>
      <c r="Q392" s="10">
        <f t="shared" si="353"/>
        <v>3668.2050824999988</v>
      </c>
      <c r="R392" s="10">
        <f t="shared" si="353"/>
        <v>3311.9012025000011</v>
      </c>
      <c r="S392" s="10">
        <f t="shared" si="353"/>
        <v>3318.9551955000006</v>
      </c>
      <c r="T392" s="10">
        <f t="shared" ref="T392" si="354">+T323-T466</f>
        <v>3644.1082305000018</v>
      </c>
    </row>
    <row r="393" spans="2:20" ht="15" customHeight="1">
      <c r="B393" s="11" t="s">
        <v>331</v>
      </c>
      <c r="C393" s="10">
        <f t="shared" si="351"/>
        <v>8912.0303831771162</v>
      </c>
      <c r="D393" s="10">
        <f t="shared" si="351"/>
        <v>9089.2115752500031</v>
      </c>
      <c r="E393" s="10">
        <f t="shared" si="351"/>
        <v>12080.436711299997</v>
      </c>
      <c r="F393" s="10">
        <f t="shared" si="351"/>
        <v>10074.968480249976</v>
      </c>
      <c r="G393" s="10">
        <f t="shared" si="351"/>
        <v>9252.4008118500024</v>
      </c>
      <c r="H393" s="10">
        <f t="shared" si="351"/>
        <v>9252.4008118500024</v>
      </c>
      <c r="I393" s="10">
        <f t="shared" si="351"/>
        <v>11570.111211150019</v>
      </c>
      <c r="J393" s="10">
        <f t="shared" ref="J393:O393" si="355">+J324-J467</f>
        <v>19006.973840700048</v>
      </c>
      <c r="K393" s="10">
        <f t="shared" si="355"/>
        <v>14122.930682250015</v>
      </c>
      <c r="L393" s="10">
        <f t="shared" si="355"/>
        <v>10900.0822797</v>
      </c>
      <c r="M393" s="10">
        <f t="shared" si="355"/>
        <v>13302.695465549987</v>
      </c>
      <c r="N393" s="10">
        <f t="shared" si="355"/>
        <v>15583.882142699971</v>
      </c>
      <c r="O393" s="10">
        <f t="shared" si="355"/>
        <v>32384.565205648571</v>
      </c>
      <c r="P393" s="10">
        <f t="shared" si="353"/>
        <v>27658.948551299967</v>
      </c>
      <c r="Q393" s="10">
        <f t="shared" si="353"/>
        <v>27087.82226549997</v>
      </c>
      <c r="R393" s="10">
        <f t="shared" si="353"/>
        <v>29950.633835549932</v>
      </c>
      <c r="S393" s="10">
        <f t="shared" si="353"/>
        <v>32041.669061249995</v>
      </c>
      <c r="T393" s="10">
        <f t="shared" ref="T393" si="356">+T324-T467</f>
        <v>31501.940767649983</v>
      </c>
    </row>
    <row r="394" spans="2:20" ht="15" customHeight="1">
      <c r="B394" s="11" t="s">
        <v>332</v>
      </c>
      <c r="C394" s="10">
        <f t="shared" si="351"/>
        <v>49109.114773323177</v>
      </c>
      <c r="D394" s="10">
        <f t="shared" si="351"/>
        <v>30995.229795299994</v>
      </c>
      <c r="E394" s="10">
        <f t="shared" si="351"/>
        <v>32485.470773399997</v>
      </c>
      <c r="F394" s="10">
        <f t="shared" si="351"/>
        <v>25866.799247250005</v>
      </c>
      <c r="G394" s="10">
        <f t="shared" si="351"/>
        <v>55464.447668849985</v>
      </c>
      <c r="H394" s="10">
        <f t="shared" si="351"/>
        <v>55464.447668849985</v>
      </c>
      <c r="I394" s="10">
        <f t="shared" si="351"/>
        <v>107299.08560249943</v>
      </c>
      <c r="J394" s="10">
        <f t="shared" ref="J394:O394" si="357">+J325-J468</f>
        <v>169195.28942970064</v>
      </c>
      <c r="K394" s="10">
        <f t="shared" si="357"/>
        <v>206916.97782375175</v>
      </c>
      <c r="L394" s="10">
        <f t="shared" si="357"/>
        <v>233331.12831105082</v>
      </c>
      <c r="M394" s="10">
        <f t="shared" si="357"/>
        <v>294795.69212789822</v>
      </c>
      <c r="N394" s="10">
        <f t="shared" si="357"/>
        <v>348811.47618614964</v>
      </c>
      <c r="O394" s="10">
        <f t="shared" si="357"/>
        <v>381709.70595359756</v>
      </c>
      <c r="P394" s="10">
        <f t="shared" si="353"/>
        <v>327723.88849335001</v>
      </c>
      <c r="Q394" s="10">
        <f t="shared" si="353"/>
        <v>285744.44854125008</v>
      </c>
      <c r="R394" s="10">
        <f t="shared" si="353"/>
        <v>312877.89263519982</v>
      </c>
      <c r="S394" s="10">
        <f t="shared" si="353"/>
        <v>274638.37936815026</v>
      </c>
      <c r="T394" s="10">
        <f t="shared" ref="T394" si="358">+T325-T468</f>
        <v>251237.30852294981</v>
      </c>
    </row>
    <row r="395" spans="2:20" ht="15" customHeight="1">
      <c r="B395" s="11" t="s">
        <v>333</v>
      </c>
      <c r="C395" s="10">
        <f t="shared" si="351"/>
        <v>28633.332219272561</v>
      </c>
      <c r="D395" s="10">
        <f t="shared" si="351"/>
        <v>47947.993343099981</v>
      </c>
      <c r="E395" s="10">
        <f t="shared" si="351"/>
        <v>48172.943635200005</v>
      </c>
      <c r="F395" s="10">
        <f t="shared" si="351"/>
        <v>55087.985845349729</v>
      </c>
      <c r="G395" s="10">
        <f t="shared" si="351"/>
        <v>83372.474257650494</v>
      </c>
      <c r="H395" s="10">
        <f t="shared" si="351"/>
        <v>83372.474257650494</v>
      </c>
      <c r="I395" s="10">
        <f t="shared" si="351"/>
        <v>51869.920770900295</v>
      </c>
      <c r="J395" s="10">
        <f t="shared" ref="J395:O395" si="359">+J326-J469</f>
        <v>12316.341288149997</v>
      </c>
      <c r="K395" s="10">
        <f t="shared" si="359"/>
        <v>17653.073160150001</v>
      </c>
      <c r="L395" s="10">
        <f t="shared" si="359"/>
        <v>16328.940844950004</v>
      </c>
      <c r="M395" s="10">
        <f t="shared" si="359"/>
        <v>24447.046710150011</v>
      </c>
      <c r="N395" s="10">
        <f t="shared" si="359"/>
        <v>24802.246151100015</v>
      </c>
      <c r="O395" s="10">
        <f t="shared" si="359"/>
        <v>44822.618766450119</v>
      </c>
      <c r="P395" s="10">
        <f t="shared" si="353"/>
        <v>134817.90941475012</v>
      </c>
      <c r="Q395" s="10">
        <f t="shared" si="353"/>
        <v>184101.62524695019</v>
      </c>
      <c r="R395" s="10">
        <f t="shared" si="353"/>
        <v>219402.15926625021</v>
      </c>
      <c r="S395" s="10">
        <f t="shared" si="353"/>
        <v>307525.46176710108</v>
      </c>
      <c r="T395" s="10">
        <f t="shared" ref="T395" si="360">+T326-T469</f>
        <v>357509.754954451</v>
      </c>
    </row>
    <row r="396" spans="2:20" ht="15" customHeight="1">
      <c r="B396" s="11" t="s">
        <v>334</v>
      </c>
      <c r="C396" s="10">
        <f t="shared" si="351"/>
        <v>3913.7005394911939</v>
      </c>
      <c r="D396" s="10">
        <f t="shared" si="351"/>
        <v>1948.3720789500003</v>
      </c>
      <c r="E396" s="10">
        <f t="shared" si="351"/>
        <v>790.82469990000027</v>
      </c>
      <c r="F396" s="10">
        <f t="shared" si="351"/>
        <v>5204.4180142500009</v>
      </c>
      <c r="G396" s="10">
        <f t="shared" si="351"/>
        <v>835.60725765000007</v>
      </c>
      <c r="H396" s="10">
        <f t="shared" si="351"/>
        <v>835.60725765000007</v>
      </c>
      <c r="I396" s="10">
        <f t="shared" si="351"/>
        <v>873.32295015</v>
      </c>
      <c r="J396" s="10">
        <f t="shared" ref="J396:O396" si="361">+J327-J470</f>
        <v>498.17924504999996</v>
      </c>
      <c r="K396" s="10">
        <f t="shared" si="361"/>
        <v>989.07537104999983</v>
      </c>
      <c r="L396" s="10">
        <f t="shared" si="361"/>
        <v>558.04293089999987</v>
      </c>
      <c r="M396" s="10">
        <f t="shared" si="361"/>
        <v>525.57396749999998</v>
      </c>
      <c r="N396" s="10">
        <f t="shared" si="361"/>
        <v>528.38526690000003</v>
      </c>
      <c r="O396" s="10">
        <f t="shared" si="361"/>
        <v>72.589192199999985</v>
      </c>
      <c r="P396" s="10">
        <f t="shared" si="353"/>
        <v>0.12872249999999996</v>
      </c>
      <c r="Q396" s="10">
        <f t="shared" si="353"/>
        <v>0.51488999999999985</v>
      </c>
      <c r="R396" s="10">
        <f t="shared" si="353"/>
        <v>0</v>
      </c>
      <c r="S396" s="10">
        <f t="shared" si="353"/>
        <v>0.12872249999999996</v>
      </c>
      <c r="T396" s="10">
        <f t="shared" ref="T396" si="362">+T327-T470</f>
        <v>0.90105749999999984</v>
      </c>
    </row>
    <row r="397" spans="2:20" ht="15" customHeight="1">
      <c r="B397" s="11" t="s">
        <v>335</v>
      </c>
      <c r="C397" s="10">
        <f t="shared" si="351"/>
        <v>702.90834077976524</v>
      </c>
      <c r="D397" s="10">
        <f t="shared" si="351"/>
        <v>821.70522764999987</v>
      </c>
      <c r="E397" s="10">
        <f t="shared" si="351"/>
        <v>831.5936901</v>
      </c>
      <c r="F397" s="10">
        <f t="shared" si="351"/>
        <v>1446.9284312999998</v>
      </c>
      <c r="G397" s="10">
        <f t="shared" si="351"/>
        <v>1856.6907655500027</v>
      </c>
      <c r="H397" s="10">
        <f t="shared" si="351"/>
        <v>1856.6907655500027</v>
      </c>
      <c r="I397" s="10">
        <f t="shared" si="351"/>
        <v>2013.9278737499862</v>
      </c>
      <c r="J397" s="10">
        <f t="shared" ref="J397:O397" si="363">+J328-J471</f>
        <v>2061.0480321000014</v>
      </c>
      <c r="K397" s="10">
        <f t="shared" si="363"/>
        <v>2025.8141094000021</v>
      </c>
      <c r="L397" s="10">
        <f t="shared" si="363"/>
        <v>1993.6823989500026</v>
      </c>
      <c r="M397" s="10">
        <f t="shared" si="363"/>
        <v>1821.4310983500009</v>
      </c>
      <c r="N397" s="10">
        <f t="shared" si="363"/>
        <v>1464.6303495000002</v>
      </c>
      <c r="O397" s="10">
        <f t="shared" si="363"/>
        <v>813.34083960000453</v>
      </c>
      <c r="P397" s="10">
        <f t="shared" si="353"/>
        <v>843.53913809999949</v>
      </c>
      <c r="Q397" s="10">
        <f t="shared" si="353"/>
        <v>696.57408539999983</v>
      </c>
      <c r="R397" s="10">
        <f t="shared" si="353"/>
        <v>557.66191230000004</v>
      </c>
      <c r="S397" s="10">
        <f t="shared" si="353"/>
        <v>564.08773950000023</v>
      </c>
      <c r="T397" s="10">
        <f t="shared" ref="T397" si="364">+T328-T471</f>
        <v>579.80733119999991</v>
      </c>
    </row>
    <row r="398" spans="2:20" ht="15" customHeight="1">
      <c r="B398" s="11" t="s">
        <v>336</v>
      </c>
      <c r="C398" s="10">
        <f t="shared" si="351"/>
        <v>2836.8181960421616</v>
      </c>
      <c r="D398" s="10">
        <f t="shared" si="351"/>
        <v>2779.7829830999999</v>
      </c>
      <c r="E398" s="10">
        <f t="shared" si="351"/>
        <v>3707.8516125000006</v>
      </c>
      <c r="F398" s="10">
        <f t="shared" si="351"/>
        <v>3856.7243326500011</v>
      </c>
      <c r="G398" s="10">
        <f t="shared" si="351"/>
        <v>2545.2969282000004</v>
      </c>
      <c r="H398" s="10">
        <f t="shared" si="351"/>
        <v>2545.2969282000004</v>
      </c>
      <c r="I398" s="10">
        <f t="shared" si="351"/>
        <v>3379.7843001000001</v>
      </c>
      <c r="J398" s="10">
        <f t="shared" ref="J398:O398" si="365">+J329-J472</f>
        <v>4497.226897049999</v>
      </c>
      <c r="K398" s="10">
        <f t="shared" si="365"/>
        <v>2669.9981372999991</v>
      </c>
      <c r="L398" s="10">
        <f t="shared" si="365"/>
        <v>1916.2532407499993</v>
      </c>
      <c r="M398" s="10">
        <f t="shared" si="365"/>
        <v>2829.588292800001</v>
      </c>
      <c r="N398" s="10">
        <f t="shared" si="365"/>
        <v>3162.6294426000004</v>
      </c>
      <c r="O398" s="10">
        <f t="shared" si="365"/>
        <v>5526.8704512000077</v>
      </c>
      <c r="P398" s="10">
        <f t="shared" si="353"/>
        <v>4820.5211791499987</v>
      </c>
      <c r="Q398" s="10">
        <f t="shared" si="353"/>
        <v>4998.2380370999981</v>
      </c>
      <c r="R398" s="10">
        <f t="shared" si="353"/>
        <v>5885.8852270500029</v>
      </c>
      <c r="S398" s="10">
        <f t="shared" si="353"/>
        <v>6245.3942973000012</v>
      </c>
      <c r="T398" s="10">
        <f t="shared" ref="T398" si="366">+T329-T472</f>
        <v>8728.7036184000062</v>
      </c>
    </row>
    <row r="399" spans="2:20" ht="15" customHeight="1">
      <c r="B399" s="11" t="s">
        <v>337</v>
      </c>
      <c r="C399" s="10">
        <f t="shared" si="351"/>
        <v>26982.794066264105</v>
      </c>
      <c r="D399" s="10">
        <f t="shared" si="351"/>
        <v>19600.201779750001</v>
      </c>
      <c r="E399" s="10">
        <f t="shared" si="351"/>
        <v>19399.958484299998</v>
      </c>
      <c r="F399" s="10">
        <f t="shared" si="351"/>
        <v>14963.249183400003</v>
      </c>
      <c r="G399" s="10">
        <f t="shared" si="351"/>
        <v>23380.763583599997</v>
      </c>
      <c r="H399" s="10">
        <f t="shared" si="351"/>
        <v>23380.763583599997</v>
      </c>
      <c r="I399" s="10">
        <f t="shared" si="351"/>
        <v>74291.701729501365</v>
      </c>
      <c r="J399" s="10">
        <f t="shared" ref="J399:O399" si="367">+J330-J473</f>
        <v>125998.04709629848</v>
      </c>
      <c r="K399" s="10">
        <f t="shared" si="367"/>
        <v>137449.8185642985</v>
      </c>
      <c r="L399" s="10">
        <f t="shared" si="367"/>
        <v>153733.45423815172</v>
      </c>
      <c r="M399" s="10">
        <f t="shared" si="367"/>
        <v>206263.33784099971</v>
      </c>
      <c r="N399" s="10">
        <f t="shared" si="367"/>
        <v>234162.49544954917</v>
      </c>
      <c r="O399" s="10">
        <f t="shared" si="367"/>
        <v>232947.70517471631</v>
      </c>
      <c r="P399" s="10">
        <f t="shared" si="353"/>
        <v>230186.23425450036</v>
      </c>
      <c r="Q399" s="10">
        <f t="shared" si="353"/>
        <v>199467.86081220023</v>
      </c>
      <c r="R399" s="10">
        <f t="shared" si="353"/>
        <v>200217.33469620021</v>
      </c>
      <c r="S399" s="10">
        <f t="shared" si="353"/>
        <v>178078.83849225019</v>
      </c>
      <c r="T399" s="10">
        <f t="shared" ref="T399" si="368">+T330-T473</f>
        <v>146494.18322055007</v>
      </c>
    </row>
    <row r="400" spans="2:20" ht="15" customHeight="1">
      <c r="B400" s="11" t="s">
        <v>338</v>
      </c>
      <c r="C400" s="10">
        <f t="shared" si="351"/>
        <v>9237.8642064694359</v>
      </c>
      <c r="D400" s="10">
        <f t="shared" si="351"/>
        <v>19113.548347350021</v>
      </c>
      <c r="E400" s="10">
        <f t="shared" si="351"/>
        <v>18798.644197799993</v>
      </c>
      <c r="F400" s="10">
        <f t="shared" si="351"/>
        <v>31268.118920849985</v>
      </c>
      <c r="G400" s="10">
        <f t="shared" si="351"/>
        <v>52533.652597650012</v>
      </c>
      <c r="H400" s="10">
        <f t="shared" si="351"/>
        <v>52533.652597650012</v>
      </c>
      <c r="I400" s="10">
        <f t="shared" si="351"/>
        <v>33523.867457549437</v>
      </c>
      <c r="J400" s="10">
        <f t="shared" ref="J400:O400" si="369">+J331-J474</f>
        <v>1847.1266837999992</v>
      </c>
      <c r="K400" s="10">
        <f t="shared" si="369"/>
        <v>3140.1210262500008</v>
      </c>
      <c r="L400" s="10">
        <f t="shared" si="369"/>
        <v>2067.8265589499997</v>
      </c>
      <c r="M400" s="10">
        <f t="shared" si="369"/>
        <v>3417.8938834500004</v>
      </c>
      <c r="N400" s="10">
        <f t="shared" si="369"/>
        <v>7291.4602680000025</v>
      </c>
      <c r="O400" s="10">
        <f t="shared" si="369"/>
        <v>16201.109104650037</v>
      </c>
      <c r="P400" s="10">
        <f t="shared" si="353"/>
        <v>95455.874160900014</v>
      </c>
      <c r="Q400" s="10">
        <f t="shared" si="353"/>
        <v>143575.78412610019</v>
      </c>
      <c r="R400" s="10">
        <f t="shared" si="353"/>
        <v>176273.90189505043</v>
      </c>
      <c r="S400" s="10">
        <f t="shared" si="353"/>
        <v>250548.64829685085</v>
      </c>
      <c r="T400" s="10">
        <f t="shared" ref="T400" si="370">+T331-T474</f>
        <v>299330.26399665128</v>
      </c>
    </row>
    <row r="401" spans="2:20" ht="15" customHeight="1">
      <c r="B401" s="11" t="s">
        <v>339</v>
      </c>
      <c r="C401" s="10">
        <f t="shared" si="351"/>
        <v>5019.3239342547804</v>
      </c>
      <c r="D401" s="10">
        <f t="shared" si="351"/>
        <v>3357.8705816999991</v>
      </c>
      <c r="E401" s="10">
        <f t="shared" si="351"/>
        <v>1668.3002379</v>
      </c>
      <c r="F401" s="10">
        <f t="shared" si="351"/>
        <v>3015.7673679</v>
      </c>
      <c r="G401" s="10">
        <f t="shared" si="351"/>
        <v>3652.7377868999993</v>
      </c>
      <c r="H401" s="10">
        <f t="shared" si="351"/>
        <v>3652.7377868999993</v>
      </c>
      <c r="I401" s="10">
        <f t="shared" si="351"/>
        <v>3059.0026811999996</v>
      </c>
      <c r="J401" s="10">
        <f t="shared" ref="J401:O401" si="371">+J332-J475</f>
        <v>757.44438119999995</v>
      </c>
      <c r="K401" s="10">
        <f t="shared" si="371"/>
        <v>1420.2082147499996</v>
      </c>
      <c r="L401" s="10">
        <f t="shared" si="371"/>
        <v>1022.8470061499997</v>
      </c>
      <c r="M401" s="10">
        <f t="shared" si="371"/>
        <v>2211.3753164999998</v>
      </c>
      <c r="N401" s="10">
        <f t="shared" si="371"/>
        <v>2116.7076410999998</v>
      </c>
      <c r="O401" s="10">
        <f t="shared" si="371"/>
        <v>360.08317260000013</v>
      </c>
      <c r="P401" s="10">
        <f t="shared" si="353"/>
        <v>0</v>
      </c>
      <c r="Q401" s="10">
        <f t="shared" si="353"/>
        <v>72.203024700000014</v>
      </c>
      <c r="R401" s="10">
        <f t="shared" si="353"/>
        <v>0</v>
      </c>
      <c r="S401" s="10">
        <f t="shared" si="353"/>
        <v>0.51488999999999985</v>
      </c>
      <c r="T401" s="10">
        <f t="shared" ref="T401" si="372">+T332-T475</f>
        <v>0</v>
      </c>
    </row>
    <row r="402" spans="2:20" ht="15" customHeight="1">
      <c r="B402" s="11" t="s">
        <v>340</v>
      </c>
      <c r="C402" s="10">
        <f t="shared" ref="C402:I411" si="373">+C333-C476</f>
        <v>3282.9606468792972</v>
      </c>
      <c r="D402" s="10">
        <f t="shared" si="373"/>
        <v>4064.0422166999997</v>
      </c>
      <c r="E402" s="10">
        <f t="shared" si="373"/>
        <v>3739.9086638999997</v>
      </c>
      <c r="F402" s="10">
        <f t="shared" si="373"/>
        <v>6973.2530991000494</v>
      </c>
      <c r="G402" s="10">
        <f t="shared" si="373"/>
        <v>6783.4672195500534</v>
      </c>
      <c r="H402" s="10">
        <f t="shared" si="373"/>
        <v>6783.4672195500534</v>
      </c>
      <c r="I402" s="10">
        <f t="shared" si="373"/>
        <v>8607.9027010495047</v>
      </c>
      <c r="J402" s="10">
        <f t="shared" ref="J402:O402" si="374">+J333-J476</f>
        <v>9113.4912132000609</v>
      </c>
      <c r="K402" s="10">
        <f t="shared" si="374"/>
        <v>9393.1897590000517</v>
      </c>
      <c r="L402" s="10">
        <f t="shared" si="374"/>
        <v>9912.1370922000388</v>
      </c>
      <c r="M402" s="10">
        <f t="shared" si="374"/>
        <v>10386.842502150073</v>
      </c>
      <c r="N402" s="10">
        <f t="shared" si="374"/>
        <v>8259.1960230000223</v>
      </c>
      <c r="O402" s="10">
        <f t="shared" si="374"/>
        <v>6271.1593928995899</v>
      </c>
      <c r="P402" s="10">
        <f t="shared" si="353"/>
        <v>5184.1699649999937</v>
      </c>
      <c r="Q402" s="10">
        <f t="shared" si="353"/>
        <v>4066.1893080000009</v>
      </c>
      <c r="R402" s="10">
        <f t="shared" si="353"/>
        <v>3632.0083154999993</v>
      </c>
      <c r="S402" s="10">
        <f t="shared" si="353"/>
        <v>3595.5541035000006</v>
      </c>
      <c r="T402" s="10">
        <f t="shared" ref="T402" si="375">+T333-T476</f>
        <v>3957.4702845000011</v>
      </c>
    </row>
    <row r="403" spans="2:20" ht="15" customHeight="1">
      <c r="B403" s="11" t="s">
        <v>341</v>
      </c>
      <c r="C403" s="10">
        <f t="shared" si="373"/>
        <v>10713.097809558192</v>
      </c>
      <c r="D403" s="10">
        <f t="shared" si="373"/>
        <v>10841.5701801</v>
      </c>
      <c r="E403" s="10">
        <f t="shared" si="373"/>
        <v>14666.386779450026</v>
      </c>
      <c r="F403" s="10">
        <f t="shared" si="373"/>
        <v>12129.897044700003</v>
      </c>
      <c r="G403" s="10">
        <f t="shared" si="373"/>
        <v>10797.166066499998</v>
      </c>
      <c r="H403" s="10">
        <f t="shared" si="373"/>
        <v>10797.166066499998</v>
      </c>
      <c r="I403" s="10">
        <f t="shared" si="373"/>
        <v>13559.260003650023</v>
      </c>
      <c r="J403" s="10">
        <f t="shared" ref="J403:O403" si="376">+J334-J477</f>
        <v>21884.022119250054</v>
      </c>
      <c r="K403" s="10">
        <f t="shared" si="376"/>
        <v>15718.518154350022</v>
      </c>
      <c r="L403" s="10">
        <f t="shared" si="376"/>
        <v>12413.210118299998</v>
      </c>
      <c r="M403" s="10">
        <f t="shared" si="376"/>
        <v>15528.577807799971</v>
      </c>
      <c r="N403" s="10">
        <f t="shared" si="376"/>
        <v>18207.493839899944</v>
      </c>
      <c r="O403" s="10">
        <f t="shared" si="376"/>
        <v>33940.722401548759</v>
      </c>
      <c r="P403" s="10">
        <f t="shared" si="353"/>
        <v>27906.319728449977</v>
      </c>
      <c r="Q403" s="10">
        <f t="shared" si="353"/>
        <v>27378.660456449958</v>
      </c>
      <c r="R403" s="10">
        <f t="shared" si="353"/>
        <v>30558.574756349961</v>
      </c>
      <c r="S403" s="10">
        <f t="shared" si="353"/>
        <v>34713.608333849974</v>
      </c>
      <c r="T403" s="10">
        <f t="shared" ref="T403" si="377">+T334-T477</f>
        <v>34791.796954799982</v>
      </c>
    </row>
    <row r="404" spans="2:20" ht="15" customHeight="1">
      <c r="B404" s="11" t="s">
        <v>342</v>
      </c>
      <c r="C404" s="10">
        <f t="shared" si="373"/>
        <v>67436.188642778929</v>
      </c>
      <c r="D404" s="10">
        <f t="shared" si="373"/>
        <v>44943.211153349737</v>
      </c>
      <c r="E404" s="10">
        <f t="shared" si="373"/>
        <v>45866.57626259976</v>
      </c>
      <c r="F404" s="10">
        <f t="shared" si="373"/>
        <v>32497.086691799996</v>
      </c>
      <c r="G404" s="10">
        <f t="shared" si="373"/>
        <v>66155.137057799991</v>
      </c>
      <c r="H404" s="10">
        <f t="shared" si="373"/>
        <v>66155.137057799991</v>
      </c>
      <c r="I404" s="10">
        <f t="shared" si="373"/>
        <v>154453.27818150097</v>
      </c>
      <c r="J404" s="10">
        <f t="shared" ref="J404:O404" si="378">+J335-J478</f>
        <v>200766.41854110151</v>
      </c>
      <c r="K404" s="10">
        <f t="shared" si="378"/>
        <v>208233.04438710154</v>
      </c>
      <c r="L404" s="10">
        <f t="shared" si="378"/>
        <v>233659.68476895092</v>
      </c>
      <c r="M404" s="10">
        <f t="shared" si="378"/>
        <v>308893.44983804808</v>
      </c>
      <c r="N404" s="10">
        <f t="shared" si="378"/>
        <v>408619.32221564953</v>
      </c>
      <c r="O404" s="10">
        <f t="shared" si="378"/>
        <v>442958.8372200015</v>
      </c>
      <c r="P404" s="10">
        <f t="shared" si="353"/>
        <v>383698.31411160016</v>
      </c>
      <c r="Q404" s="10">
        <f t="shared" si="353"/>
        <v>334732.14638910023</v>
      </c>
      <c r="R404" s="10">
        <f t="shared" si="353"/>
        <v>351441.30518009991</v>
      </c>
      <c r="S404" s="10">
        <f t="shared" si="353"/>
        <v>299570.09203530021</v>
      </c>
      <c r="T404" s="10">
        <f t="shared" ref="T404" si="379">+T335-T478</f>
        <v>268667.51412104978</v>
      </c>
    </row>
    <row r="405" spans="2:20" ht="15" customHeight="1">
      <c r="B405" s="11" t="s">
        <v>343</v>
      </c>
      <c r="C405" s="10">
        <f t="shared" si="373"/>
        <v>32446.803930441427</v>
      </c>
      <c r="D405" s="10">
        <f t="shared" si="373"/>
        <v>58966.83500129974</v>
      </c>
      <c r="E405" s="10">
        <f t="shared" si="373"/>
        <v>55122.607048949751</v>
      </c>
      <c r="F405" s="10">
        <f t="shared" si="373"/>
        <v>66576.942669149721</v>
      </c>
      <c r="G405" s="10">
        <f t="shared" si="373"/>
        <v>95394.630569850735</v>
      </c>
      <c r="H405" s="10">
        <f t="shared" si="373"/>
        <v>95394.630569850735</v>
      </c>
      <c r="I405" s="10">
        <f t="shared" si="373"/>
        <v>80426.639249551023</v>
      </c>
      <c r="J405" s="10">
        <f t="shared" ref="J405:O405" si="380">+J336-J479</f>
        <v>13266.709803450001</v>
      </c>
      <c r="K405" s="10">
        <f t="shared" si="380"/>
        <v>15922.082490300003</v>
      </c>
      <c r="L405" s="10">
        <f t="shared" si="380"/>
        <v>13915.169992800002</v>
      </c>
      <c r="M405" s="10">
        <f t="shared" si="380"/>
        <v>24039.318191400031</v>
      </c>
      <c r="N405" s="10">
        <f t="shared" si="380"/>
        <v>28383.07182615003</v>
      </c>
      <c r="O405" s="10">
        <f t="shared" si="380"/>
        <v>49808.707974000426</v>
      </c>
      <c r="P405" s="10">
        <f t="shared" si="353"/>
        <v>156348.9332478001</v>
      </c>
      <c r="Q405" s="10">
        <f t="shared" si="353"/>
        <v>211157.69167170033</v>
      </c>
      <c r="R405" s="10">
        <f t="shared" si="353"/>
        <v>227204.46507330041</v>
      </c>
      <c r="S405" s="10">
        <f t="shared" si="353"/>
        <v>336101.84904375102</v>
      </c>
      <c r="T405" s="10">
        <f t="shared" ref="T405" si="381">+T336-T479</f>
        <v>400232.15285760094</v>
      </c>
    </row>
    <row r="406" spans="2:20" ht="15" customHeight="1">
      <c r="B406" s="11" t="s">
        <v>344</v>
      </c>
      <c r="C406" s="10">
        <f t="shared" si="373"/>
        <v>5928.9169191140609</v>
      </c>
      <c r="D406" s="10">
        <f t="shared" si="373"/>
        <v>3329.2993356000006</v>
      </c>
      <c r="E406" s="10">
        <f t="shared" si="373"/>
        <v>1254.1227218999998</v>
      </c>
      <c r="F406" s="10">
        <f t="shared" si="373"/>
        <v>6841.5365137499975</v>
      </c>
      <c r="G406" s="10">
        <f t="shared" si="373"/>
        <v>2850.4387633499991</v>
      </c>
      <c r="H406" s="10">
        <f t="shared" si="373"/>
        <v>2850.4387633499991</v>
      </c>
      <c r="I406" s="10">
        <f t="shared" si="373"/>
        <v>1203.1280163000001</v>
      </c>
      <c r="J406" s="10">
        <f t="shared" ref="J406:O406" si="382">+J337-J480</f>
        <v>990.36259604999987</v>
      </c>
      <c r="K406" s="10">
        <f t="shared" si="382"/>
        <v>1731.0292866</v>
      </c>
      <c r="L406" s="10">
        <f t="shared" si="382"/>
        <v>1244.1750471</v>
      </c>
      <c r="M406" s="10">
        <f t="shared" si="382"/>
        <v>2360.0343573</v>
      </c>
      <c r="N406" s="10">
        <f t="shared" si="382"/>
        <v>1141.9178931000001</v>
      </c>
      <c r="O406" s="10">
        <f t="shared" si="382"/>
        <v>235.23007094999991</v>
      </c>
      <c r="P406" s="10">
        <f t="shared" si="353"/>
        <v>0.12872249999999996</v>
      </c>
      <c r="Q406" s="10">
        <f t="shared" si="353"/>
        <v>0.51488999999999985</v>
      </c>
      <c r="R406" s="10">
        <f t="shared" si="353"/>
        <v>-0.12872249999999996</v>
      </c>
      <c r="S406" s="10">
        <f t="shared" si="353"/>
        <v>0</v>
      </c>
      <c r="T406" s="10">
        <f t="shared" ref="T406" si="383">+T337-T480</f>
        <v>0.90105749999999984</v>
      </c>
    </row>
    <row r="407" spans="2:20" ht="15" customHeight="1">
      <c r="B407" s="11" t="s">
        <v>345</v>
      </c>
      <c r="C407" s="10">
        <f t="shared" si="373"/>
        <v>525.48101978452974</v>
      </c>
      <c r="D407" s="10">
        <f t="shared" si="373"/>
        <v>484.68912705000002</v>
      </c>
      <c r="E407" s="10">
        <f t="shared" si="373"/>
        <v>582.15780404999987</v>
      </c>
      <c r="F407" s="10">
        <f t="shared" si="373"/>
        <v>1251.4427194500004</v>
      </c>
      <c r="G407" s="10">
        <f t="shared" si="373"/>
        <v>1333.7272903499997</v>
      </c>
      <c r="H407" s="10">
        <f t="shared" si="373"/>
        <v>1333.7272903499997</v>
      </c>
      <c r="I407" s="10">
        <f t="shared" si="373"/>
        <v>1581.9634827</v>
      </c>
      <c r="J407" s="10">
        <f t="shared" ref="J407:O407" si="384">+J338-J481</f>
        <v>1930.1784408000012</v>
      </c>
      <c r="K407" s="10">
        <f t="shared" si="384"/>
        <v>1619.1591362999998</v>
      </c>
      <c r="L407" s="10">
        <f t="shared" si="384"/>
        <v>2250.6639979500032</v>
      </c>
      <c r="M407" s="10">
        <f t="shared" si="384"/>
        <v>1852.4454975000017</v>
      </c>
      <c r="N407" s="10">
        <f t="shared" si="384"/>
        <v>965.85125759999937</v>
      </c>
      <c r="O407" s="10">
        <f t="shared" si="384"/>
        <v>255.67892730000062</v>
      </c>
      <c r="P407" s="10">
        <f t="shared" si="353"/>
        <v>291.91688550000015</v>
      </c>
      <c r="Q407" s="10">
        <f t="shared" si="353"/>
        <v>253.92830130000004</v>
      </c>
      <c r="R407" s="10">
        <f t="shared" si="353"/>
        <v>201.32198999999991</v>
      </c>
      <c r="S407" s="10">
        <f t="shared" si="353"/>
        <v>233.91967590000002</v>
      </c>
      <c r="T407" s="10">
        <f t="shared" ref="T407" si="385">+T338-T481</f>
        <v>225.48062880000009</v>
      </c>
    </row>
    <row r="408" spans="2:20" ht="15" customHeight="1">
      <c r="B408" s="11" t="s">
        <v>346</v>
      </c>
      <c r="C408" s="10">
        <f t="shared" si="373"/>
        <v>692.17623320912162</v>
      </c>
      <c r="D408" s="10">
        <f t="shared" si="373"/>
        <v>702.40778909999995</v>
      </c>
      <c r="E408" s="10">
        <f t="shared" si="373"/>
        <v>723.39985440000009</v>
      </c>
      <c r="F408" s="10">
        <f t="shared" si="373"/>
        <v>1497.6090540000005</v>
      </c>
      <c r="G408" s="10">
        <f t="shared" si="373"/>
        <v>798.08722334999993</v>
      </c>
      <c r="H408" s="10">
        <f t="shared" si="373"/>
        <v>798.08722334999993</v>
      </c>
      <c r="I408" s="10">
        <f t="shared" si="373"/>
        <v>1080.7154932500025</v>
      </c>
      <c r="J408" s="10">
        <f t="shared" ref="J408:O408" si="386">+J339-J482</f>
        <v>1163.3553382499999</v>
      </c>
      <c r="K408" s="10">
        <f t="shared" si="386"/>
        <v>880.12979594999979</v>
      </c>
      <c r="L408" s="10">
        <f t="shared" si="386"/>
        <v>208.91146860000003</v>
      </c>
      <c r="M408" s="10">
        <f t="shared" si="386"/>
        <v>291.94520445000001</v>
      </c>
      <c r="N408" s="10">
        <f t="shared" si="386"/>
        <v>221.83520759999999</v>
      </c>
      <c r="O408" s="10">
        <f t="shared" si="386"/>
        <v>3440.5825112999992</v>
      </c>
      <c r="P408" s="10">
        <f t="shared" si="353"/>
        <v>4620.190352399999</v>
      </c>
      <c r="Q408" s="10">
        <f t="shared" si="353"/>
        <v>4763.6387063999991</v>
      </c>
      <c r="R408" s="10">
        <f t="shared" si="353"/>
        <v>5392.0516536000014</v>
      </c>
      <c r="S408" s="10">
        <f t="shared" si="353"/>
        <v>3347.2175076000058</v>
      </c>
      <c r="T408" s="10">
        <f t="shared" ref="T408" si="387">+T339-T482</f>
        <v>5099.7099838500071</v>
      </c>
    </row>
    <row r="409" spans="2:20" ht="15" customHeight="1">
      <c r="B409" s="11" t="s">
        <v>347</v>
      </c>
      <c r="C409" s="10">
        <f t="shared" si="373"/>
        <v>5699.5365065654769</v>
      </c>
      <c r="D409" s="10">
        <f t="shared" si="373"/>
        <v>3481.6475632500005</v>
      </c>
      <c r="E409" s="10">
        <f t="shared" si="373"/>
        <v>4054.1074141499994</v>
      </c>
      <c r="F409" s="10">
        <f t="shared" si="373"/>
        <v>7281.636166799999</v>
      </c>
      <c r="G409" s="10">
        <f t="shared" si="373"/>
        <v>11020.484157300001</v>
      </c>
      <c r="H409" s="10">
        <f t="shared" si="373"/>
        <v>11020.484157300001</v>
      </c>
      <c r="I409" s="10">
        <f t="shared" si="373"/>
        <v>44502.39837764985</v>
      </c>
      <c r="J409" s="10">
        <f t="shared" ref="J409:O409" si="388">+J340-J483</f>
        <v>89783.325881999335</v>
      </c>
      <c r="K409" s="10">
        <f t="shared" si="388"/>
        <v>135903.76351019851</v>
      </c>
      <c r="L409" s="10">
        <f t="shared" si="388"/>
        <v>153226.86941385188</v>
      </c>
      <c r="M409" s="10">
        <f t="shared" si="388"/>
        <v>191212.39259279938</v>
      </c>
      <c r="N409" s="10">
        <f t="shared" si="388"/>
        <v>166702.59108944959</v>
      </c>
      <c r="O409" s="10">
        <f t="shared" si="388"/>
        <v>161818.40891068336</v>
      </c>
      <c r="P409" s="10">
        <f t="shared" si="353"/>
        <v>166932.55126125028</v>
      </c>
      <c r="Q409" s="10">
        <f t="shared" si="353"/>
        <v>143965.12077405013</v>
      </c>
      <c r="R409" s="10">
        <f t="shared" si="353"/>
        <v>156669.5423785501</v>
      </c>
      <c r="S409" s="10">
        <f t="shared" si="353"/>
        <v>150213.10496805015</v>
      </c>
      <c r="T409" s="10">
        <f t="shared" ref="T409" si="389">+T340-T483</f>
        <v>128036.73345570004</v>
      </c>
    </row>
    <row r="410" spans="2:20" ht="15" customHeight="1">
      <c r="B410" s="11" t="s">
        <v>348</v>
      </c>
      <c r="C410" s="10">
        <f t="shared" si="373"/>
        <v>4734.0217711855857</v>
      </c>
      <c r="D410" s="10">
        <f t="shared" si="373"/>
        <v>5858.2793997000008</v>
      </c>
      <c r="E410" s="10">
        <f t="shared" si="373"/>
        <v>9341.7857158499974</v>
      </c>
      <c r="F410" s="10">
        <f t="shared" si="373"/>
        <v>15065.230871249994</v>
      </c>
      <c r="G410" s="10">
        <f t="shared" si="373"/>
        <v>34110.993950100004</v>
      </c>
      <c r="H410" s="10">
        <f t="shared" si="373"/>
        <v>34110.993950100004</v>
      </c>
      <c r="I410" s="10">
        <f t="shared" si="373"/>
        <v>24202.81121309966</v>
      </c>
      <c r="J410" s="10">
        <f t="shared" ref="J410:O410" si="390">+J341-J484</f>
        <v>693.74476484999991</v>
      </c>
      <c r="K410" s="10">
        <f t="shared" si="390"/>
        <v>5100.4926166500009</v>
      </c>
      <c r="L410" s="10">
        <f t="shared" si="390"/>
        <v>4645.0672627500007</v>
      </c>
      <c r="M410" s="10">
        <f t="shared" si="390"/>
        <v>3886.0112758499999</v>
      </c>
      <c r="N410" s="10">
        <f t="shared" si="390"/>
        <v>3056.8478665499988</v>
      </c>
      <c r="O410" s="10">
        <f t="shared" si="390"/>
        <v>10563.660877050032</v>
      </c>
      <c r="P410" s="10">
        <f t="shared" si="353"/>
        <v>70728.606291600008</v>
      </c>
      <c r="Q410" s="10">
        <f t="shared" si="353"/>
        <v>113352.17878260009</v>
      </c>
      <c r="R410" s="10">
        <f t="shared" si="353"/>
        <v>168569.91948240023</v>
      </c>
      <c r="S410" s="10">
        <f t="shared" si="353"/>
        <v>218963.52190080076</v>
      </c>
      <c r="T410" s="10">
        <f t="shared" ref="T410" si="391">+T341-T484</f>
        <v>253096.46303715068</v>
      </c>
    </row>
    <row r="411" spans="2:20" ht="15" customHeight="1">
      <c r="B411" s="11" t="s">
        <v>349</v>
      </c>
      <c r="C411" s="10">
        <f t="shared" si="373"/>
        <v>2181.0088385003992</v>
      </c>
      <c r="D411" s="10">
        <f t="shared" si="373"/>
        <v>1844.0888328000001</v>
      </c>
      <c r="E411" s="10">
        <f t="shared" si="373"/>
        <v>2044.9680173999996</v>
      </c>
      <c r="F411" s="10">
        <f t="shared" si="373"/>
        <v>1261.5216912000001</v>
      </c>
      <c r="G411" s="10">
        <f t="shared" si="373"/>
        <v>1952.1951372000003</v>
      </c>
      <c r="H411" s="10">
        <f t="shared" si="373"/>
        <v>1952.1951372000003</v>
      </c>
      <c r="I411" s="10">
        <f t="shared" si="373"/>
        <v>4480.9100329500016</v>
      </c>
      <c r="J411" s="10">
        <f t="shared" ref="J411:O411" si="392">+J342-J485</f>
        <v>3124.4580724499992</v>
      </c>
      <c r="K411" s="10">
        <f t="shared" si="392"/>
        <v>5113.8746077500018</v>
      </c>
      <c r="L411" s="10">
        <f t="shared" si="392"/>
        <v>3628.3217031000004</v>
      </c>
      <c r="M411" s="10">
        <f t="shared" si="392"/>
        <v>3916.2636378000007</v>
      </c>
      <c r="N411" s="10">
        <f t="shared" si="392"/>
        <v>3328.1279608500008</v>
      </c>
      <c r="O411" s="10">
        <f t="shared" si="392"/>
        <v>90.020793150000031</v>
      </c>
      <c r="P411" s="10">
        <f t="shared" si="353"/>
        <v>0</v>
      </c>
      <c r="Q411" s="10">
        <f t="shared" si="353"/>
        <v>0</v>
      </c>
      <c r="R411" s="10">
        <f t="shared" si="353"/>
        <v>0</v>
      </c>
      <c r="S411" s="10">
        <f t="shared" si="353"/>
        <v>0.64361250000000014</v>
      </c>
      <c r="T411" s="10">
        <f t="shared" ref="T411" si="393">+T342-T485</f>
        <v>0</v>
      </c>
    </row>
    <row r="412" spans="2:20" ht="15" customHeight="1">
      <c r="B412" s="11" t="s">
        <v>305</v>
      </c>
      <c r="C412" s="10">
        <f t="shared" ref="C412:I421" si="394">+C343-C486</f>
        <v>369648.78561815858</v>
      </c>
      <c r="D412" s="10">
        <f t="shared" si="394"/>
        <v>423295.26247740001</v>
      </c>
      <c r="E412" s="10">
        <f t="shared" si="394"/>
        <v>387717.93483680004</v>
      </c>
      <c r="F412" s="10">
        <f t="shared" si="394"/>
        <v>472190.39838530007</v>
      </c>
      <c r="G412" s="10">
        <f t="shared" si="394"/>
        <v>556746.88107610005</v>
      </c>
      <c r="H412" s="10">
        <f t="shared" si="394"/>
        <v>556746.88107610005</v>
      </c>
      <c r="I412" s="10">
        <f t="shared" si="394"/>
        <v>602141.98747719999</v>
      </c>
      <c r="J412" s="10">
        <f t="shared" ref="J412:O412" si="395">+J343-J486</f>
        <v>699676.14446640003</v>
      </c>
      <c r="K412" s="10">
        <f t="shared" si="395"/>
        <v>766673.01483509992</v>
      </c>
      <c r="L412" s="10">
        <f t="shared" si="395"/>
        <v>834342.41101409995</v>
      </c>
      <c r="M412" s="10">
        <f t="shared" si="395"/>
        <v>938144.75714320003</v>
      </c>
      <c r="N412" s="10">
        <f t="shared" si="395"/>
        <v>1025520.6287310997</v>
      </c>
      <c r="O412" s="10">
        <f t="shared" si="395"/>
        <v>1176130.3083041001</v>
      </c>
      <c r="P412" s="10">
        <f t="shared" ref="P412:S431" si="396">+P343-P486</f>
        <v>1357304.9939385003</v>
      </c>
      <c r="Q412" s="10">
        <f t="shared" si="396"/>
        <v>1368336.0769295986</v>
      </c>
      <c r="R412" s="10">
        <f t="shared" si="396"/>
        <v>1443436.298847399</v>
      </c>
      <c r="S412" s="10">
        <f t="shared" si="396"/>
        <v>1590519.7569025988</v>
      </c>
      <c r="T412" s="10">
        <f t="shared" ref="T412" si="397">+T343-T486</f>
        <v>1698036.0777024995</v>
      </c>
    </row>
    <row r="413" spans="2:20" ht="15" customHeight="1">
      <c r="B413" s="11" t="s">
        <v>306</v>
      </c>
      <c r="C413" s="10">
        <f t="shared" si="394"/>
        <v>93798.754603322246</v>
      </c>
      <c r="D413" s="10">
        <f t="shared" si="394"/>
        <v>123163.10273950001</v>
      </c>
      <c r="E413" s="10">
        <f t="shared" si="394"/>
        <v>78186.291677199988</v>
      </c>
      <c r="F413" s="10">
        <f t="shared" si="394"/>
        <v>65587.362256099994</v>
      </c>
      <c r="G413" s="10">
        <f t="shared" si="394"/>
        <v>65039.188135699995</v>
      </c>
      <c r="H413" s="10">
        <f t="shared" si="394"/>
        <v>65039.188135699995</v>
      </c>
      <c r="I413" s="10">
        <f t="shared" si="394"/>
        <v>78145.009078699994</v>
      </c>
      <c r="J413" s="10">
        <f t="shared" ref="J413:O413" si="398">+J344-J487</f>
        <v>81582.408710699994</v>
      </c>
      <c r="K413" s="10">
        <f t="shared" si="398"/>
        <v>64629.096827600013</v>
      </c>
      <c r="L413" s="10">
        <f t="shared" si="398"/>
        <v>70577.370761400001</v>
      </c>
      <c r="M413" s="10">
        <f t="shared" si="398"/>
        <v>96055.221676299989</v>
      </c>
      <c r="N413" s="10">
        <f t="shared" si="398"/>
        <v>145621.24573770002</v>
      </c>
      <c r="O413" s="10">
        <f t="shared" si="398"/>
        <v>143326.85706750007</v>
      </c>
      <c r="P413" s="10">
        <f t="shared" si="396"/>
        <v>152853.20640220019</v>
      </c>
      <c r="Q413" s="10">
        <f t="shared" si="396"/>
        <v>171092.56177210013</v>
      </c>
      <c r="R413" s="10">
        <f t="shared" si="396"/>
        <v>195806.51402550004</v>
      </c>
      <c r="S413" s="10">
        <f t="shared" si="396"/>
        <v>230334.2086352999</v>
      </c>
      <c r="T413" s="10">
        <f t="shared" ref="T413" si="399">+T344-T487</f>
        <v>257174.23833150015</v>
      </c>
    </row>
    <row r="414" spans="2:20" ht="15" customHeight="1">
      <c r="B414" s="11" t="s">
        <v>60</v>
      </c>
      <c r="C414" s="10">
        <f t="shared" si="394"/>
        <v>0</v>
      </c>
      <c r="D414" s="10">
        <f t="shared" si="394"/>
        <v>0</v>
      </c>
      <c r="E414" s="10">
        <f t="shared" si="394"/>
        <v>0</v>
      </c>
      <c r="F414" s="10">
        <f t="shared" si="394"/>
        <v>0</v>
      </c>
      <c r="G414" s="10">
        <f t="shared" si="394"/>
        <v>0</v>
      </c>
      <c r="H414" s="10">
        <f t="shared" si="394"/>
        <v>961509.61612299993</v>
      </c>
      <c r="I414" s="10">
        <f t="shared" si="394"/>
        <v>1159054.8860114003</v>
      </c>
      <c r="J414" s="10">
        <f t="shared" ref="J414:O414" si="400">+J345-J488</f>
        <v>1366280.9908592999</v>
      </c>
      <c r="K414" s="10">
        <f t="shared" si="400"/>
        <v>1611641.6401876998</v>
      </c>
      <c r="L414" s="10">
        <f t="shared" si="400"/>
        <v>3483166.6702061999</v>
      </c>
      <c r="M414" s="10">
        <f t="shared" si="400"/>
        <v>3072091.7371687056</v>
      </c>
      <c r="N414" s="10">
        <f t="shared" si="400"/>
        <v>4120592.5770629006</v>
      </c>
      <c r="O414" s="10">
        <f t="shared" si="400"/>
        <v>5320695.1313081002</v>
      </c>
      <c r="P414" s="10">
        <f t="shared" si="396"/>
        <v>6227539.0653433986</v>
      </c>
      <c r="Q414" s="10">
        <f t="shared" si="396"/>
        <v>6758715.4891618993</v>
      </c>
      <c r="R414" s="10">
        <f t="shared" si="396"/>
        <v>7064827.5841984004</v>
      </c>
      <c r="S414" s="10">
        <f t="shared" si="396"/>
        <v>7889435.2960412046</v>
      </c>
      <c r="T414" s="10">
        <f t="shared" ref="T414" si="401">+T345-T488</f>
        <v>8782907.5890908055</v>
      </c>
    </row>
    <row r="415" spans="2:20" ht="15" customHeight="1">
      <c r="B415" s="11" t="s">
        <v>58</v>
      </c>
      <c r="C415" s="10">
        <f t="shared" si="394"/>
        <v>599694.25036325899</v>
      </c>
      <c r="D415" s="10">
        <f t="shared" si="394"/>
        <v>1288077.9919333998</v>
      </c>
      <c r="E415" s="10">
        <f t="shared" si="394"/>
        <v>1683100.4741578661</v>
      </c>
      <c r="F415" s="10">
        <f t="shared" si="394"/>
        <v>1562569.4956250999</v>
      </c>
      <c r="G415" s="10">
        <f t="shared" si="394"/>
        <v>1672406.5650709998</v>
      </c>
      <c r="H415" s="10">
        <f t="shared" si="394"/>
        <v>1672406.5650709998</v>
      </c>
      <c r="I415" s="10">
        <f t="shared" si="394"/>
        <v>1932825.6844051899</v>
      </c>
      <c r="J415" s="10">
        <f t="shared" ref="J415:O415" si="402">+J346-J489</f>
        <v>2267864.9444666998</v>
      </c>
      <c r="K415" s="10">
        <f t="shared" si="402"/>
        <v>2471879.1214309996</v>
      </c>
      <c r="L415" s="10">
        <f t="shared" si="402"/>
        <v>2436051.1378198001</v>
      </c>
      <c r="M415" s="10">
        <f t="shared" si="402"/>
        <v>2925016.2017766996</v>
      </c>
      <c r="N415" s="10">
        <f t="shared" si="402"/>
        <v>3141495.0570468004</v>
      </c>
      <c r="O415" s="10">
        <f t="shared" si="402"/>
        <v>3346532.3968392005</v>
      </c>
      <c r="P415" s="10">
        <f t="shared" si="396"/>
        <v>3458824.2245970005</v>
      </c>
      <c r="Q415" s="10">
        <f t="shared" si="396"/>
        <v>3567626.3841765998</v>
      </c>
      <c r="R415" s="10">
        <f t="shared" si="396"/>
        <v>3592318.7319576</v>
      </c>
      <c r="S415" s="10">
        <f t="shared" si="396"/>
        <v>3453418.4717183001</v>
      </c>
      <c r="T415" s="10">
        <f t="shared" ref="T415" si="403">+T346-T489</f>
        <v>3457349.7298535001</v>
      </c>
    </row>
    <row r="416" spans="2:20" ht="15" customHeight="1">
      <c r="B416" s="11" t="s">
        <v>56</v>
      </c>
      <c r="C416" s="10">
        <f t="shared" si="394"/>
        <v>593307.80983565713</v>
      </c>
      <c r="D416" s="10">
        <f t="shared" si="394"/>
        <v>628847.93927179999</v>
      </c>
      <c r="E416" s="10">
        <f t="shared" si="394"/>
        <v>776310.49912949977</v>
      </c>
      <c r="F416" s="10">
        <f t="shared" si="394"/>
        <v>1017892.4391034</v>
      </c>
      <c r="G416" s="10">
        <f t="shared" si="394"/>
        <v>1363276.9246646001</v>
      </c>
      <c r="H416" s="10">
        <f t="shared" si="394"/>
        <v>1363276.9246646001</v>
      </c>
      <c r="I416" s="10">
        <f t="shared" si="394"/>
        <v>1386432.4417657</v>
      </c>
      <c r="J416" s="10">
        <f t="shared" ref="J416:O416" si="404">+J347-J490</f>
        <v>1689193.4553306997</v>
      </c>
      <c r="K416" s="10">
        <f t="shared" si="404"/>
        <v>1905954.0820506001</v>
      </c>
      <c r="L416" s="10">
        <f t="shared" si="404"/>
        <v>2043377.7427375</v>
      </c>
      <c r="M416" s="10">
        <f t="shared" si="404"/>
        <v>2300862.4272595001</v>
      </c>
      <c r="N416" s="10">
        <f t="shared" si="404"/>
        <v>2626893.0322692995</v>
      </c>
      <c r="O416" s="10">
        <f t="shared" si="404"/>
        <v>2882575.4439894999</v>
      </c>
      <c r="P416" s="10">
        <f t="shared" si="396"/>
        <v>3133748.5677109002</v>
      </c>
      <c r="Q416" s="10">
        <f t="shared" si="396"/>
        <v>3218394.0507501001</v>
      </c>
      <c r="R416" s="10">
        <f t="shared" si="396"/>
        <v>4986235.5907310992</v>
      </c>
      <c r="S416" s="10">
        <f t="shared" si="396"/>
        <v>5188471.6608291995</v>
      </c>
      <c r="T416" s="10">
        <f t="shared" ref="T416" si="405">+T347-T490</f>
        <v>5445669.3250014</v>
      </c>
    </row>
    <row r="417" spans="2:20" ht="15" customHeight="1">
      <c r="B417" s="11" t="s">
        <v>63</v>
      </c>
      <c r="C417" s="10">
        <f t="shared" si="394"/>
        <v>336394.5325651429</v>
      </c>
      <c r="D417" s="10">
        <f t="shared" si="394"/>
        <v>323846.63219999999</v>
      </c>
      <c r="E417" s="10">
        <f t="shared" si="394"/>
        <v>380881.86111717601</v>
      </c>
      <c r="F417" s="10">
        <f t="shared" si="394"/>
        <v>471440.23084619996</v>
      </c>
      <c r="G417" s="10">
        <f t="shared" si="394"/>
        <v>552512.89788229996</v>
      </c>
      <c r="H417" s="10">
        <f t="shared" si="394"/>
        <v>552512.89788229996</v>
      </c>
      <c r="I417" s="10">
        <f t="shared" si="394"/>
        <v>561507.96930570004</v>
      </c>
      <c r="J417" s="10">
        <f t="shared" ref="J417:O417" si="406">+J348-J491</f>
        <v>747728.21307898988</v>
      </c>
      <c r="K417" s="10">
        <f t="shared" si="406"/>
        <v>829040.85929819988</v>
      </c>
      <c r="L417" s="10">
        <f t="shared" si="406"/>
        <v>1016494.1636368</v>
      </c>
      <c r="M417" s="10">
        <f t="shared" si="406"/>
        <v>1156556.8085277998</v>
      </c>
      <c r="N417" s="10">
        <f t="shared" si="406"/>
        <v>1344185.9982565003</v>
      </c>
      <c r="O417" s="10">
        <f t="shared" si="406"/>
        <v>1491664.5357657999</v>
      </c>
      <c r="P417" s="10">
        <f t="shared" si="396"/>
        <v>1704552.0359180002</v>
      </c>
      <c r="Q417" s="10">
        <f t="shared" si="396"/>
        <v>1766976.1958291999</v>
      </c>
      <c r="R417" s="10">
        <f t="shared" si="396"/>
        <v>1820449.2963434998</v>
      </c>
      <c r="S417" s="10">
        <f t="shared" si="396"/>
        <v>1947698.6467374</v>
      </c>
      <c r="T417" s="10">
        <f t="shared" ref="T417" si="407">+T348-T491</f>
        <v>1907097.3029683996</v>
      </c>
    </row>
    <row r="418" spans="2:20" ht="15" customHeight="1">
      <c r="B418" s="11" t="s">
        <v>57</v>
      </c>
      <c r="C418" s="10">
        <f t="shared" si="394"/>
        <v>2814551.3015720411</v>
      </c>
      <c r="D418" s="10">
        <f t="shared" si="394"/>
        <v>3554803.6311616995</v>
      </c>
      <c r="E418" s="10">
        <f t="shared" si="394"/>
        <v>3679787.886996299</v>
      </c>
      <c r="F418" s="10">
        <f t="shared" si="394"/>
        <v>3947361.5504439999</v>
      </c>
      <c r="G418" s="10">
        <f t="shared" si="394"/>
        <v>4931027.6342866002</v>
      </c>
      <c r="H418" s="10">
        <f t="shared" si="394"/>
        <v>4931027.6342866002</v>
      </c>
      <c r="I418" s="10">
        <f t="shared" si="394"/>
        <v>5115909.0353630995</v>
      </c>
      <c r="J418" s="10">
        <f t="shared" ref="J418:O418" si="408">+J349-J492</f>
        <v>6065953.7049187999</v>
      </c>
      <c r="K418" s="10">
        <f t="shared" si="408"/>
        <v>7357771.4908620985</v>
      </c>
      <c r="L418" s="10">
        <f t="shared" si="408"/>
        <v>7588718.5243190993</v>
      </c>
      <c r="M418" s="10">
        <f t="shared" si="408"/>
        <v>8263276.8609172003</v>
      </c>
      <c r="N418" s="10">
        <f t="shared" si="408"/>
        <v>9651975.2948040981</v>
      </c>
      <c r="O418" s="10">
        <f t="shared" si="408"/>
        <v>10361828.6836986</v>
      </c>
      <c r="P418" s="10">
        <f t="shared" si="396"/>
        <v>10594261.050877601</v>
      </c>
      <c r="Q418" s="10">
        <f t="shared" si="396"/>
        <v>11369754.1755524</v>
      </c>
      <c r="R418" s="10">
        <f t="shared" si="396"/>
        <v>11961606.445172301</v>
      </c>
      <c r="S418" s="10">
        <f t="shared" si="396"/>
        <v>13257761.6543817</v>
      </c>
      <c r="T418" s="10">
        <f t="shared" ref="T418" si="409">+T349-T492</f>
        <v>13942686.048838701</v>
      </c>
    </row>
    <row r="419" spans="2:20" ht="15" customHeight="1">
      <c r="B419" s="11" t="s">
        <v>53</v>
      </c>
      <c r="C419" s="10">
        <f t="shared" si="394"/>
        <v>322461.67719862855</v>
      </c>
      <c r="D419" s="10">
        <f t="shared" si="394"/>
        <v>739471.31845210027</v>
      </c>
      <c r="E419" s="10">
        <f t="shared" si="394"/>
        <v>898521.88069579971</v>
      </c>
      <c r="F419" s="10">
        <f t="shared" si="394"/>
        <v>948261.90691520006</v>
      </c>
      <c r="G419" s="10">
        <f t="shared" si="394"/>
        <v>1093209.6423460001</v>
      </c>
      <c r="H419" s="10">
        <f t="shared" si="394"/>
        <v>1093209.6423460001</v>
      </c>
      <c r="I419" s="10">
        <f t="shared" si="394"/>
        <v>1231350.6233058001</v>
      </c>
      <c r="J419" s="10">
        <f t="shared" ref="J419:O419" si="410">+J350-J493</f>
        <v>1620198.8588709</v>
      </c>
      <c r="K419" s="10">
        <f t="shared" si="410"/>
        <v>1828911.8773597002</v>
      </c>
      <c r="L419" s="10">
        <f t="shared" si="410"/>
        <v>1963382.6486268998</v>
      </c>
      <c r="M419" s="10">
        <f t="shared" si="410"/>
        <v>2566795.3947941004</v>
      </c>
      <c r="N419" s="10">
        <f t="shared" si="410"/>
        <v>3074061.4047134998</v>
      </c>
      <c r="O419" s="10">
        <f t="shared" si="410"/>
        <v>3514955.5990228998</v>
      </c>
      <c r="P419" s="10">
        <f t="shared" si="396"/>
        <v>3999530.9711674992</v>
      </c>
      <c r="Q419" s="10">
        <f t="shared" si="396"/>
        <v>4469441.5413311999</v>
      </c>
      <c r="R419" s="10">
        <f t="shared" si="396"/>
        <v>4362653.7835979993</v>
      </c>
      <c r="S419" s="10">
        <f t="shared" si="396"/>
        <v>4598862.1726946998</v>
      </c>
      <c r="T419" s="10">
        <f t="shared" ref="T419" si="411">+T350-T493</f>
        <v>4798349.2363957986</v>
      </c>
    </row>
    <row r="420" spans="2:20" ht="15" customHeight="1">
      <c r="B420" s="11" t="s">
        <v>240</v>
      </c>
      <c r="C420" s="10">
        <f t="shared" si="394"/>
        <v>119543.50602012797</v>
      </c>
      <c r="D420" s="10">
        <f t="shared" si="394"/>
        <v>138269.61939126402</v>
      </c>
      <c r="E420" s="10">
        <f t="shared" si="394"/>
        <v>125456.54660769997</v>
      </c>
      <c r="F420" s="10">
        <f t="shared" si="394"/>
        <v>120871.25873601994</v>
      </c>
      <c r="G420" s="10">
        <f t="shared" si="394"/>
        <v>110660.669096</v>
      </c>
      <c r="H420" s="10">
        <f t="shared" si="394"/>
        <v>110660.669096</v>
      </c>
      <c r="I420" s="10">
        <f t="shared" si="394"/>
        <v>103122.6870637</v>
      </c>
      <c r="J420" s="10">
        <f t="shared" ref="J420:O420" si="412">+J351-J494</f>
        <v>135795.34168000001</v>
      </c>
      <c r="K420" s="10">
        <f t="shared" si="412"/>
        <v>153408.41404860001</v>
      </c>
      <c r="L420" s="10">
        <f t="shared" si="412"/>
        <v>140647.90248990001</v>
      </c>
      <c r="M420" s="10">
        <f t="shared" si="412"/>
        <v>217797.25297649993</v>
      </c>
      <c r="N420" s="10">
        <f t="shared" si="412"/>
        <v>282029.27051909995</v>
      </c>
      <c r="O420" s="10">
        <f t="shared" si="412"/>
        <v>299423.26429949998</v>
      </c>
      <c r="P420" s="10">
        <f t="shared" si="396"/>
        <v>286677.97979969997</v>
      </c>
      <c r="Q420" s="10">
        <f t="shared" si="396"/>
        <v>265634.57806740003</v>
      </c>
      <c r="R420" s="10">
        <f t="shared" si="396"/>
        <v>282664.69710420002</v>
      </c>
      <c r="S420" s="10">
        <f t="shared" si="396"/>
        <v>294594.83793179999</v>
      </c>
      <c r="T420" s="10">
        <f t="shared" ref="T420" si="413">+T351-T494</f>
        <v>241424.76691229999</v>
      </c>
    </row>
    <row r="421" spans="2:20" ht="15" customHeight="1">
      <c r="B421" s="11" t="s">
        <v>241</v>
      </c>
      <c r="C421" s="10">
        <f t="shared" si="394"/>
        <v>286800.44542485825</v>
      </c>
      <c r="D421" s="10">
        <f t="shared" si="394"/>
        <v>270841.57625616743</v>
      </c>
      <c r="E421" s="10">
        <f t="shared" si="394"/>
        <v>221734.02379550753</v>
      </c>
      <c r="F421" s="10">
        <f t="shared" si="394"/>
        <v>200488.88250721834</v>
      </c>
      <c r="G421" s="10">
        <f t="shared" si="394"/>
        <v>217270.71508434467</v>
      </c>
      <c r="H421" s="10">
        <f t="shared" si="394"/>
        <v>217270.71508434467</v>
      </c>
      <c r="I421" s="10">
        <f t="shared" si="394"/>
        <v>241864.1575802</v>
      </c>
      <c r="J421" s="10">
        <f t="shared" ref="J421:O421" si="414">+J352-J495</f>
        <v>334697.76715239993</v>
      </c>
      <c r="K421" s="10">
        <f t="shared" si="414"/>
        <v>512967.3178593</v>
      </c>
      <c r="L421" s="10">
        <f t="shared" si="414"/>
        <v>698858.0614102002</v>
      </c>
      <c r="M421" s="10">
        <f t="shared" si="414"/>
        <v>609359.40868869983</v>
      </c>
      <c r="N421" s="10">
        <f t="shared" si="414"/>
        <v>612512.94255979999</v>
      </c>
      <c r="O421" s="10">
        <f t="shared" si="414"/>
        <v>626491.12543390004</v>
      </c>
      <c r="P421" s="10">
        <f t="shared" si="396"/>
        <v>695744.58189499984</v>
      </c>
      <c r="Q421" s="10">
        <f t="shared" si="396"/>
        <v>692474.18651429994</v>
      </c>
      <c r="R421" s="10">
        <f t="shared" si="396"/>
        <v>745197.85958440008</v>
      </c>
      <c r="S421" s="10">
        <f t="shared" si="396"/>
        <v>803252.14752969996</v>
      </c>
      <c r="T421" s="10">
        <f t="shared" ref="T421" si="415">+T352-T495</f>
        <v>767726.31684700015</v>
      </c>
    </row>
    <row r="422" spans="2:20" ht="15" customHeight="1">
      <c r="B422" s="11" t="s">
        <v>242</v>
      </c>
      <c r="C422" s="10">
        <f t="shared" ref="C422:I431" si="416">+C353-C496</f>
        <v>63847.091710628571</v>
      </c>
      <c r="D422" s="10">
        <f t="shared" si="416"/>
        <v>63781.499206699998</v>
      </c>
      <c r="E422" s="10">
        <f t="shared" si="416"/>
        <v>69086.525694399985</v>
      </c>
      <c r="F422" s="10">
        <f t="shared" si="416"/>
        <v>64540.852320799997</v>
      </c>
      <c r="G422" s="10">
        <f t="shared" si="416"/>
        <v>36814.010891712001</v>
      </c>
      <c r="H422" s="10">
        <f t="shared" si="416"/>
        <v>36814.010891712001</v>
      </c>
      <c r="I422" s="10">
        <f t="shared" si="416"/>
        <v>29189.655585461998</v>
      </c>
      <c r="J422" s="10">
        <f t="shared" ref="J422:O422" si="417">+J353-J496</f>
        <v>29921.879339999996</v>
      </c>
      <c r="K422" s="10">
        <f t="shared" si="417"/>
        <v>20235.470048700001</v>
      </c>
      <c r="L422" s="10">
        <f t="shared" si="417"/>
        <v>15614.868627599999</v>
      </c>
      <c r="M422" s="10">
        <f t="shared" si="417"/>
        <v>17664.9524962</v>
      </c>
      <c r="N422" s="10">
        <f t="shared" si="417"/>
        <v>16388.472505199999</v>
      </c>
      <c r="O422" s="10">
        <f t="shared" si="417"/>
        <v>32929.882209699994</v>
      </c>
      <c r="P422" s="10">
        <f t="shared" si="396"/>
        <v>5661.8572074999984</v>
      </c>
      <c r="Q422" s="10">
        <f t="shared" si="396"/>
        <v>8055.3188651999972</v>
      </c>
      <c r="R422" s="10">
        <f t="shared" si="396"/>
        <v>8055.3188651999972</v>
      </c>
      <c r="S422" s="10">
        <f t="shared" si="396"/>
        <v>8055.3188651999972</v>
      </c>
      <c r="T422" s="10">
        <f t="shared" ref="T422" si="418">+T353-T496</f>
        <v>4108.7181952999999</v>
      </c>
    </row>
    <row r="423" spans="2:20" ht="15" customHeight="1">
      <c r="B423" s="11" t="s">
        <v>243</v>
      </c>
      <c r="C423" s="10">
        <f t="shared" si="416"/>
        <v>51722.933662774842</v>
      </c>
      <c r="D423" s="10">
        <f t="shared" si="416"/>
        <v>56984.126466599977</v>
      </c>
      <c r="E423" s="10">
        <f t="shared" si="416"/>
        <v>57664.205443999999</v>
      </c>
      <c r="F423" s="10">
        <f t="shared" si="416"/>
        <v>50020.894627713016</v>
      </c>
      <c r="G423" s="10">
        <f t="shared" si="416"/>
        <v>36673.171987000002</v>
      </c>
      <c r="H423" s="10">
        <f t="shared" si="416"/>
        <v>36673.171987000002</v>
      </c>
      <c r="I423" s="10">
        <f t="shared" si="416"/>
        <v>34455.292280491005</v>
      </c>
      <c r="J423" s="10">
        <f t="shared" ref="J423:O423" si="419">+J354-J497</f>
        <v>37551.885087100003</v>
      </c>
      <c r="K423" s="10">
        <f t="shared" si="419"/>
        <v>39920.167771500004</v>
      </c>
      <c r="L423" s="10">
        <f t="shared" si="419"/>
        <v>42744.417150000001</v>
      </c>
      <c r="M423" s="10">
        <f t="shared" si="419"/>
        <v>35230.601053299994</v>
      </c>
      <c r="N423" s="10">
        <f t="shared" si="419"/>
        <v>36065.994981700002</v>
      </c>
      <c r="O423" s="10">
        <f t="shared" si="419"/>
        <v>26123.922269199997</v>
      </c>
      <c r="P423" s="10">
        <f t="shared" si="396"/>
        <v>32366.596506199996</v>
      </c>
      <c r="Q423" s="10">
        <f t="shared" si="396"/>
        <v>42653.485206400001</v>
      </c>
      <c r="R423" s="10">
        <f t="shared" si="396"/>
        <v>46339.257537499994</v>
      </c>
      <c r="S423" s="10">
        <f t="shared" si="396"/>
        <v>46744.236417</v>
      </c>
      <c r="T423" s="10">
        <f t="shared" ref="T423" si="420">+T354-T497</f>
        <v>46532.422306400003</v>
      </c>
    </row>
    <row r="424" spans="2:20" ht="15" customHeight="1">
      <c r="B424" s="11" t="s">
        <v>244</v>
      </c>
      <c r="C424" s="10">
        <f t="shared" si="416"/>
        <v>50000.817622705115</v>
      </c>
      <c r="D424" s="10">
        <f t="shared" si="416"/>
        <v>50658.521656670971</v>
      </c>
      <c r="E424" s="10">
        <f t="shared" si="416"/>
        <v>39871.363499299994</v>
      </c>
      <c r="F424" s="10">
        <f t="shared" si="416"/>
        <v>38743.374889300001</v>
      </c>
      <c r="G424" s="10">
        <f t="shared" si="416"/>
        <v>39009.830048899996</v>
      </c>
      <c r="H424" s="10">
        <f t="shared" si="416"/>
        <v>39009.830048899996</v>
      </c>
      <c r="I424" s="10">
        <f t="shared" si="416"/>
        <v>36924.819999699997</v>
      </c>
      <c r="J424" s="10">
        <f t="shared" ref="J424:O424" si="421">+J355-J498</f>
        <v>33748.327440000008</v>
      </c>
      <c r="K424" s="10">
        <f t="shared" si="421"/>
        <v>15271.879257100001</v>
      </c>
      <c r="L424" s="10">
        <f t="shared" si="421"/>
        <v>9576.8280060000034</v>
      </c>
      <c r="M424" s="10">
        <f t="shared" si="421"/>
        <v>8723.2991280999995</v>
      </c>
      <c r="N424" s="10">
        <f t="shared" si="421"/>
        <v>7672.7212953000017</v>
      </c>
      <c r="O424" s="10">
        <f t="shared" si="421"/>
        <v>1614.7296047999996</v>
      </c>
      <c r="P424" s="10">
        <f t="shared" si="396"/>
        <v>1371.2541293999996</v>
      </c>
      <c r="Q424" s="10">
        <f t="shared" si="396"/>
        <v>1950.0713279999995</v>
      </c>
      <c r="R424" s="10">
        <f t="shared" si="396"/>
        <v>8055.3188651999972</v>
      </c>
      <c r="S424" s="10">
        <f t="shared" si="396"/>
        <v>1950.0713279999995</v>
      </c>
      <c r="T424" s="10">
        <f t="shared" ref="T424" si="422">+T355-T498</f>
        <v>1229.7805276999995</v>
      </c>
    </row>
    <row r="425" spans="2:20" ht="15" customHeight="1">
      <c r="B425" s="9" t="s">
        <v>27</v>
      </c>
      <c r="C425" s="10">
        <f t="shared" si="416"/>
        <v>260896.12459428568</v>
      </c>
      <c r="D425" s="10">
        <f t="shared" si="416"/>
        <v>257137.83720999997</v>
      </c>
      <c r="E425" s="10">
        <f t="shared" si="416"/>
        <v>261983.09679999997</v>
      </c>
      <c r="F425" s="10">
        <f t="shared" si="416"/>
        <v>242271.37774</v>
      </c>
      <c r="G425" s="10">
        <f t="shared" si="416"/>
        <v>145271.93669159993</v>
      </c>
      <c r="H425" s="10">
        <f t="shared" si="416"/>
        <v>145271.93669159993</v>
      </c>
      <c r="I425" s="10">
        <f t="shared" si="416"/>
        <v>124768.51554680002</v>
      </c>
      <c r="J425" s="10">
        <f t="shared" ref="J425:O425" si="423">+J356-J499</f>
        <v>115133.20954589995</v>
      </c>
      <c r="K425" s="10">
        <f t="shared" si="423"/>
        <v>33285.306224299988</v>
      </c>
      <c r="L425" s="10">
        <f t="shared" si="423"/>
        <v>69354.39280809999</v>
      </c>
      <c r="M425" s="10">
        <f t="shared" si="423"/>
        <v>75445.337092799949</v>
      </c>
      <c r="N425" s="10">
        <f t="shared" si="423"/>
        <v>69921.263510300007</v>
      </c>
      <c r="O425" s="10">
        <f t="shared" si="423"/>
        <v>51955.30234580001</v>
      </c>
      <c r="P425" s="10">
        <f t="shared" si="396"/>
        <v>33615.48827880001</v>
      </c>
      <c r="Q425" s="10">
        <f t="shared" si="396"/>
        <v>38609.144769599996</v>
      </c>
      <c r="R425" s="10">
        <f t="shared" si="396"/>
        <v>46535.907575999983</v>
      </c>
      <c r="S425" s="10">
        <f t="shared" si="396"/>
        <v>36497.333837000006</v>
      </c>
      <c r="T425" s="10">
        <f t="shared" ref="T425" si="424">+T356-T499</f>
        <v>31605.936415999997</v>
      </c>
    </row>
    <row r="426" spans="2:20" ht="15" customHeight="1">
      <c r="B426" s="9" t="s">
        <v>245</v>
      </c>
      <c r="C426" s="10">
        <f t="shared" si="416"/>
        <v>31542.733325661953</v>
      </c>
      <c r="D426" s="10">
        <f t="shared" si="416"/>
        <v>35961.263680000004</v>
      </c>
      <c r="E426" s="10">
        <f t="shared" si="416"/>
        <v>41431.037391999998</v>
      </c>
      <c r="F426" s="10">
        <f t="shared" si="416"/>
        <v>42180.160400000001</v>
      </c>
      <c r="G426" s="10">
        <f t="shared" si="416"/>
        <v>60908.398315899998</v>
      </c>
      <c r="H426" s="10">
        <f t="shared" si="416"/>
        <v>60908.398315899998</v>
      </c>
      <c r="I426" s="10">
        <f t="shared" si="416"/>
        <v>113397.54528510002</v>
      </c>
      <c r="J426" s="10">
        <f t="shared" ref="J426:O426" si="425">+J357-J500</f>
        <v>132323.91867819999</v>
      </c>
      <c r="K426" s="10">
        <f t="shared" si="425"/>
        <v>154664.31835159997</v>
      </c>
      <c r="L426" s="10">
        <f t="shared" si="425"/>
        <v>156736.09067499998</v>
      </c>
      <c r="M426" s="10">
        <f t="shared" si="425"/>
        <v>173174.13904069999</v>
      </c>
      <c r="N426" s="10">
        <f t="shared" si="425"/>
        <v>225665.59552590002</v>
      </c>
      <c r="O426" s="10">
        <f t="shared" si="425"/>
        <v>327592.88235689997</v>
      </c>
      <c r="P426" s="10">
        <f t="shared" si="396"/>
        <v>431382.43691669992</v>
      </c>
      <c r="Q426" s="10">
        <f t="shared" si="396"/>
        <v>629353.02517209994</v>
      </c>
      <c r="R426" s="10">
        <f t="shared" si="396"/>
        <v>600854.30633359926</v>
      </c>
      <c r="S426" s="10">
        <f t="shared" si="396"/>
        <v>621359.24441050016</v>
      </c>
      <c r="T426" s="10">
        <f t="shared" ref="T426" si="426">+T357-T500</f>
        <v>652600.73395280004</v>
      </c>
    </row>
    <row r="427" spans="2:20" ht="15" customHeight="1">
      <c r="B427" s="9" t="s">
        <v>247</v>
      </c>
      <c r="C427" s="10">
        <f t="shared" si="416"/>
        <v>1287920.9889484257</v>
      </c>
      <c r="D427" s="10">
        <f t="shared" si="416"/>
        <v>1624606.5461436666</v>
      </c>
      <c r="E427" s="10">
        <f t="shared" si="416"/>
        <v>1636014.1561935274</v>
      </c>
      <c r="F427" s="10">
        <f t="shared" si="416"/>
        <v>1374582.852709549</v>
      </c>
      <c r="G427" s="10">
        <f t="shared" si="416"/>
        <v>2071210.9896049434</v>
      </c>
      <c r="H427" s="10">
        <f t="shared" si="416"/>
        <v>2071210.9896049434</v>
      </c>
      <c r="I427" s="10">
        <f t="shared" si="416"/>
        <v>2716833.785298347</v>
      </c>
      <c r="J427" s="10">
        <f t="shared" ref="J427:O427" si="427">+J358-J501</f>
        <v>3793367.5113735003</v>
      </c>
      <c r="K427" s="10">
        <f t="shared" si="427"/>
        <v>4975175.3133581998</v>
      </c>
      <c r="L427" s="10">
        <f t="shared" si="427"/>
        <v>6468591.3965562005</v>
      </c>
      <c r="M427" s="10">
        <f t="shared" si="427"/>
        <v>7401587.7228942979</v>
      </c>
      <c r="N427" s="10">
        <f t="shared" si="427"/>
        <v>9994332.2620854005</v>
      </c>
      <c r="O427" s="10">
        <f t="shared" si="427"/>
        <v>11032503.763351999</v>
      </c>
      <c r="P427" s="10">
        <f t="shared" si="396"/>
        <v>11923252.239475697</v>
      </c>
      <c r="Q427" s="10">
        <f t="shared" si="396"/>
        <v>13249637.753389096</v>
      </c>
      <c r="R427" s="10">
        <f t="shared" si="396"/>
        <v>13668350.762908801</v>
      </c>
      <c r="S427" s="10">
        <f t="shared" si="396"/>
        <v>13272859.285905503</v>
      </c>
      <c r="T427" s="10">
        <f t="shared" ref="T427" si="428">+T358-T501</f>
        <v>15317341.664896902</v>
      </c>
    </row>
    <row r="428" spans="2:20" ht="15" customHeight="1">
      <c r="B428" s="9" t="s">
        <v>246</v>
      </c>
      <c r="C428" s="10">
        <f t="shared" si="416"/>
        <v>23792.011479191824</v>
      </c>
      <c r="D428" s="10">
        <f t="shared" si="416"/>
        <v>80811.022703306007</v>
      </c>
      <c r="E428" s="10">
        <f t="shared" si="416"/>
        <v>78683.918103264979</v>
      </c>
      <c r="F428" s="10">
        <f t="shared" si="416"/>
        <v>72382.498964800005</v>
      </c>
      <c r="G428" s="10">
        <f t="shared" si="416"/>
        <v>15751.523739099999</v>
      </c>
      <c r="H428" s="10">
        <f t="shared" si="416"/>
        <v>15751.523739099999</v>
      </c>
      <c r="I428" s="10">
        <f t="shared" si="416"/>
        <v>54084.665599999993</v>
      </c>
      <c r="J428" s="10">
        <f t="shared" ref="J428:O428" si="429">+J359-J502</f>
        <v>58546.230599999995</v>
      </c>
      <c r="K428" s="10">
        <f t="shared" si="429"/>
        <v>59333.565599999994</v>
      </c>
      <c r="L428" s="10">
        <f t="shared" si="429"/>
        <v>59333.565599999994</v>
      </c>
      <c r="M428" s="10">
        <f t="shared" si="429"/>
        <v>45161.535599999996</v>
      </c>
      <c r="N428" s="10">
        <f t="shared" si="429"/>
        <v>30989.505599999997</v>
      </c>
      <c r="O428" s="10">
        <f t="shared" si="429"/>
        <v>78481.552800000005</v>
      </c>
      <c r="P428" s="10">
        <f t="shared" si="396"/>
        <v>132272.28</v>
      </c>
      <c r="Q428" s="10">
        <f t="shared" si="396"/>
        <v>138885.894</v>
      </c>
      <c r="R428" s="10">
        <f t="shared" si="396"/>
        <v>145833.33804</v>
      </c>
      <c r="S428" s="10">
        <f t="shared" si="396"/>
        <v>153120.91079999998</v>
      </c>
      <c r="T428" s="10">
        <f t="shared" ref="T428" si="430">+T359-T502</f>
        <v>160780.10568000001</v>
      </c>
    </row>
    <row r="429" spans="2:20" ht="15" customHeight="1">
      <c r="B429" s="9" t="s">
        <v>350</v>
      </c>
      <c r="C429" s="10">
        <f t="shared" si="416"/>
        <v>1040050.2745497109</v>
      </c>
      <c r="D429" s="10">
        <f t="shared" si="416"/>
        <v>1655857.9328800996</v>
      </c>
      <c r="E429" s="10">
        <f t="shared" si="416"/>
        <v>1788357.705455</v>
      </c>
      <c r="F429" s="10">
        <f t="shared" si="416"/>
        <v>1776781.1882692997</v>
      </c>
      <c r="G429" s="10">
        <f t="shared" si="416"/>
        <v>1938874.2695419998</v>
      </c>
      <c r="H429" s="10">
        <f t="shared" si="416"/>
        <v>1938874.2695419998</v>
      </c>
      <c r="I429" s="10">
        <f t="shared" si="416"/>
        <v>2157171.2020517997</v>
      </c>
      <c r="J429" s="10">
        <f t="shared" ref="J429:O429" si="431">+J360-J503</f>
        <v>2789668.764480399</v>
      </c>
      <c r="K429" s="10">
        <f t="shared" si="431"/>
        <v>3184502.5595626002</v>
      </c>
      <c r="L429" s="10">
        <f t="shared" si="431"/>
        <v>3927562.1222649999</v>
      </c>
      <c r="M429" s="10">
        <f t="shared" si="431"/>
        <v>4894045.2496006005</v>
      </c>
      <c r="N429" s="10">
        <f t="shared" si="431"/>
        <v>6566310.7767286003</v>
      </c>
      <c r="O429" s="10">
        <f t="shared" si="431"/>
        <v>7551065.0940125985</v>
      </c>
      <c r="P429" s="10">
        <f t="shared" si="396"/>
        <v>7693426.1114888983</v>
      </c>
      <c r="Q429" s="10">
        <f t="shared" si="396"/>
        <v>7696205.125847199</v>
      </c>
      <c r="R429" s="10">
        <f t="shared" si="396"/>
        <v>7501020.7481919993</v>
      </c>
      <c r="S429" s="10">
        <f t="shared" si="396"/>
        <v>9207453.5279667974</v>
      </c>
      <c r="T429" s="10">
        <f t="shared" ref="T429" si="432">+T360-T503</f>
        <v>11909570.4514868</v>
      </c>
    </row>
    <row r="430" spans="2:20" ht="15" customHeight="1">
      <c r="B430" s="9" t="s">
        <v>309</v>
      </c>
      <c r="C430" s="10">
        <f t="shared" si="416"/>
        <v>192273.64815775532</v>
      </c>
      <c r="D430" s="10">
        <f t="shared" si="416"/>
        <v>321417.36254649999</v>
      </c>
      <c r="E430" s="10">
        <f t="shared" si="416"/>
        <v>344431.90469140001</v>
      </c>
      <c r="F430" s="10">
        <f t="shared" si="416"/>
        <v>394719.54227589996</v>
      </c>
      <c r="G430" s="10">
        <f t="shared" si="416"/>
        <v>690678.20189469995</v>
      </c>
      <c r="H430" s="10">
        <f t="shared" si="416"/>
        <v>690678.20189469995</v>
      </c>
      <c r="I430" s="10">
        <f t="shared" si="416"/>
        <v>849358.4483873999</v>
      </c>
      <c r="J430" s="10">
        <f t="shared" ref="J430:O430" si="433">+J361-J504</f>
        <v>1191599.4149787</v>
      </c>
      <c r="K430" s="10">
        <f t="shared" si="433"/>
        <v>1452360.7725658</v>
      </c>
      <c r="L430" s="10">
        <f t="shared" si="433"/>
        <v>1558198.3744209995</v>
      </c>
      <c r="M430" s="10">
        <f t="shared" si="433"/>
        <v>2143296.3017830001</v>
      </c>
      <c r="N430" s="10">
        <f t="shared" si="433"/>
        <v>2714385.7023799997</v>
      </c>
      <c r="O430" s="10">
        <f t="shared" si="433"/>
        <v>3218535.0781953</v>
      </c>
      <c r="P430" s="10">
        <f t="shared" si="396"/>
        <v>3826507.9374599997</v>
      </c>
      <c r="Q430" s="10">
        <f t="shared" si="396"/>
        <v>3961886.6896937001</v>
      </c>
      <c r="R430" s="10">
        <f t="shared" si="396"/>
        <v>4168600.3286878997</v>
      </c>
      <c r="S430" s="10">
        <f t="shared" si="396"/>
        <v>4319732.1005972</v>
      </c>
      <c r="T430" s="10">
        <f t="shared" ref="T430" si="434">+T361-T504</f>
        <v>5716078.2920109993</v>
      </c>
    </row>
    <row r="431" spans="2:20" ht="15" customHeight="1">
      <c r="B431" s="9" t="s">
        <v>308</v>
      </c>
      <c r="C431" s="10">
        <f t="shared" si="416"/>
        <v>156493.64214091594</v>
      </c>
      <c r="D431" s="10">
        <f t="shared" si="416"/>
        <v>250303.0503107</v>
      </c>
      <c r="E431" s="10">
        <f t="shared" si="416"/>
        <v>237135.36058340003</v>
      </c>
      <c r="F431" s="10">
        <f t="shared" si="416"/>
        <v>219071.87485689999</v>
      </c>
      <c r="G431" s="10">
        <f t="shared" si="416"/>
        <v>229818.97136239999</v>
      </c>
      <c r="H431" s="10">
        <f t="shared" si="416"/>
        <v>229818.97136239999</v>
      </c>
      <c r="I431" s="10">
        <f t="shared" si="416"/>
        <v>248736.97800889995</v>
      </c>
      <c r="J431" s="10">
        <f t="shared" ref="J431:O431" si="435">+J362-J505</f>
        <v>293427.37234490004</v>
      </c>
      <c r="K431" s="10">
        <f t="shared" si="435"/>
        <v>432746.97770300001</v>
      </c>
      <c r="L431" s="10">
        <f t="shared" si="435"/>
        <v>477513.72778729995</v>
      </c>
      <c r="M431" s="10">
        <f t="shared" si="435"/>
        <v>573849.65538669983</v>
      </c>
      <c r="N431" s="10">
        <f t="shared" si="435"/>
        <v>760260.00329529995</v>
      </c>
      <c r="O431" s="10">
        <f t="shared" si="435"/>
        <v>864057.74613909994</v>
      </c>
      <c r="P431" s="10">
        <f t="shared" si="396"/>
        <v>1045362.9824143001</v>
      </c>
      <c r="Q431" s="10">
        <f t="shared" si="396"/>
        <v>1196684.6647745001</v>
      </c>
      <c r="R431" s="10">
        <f t="shared" si="396"/>
        <v>1246484.8160204003</v>
      </c>
      <c r="S431" s="10">
        <f t="shared" si="396"/>
        <v>1573132.2455136999</v>
      </c>
      <c r="T431" s="10">
        <f t="shared" ref="T431" si="436">+T362-T505</f>
        <v>1887163.7339009992</v>
      </c>
    </row>
    <row r="432" spans="2:20" ht="15" customHeight="1">
      <c r="B432" s="9" t="s">
        <v>278</v>
      </c>
      <c r="C432" s="10">
        <f t="shared" ref="C432:I432" si="437">+C363-C506</f>
        <v>14786.896649616267</v>
      </c>
      <c r="D432" s="10">
        <f t="shared" si="437"/>
        <v>173158.87348986667</v>
      </c>
      <c r="E432" s="10">
        <f t="shared" si="437"/>
        <v>137382.13139009997</v>
      </c>
      <c r="F432" s="10">
        <f t="shared" si="437"/>
        <v>200559.83388310001</v>
      </c>
      <c r="G432" s="10">
        <f t="shared" si="437"/>
        <v>270721.06135469995</v>
      </c>
      <c r="H432" s="10">
        <f t="shared" si="437"/>
        <v>270721.06135469995</v>
      </c>
      <c r="I432" s="10">
        <f t="shared" si="437"/>
        <v>322663.5563845</v>
      </c>
      <c r="J432" s="10">
        <f t="shared" ref="J432:O432" si="438">+J363-J506</f>
        <v>301223.99917360005</v>
      </c>
      <c r="K432" s="10">
        <f t="shared" si="438"/>
        <v>650835.56562510005</v>
      </c>
      <c r="L432" s="10">
        <f t="shared" si="438"/>
        <v>865058.25471479993</v>
      </c>
      <c r="M432" s="10">
        <f t="shared" si="438"/>
        <v>1036512.198003</v>
      </c>
      <c r="N432" s="10">
        <f t="shared" si="438"/>
        <v>1137555.3811136</v>
      </c>
      <c r="O432" s="10">
        <f t="shared" si="438"/>
        <v>1349134.4039803997</v>
      </c>
      <c r="P432" s="10">
        <f t="shared" ref="P432:S433" si="439">+P363-P506</f>
        <v>1378838.2492632999</v>
      </c>
      <c r="Q432" s="10">
        <f t="shared" si="439"/>
        <v>1416327.1895416002</v>
      </c>
      <c r="R432" s="10">
        <f t="shared" si="439"/>
        <v>1551524.7969873995</v>
      </c>
      <c r="S432" s="10">
        <f t="shared" si="439"/>
        <v>1973000.9639385</v>
      </c>
      <c r="T432" s="10">
        <f t="shared" ref="T432" si="440">+T363-T506</f>
        <v>2203840.1639938997</v>
      </c>
    </row>
    <row r="433" spans="2:20" ht="15" customHeight="1" thickBot="1">
      <c r="B433" s="12" t="s">
        <v>361</v>
      </c>
      <c r="C433" s="13">
        <f t="shared" ref="C433:O433" si="441">+C364-C507</f>
        <v>474983.24231960496</v>
      </c>
      <c r="D433" s="13">
        <f t="shared" si="441"/>
        <v>719112.60602937697</v>
      </c>
      <c r="E433" s="13">
        <f t="shared" si="441"/>
        <v>1081039.3822121941</v>
      </c>
      <c r="F433" s="13">
        <f t="shared" si="441"/>
        <v>1349287.1952386959</v>
      </c>
      <c r="G433" s="13">
        <f t="shared" si="441"/>
        <v>1139595.9195147008</v>
      </c>
      <c r="H433" s="13">
        <f t="shared" si="441"/>
        <v>1139595.919514697</v>
      </c>
      <c r="I433" s="13">
        <f t="shared" si="441"/>
        <v>1016455.9290228363</v>
      </c>
      <c r="J433" s="13">
        <f t="shared" si="441"/>
        <v>1627861.6239167037</v>
      </c>
      <c r="K433" s="13">
        <f t="shared" si="441"/>
        <v>1294764.4780863996</v>
      </c>
      <c r="L433" s="13">
        <f t="shared" si="441"/>
        <v>1895915.6716567373</v>
      </c>
      <c r="M433" s="13">
        <f t="shared" si="441"/>
        <v>2427353.8477406427</v>
      </c>
      <c r="N433" s="13">
        <f t="shared" si="441"/>
        <v>2459689.9336701296</v>
      </c>
      <c r="O433" s="13">
        <f t="shared" si="441"/>
        <v>3074246.8405128755</v>
      </c>
      <c r="P433" s="13">
        <f t="shared" si="439"/>
        <v>3658129.7545407768</v>
      </c>
      <c r="Q433" s="13">
        <f t="shared" si="439"/>
        <v>4591660.3307881216</v>
      </c>
      <c r="R433" s="13">
        <f t="shared" si="439"/>
        <v>3623248.8780198805</v>
      </c>
      <c r="S433" s="13">
        <f t="shared" si="439"/>
        <v>3994262.7825609953</v>
      </c>
      <c r="T433" s="13">
        <f t="shared" ref="T433" si="442">+T364-T507</f>
        <v>4402202.9185919967</v>
      </c>
    </row>
    <row r="436" spans="2:20" ht="15" customHeight="1">
      <c r="B436" s="53"/>
      <c r="C436" s="53" t="s">
        <v>5</v>
      </c>
      <c r="D436" s="53" t="s">
        <v>4</v>
      </c>
    </row>
    <row r="437" spans="2:20" ht="15" customHeight="1">
      <c r="B437" s="53" t="s">
        <v>2</v>
      </c>
      <c r="C437" s="54">
        <v>0.2</v>
      </c>
      <c r="D437" s="54">
        <v>0.5</v>
      </c>
    </row>
    <row r="438" spans="2:20" ht="15" customHeight="1">
      <c r="B438" s="53" t="s">
        <v>3</v>
      </c>
      <c r="C438" s="372">
        <v>0.46511000000000002</v>
      </c>
      <c r="D438" s="372">
        <v>0.46511000000000002</v>
      </c>
    </row>
    <row r="439" spans="2:20" ht="15" customHeight="1">
      <c r="B439" s="53" t="s">
        <v>234</v>
      </c>
      <c r="C439" s="54">
        <v>0.01</v>
      </c>
      <c r="D439" s="54">
        <v>0.01</v>
      </c>
    </row>
    <row r="441" spans="2:20" ht="15" customHeight="1">
      <c r="C441" s="33">
        <v>2001</v>
      </c>
      <c r="D441" s="33">
        <f t="shared" ref="D441:K441" si="443">C441+1</f>
        <v>2002</v>
      </c>
      <c r="E441" s="33">
        <f t="shared" si="443"/>
        <v>2003</v>
      </c>
      <c r="F441" s="33">
        <f t="shared" si="443"/>
        <v>2004</v>
      </c>
      <c r="G441" s="34">
        <f t="shared" si="443"/>
        <v>2005</v>
      </c>
      <c r="H441" s="33">
        <f>F441+1</f>
        <v>2005</v>
      </c>
      <c r="I441" s="33">
        <f>H441+1</f>
        <v>2006</v>
      </c>
      <c r="J441" s="33">
        <f t="shared" si="443"/>
        <v>2007</v>
      </c>
      <c r="K441" s="33">
        <f t="shared" si="443"/>
        <v>2008</v>
      </c>
      <c r="L441" s="33">
        <f>K441+1</f>
        <v>2009</v>
      </c>
      <c r="M441" s="33">
        <f>L441+1</f>
        <v>2010</v>
      </c>
      <c r="N441" s="33">
        <f>M441+1</f>
        <v>2011</v>
      </c>
      <c r="O441" s="33">
        <f>N441+1</f>
        <v>2012</v>
      </c>
      <c r="P441" s="33">
        <f t="shared" ref="P441:T441" si="444">O441+1</f>
        <v>2013</v>
      </c>
      <c r="Q441" s="33">
        <f t="shared" si="444"/>
        <v>2014</v>
      </c>
      <c r="R441" s="33">
        <f t="shared" si="444"/>
        <v>2015</v>
      </c>
      <c r="S441" s="33">
        <f t="shared" si="444"/>
        <v>2016</v>
      </c>
      <c r="T441" s="33">
        <f t="shared" si="444"/>
        <v>2017</v>
      </c>
    </row>
    <row r="442" spans="2:20" ht="15" customHeight="1">
      <c r="B442" s="55" t="s">
        <v>8</v>
      </c>
      <c r="C442" s="56">
        <f>SUM(C443:C507)</f>
        <v>32753998.759558227</v>
      </c>
      <c r="D442" s="56">
        <f t="shared" ref="D442:I442" si="445">SUM(D443:D507)</f>
        <v>36119685.257999994</v>
      </c>
      <c r="E442" s="56">
        <f t="shared" si="445"/>
        <v>38909212.206999995</v>
      </c>
      <c r="F442" s="56">
        <f t="shared" si="445"/>
        <v>42168957.169999994</v>
      </c>
      <c r="G442" s="56">
        <f t="shared" si="445"/>
        <v>49389066.127122998</v>
      </c>
      <c r="H442" s="56">
        <f t="shared" si="445"/>
        <v>50259387.210999995</v>
      </c>
      <c r="I442" s="56">
        <f t="shared" si="445"/>
        <v>56040816.964000098</v>
      </c>
      <c r="J442" s="56">
        <f t="shared" ref="J442:O442" si="446">SUM(J443:J507)</f>
        <v>67264213.299000025</v>
      </c>
      <c r="K442" s="56">
        <f t="shared" si="446"/>
        <v>75907358.616554633</v>
      </c>
      <c r="L442" s="56">
        <f t="shared" si="446"/>
        <v>84315665.885966405</v>
      </c>
      <c r="M442" s="56">
        <f t="shared" si="446"/>
        <v>94740867.702899158</v>
      </c>
      <c r="N442" s="56">
        <f t="shared" si="446"/>
        <v>110350914.0888442</v>
      </c>
      <c r="O442" s="56">
        <f t="shared" si="446"/>
        <v>124854369.52758017</v>
      </c>
      <c r="P442" s="56">
        <f t="shared" ref="P442:T442" si="447">SUM(P443:P507)</f>
        <v>138908051.82100007</v>
      </c>
      <c r="Q442" s="56">
        <f t="shared" si="447"/>
        <v>145706604.36699995</v>
      </c>
      <c r="R442" s="56">
        <f t="shared" si="447"/>
        <v>156718856.39200005</v>
      </c>
      <c r="S442" s="56">
        <f t="shared" si="447"/>
        <v>169880688.21599996</v>
      </c>
      <c r="T442" s="56">
        <f t="shared" si="447"/>
        <v>185157551.30422032</v>
      </c>
    </row>
    <row r="443" spans="2:20" ht="15" customHeight="1">
      <c r="B443" s="9" t="s">
        <v>61</v>
      </c>
      <c r="C443" s="10">
        <f t="shared" ref="C443:I445" si="448">+C511+C579+C647</f>
        <v>13402712.694053747</v>
      </c>
      <c r="D443" s="10">
        <f t="shared" si="448"/>
        <v>14090315.581844322</v>
      </c>
      <c r="E443" s="10">
        <f t="shared" si="448"/>
        <v>15979666.835799681</v>
      </c>
      <c r="F443" s="10">
        <f t="shared" si="448"/>
        <v>17863450.749825202</v>
      </c>
      <c r="G443" s="10">
        <f t="shared" si="448"/>
        <v>20068029.69958904</v>
      </c>
      <c r="H443" s="10">
        <f t="shared" si="448"/>
        <v>20068029.69958904</v>
      </c>
      <c r="I443" s="10">
        <f t="shared" si="448"/>
        <v>22107229.770812165</v>
      </c>
      <c r="J443" s="10">
        <f t="shared" ref="J443:O443" si="449">+J511+J579+J647</f>
        <v>26634919.670074552</v>
      </c>
      <c r="K443" s="10">
        <f t="shared" si="449"/>
        <v>29202500.415684041</v>
      </c>
      <c r="L443" s="10">
        <f t="shared" si="449"/>
        <v>30831120.15082521</v>
      </c>
      <c r="M443" s="10">
        <f t="shared" si="449"/>
        <v>32247202.683951635</v>
      </c>
      <c r="N443" s="10">
        <f t="shared" si="449"/>
        <v>35729515.95909071</v>
      </c>
      <c r="O443" s="10">
        <f t="shared" si="449"/>
        <v>39236690.744713306</v>
      </c>
      <c r="P443" s="10">
        <f t="shared" ref="P443:T443" si="450">+P511+P579+P647</f>
        <v>43548434.620829836</v>
      </c>
      <c r="Q443" s="10">
        <f t="shared" si="450"/>
        <v>44295680.882197678</v>
      </c>
      <c r="R443" s="10">
        <f t="shared" si="450"/>
        <v>47318995.661794491</v>
      </c>
      <c r="S443" s="10">
        <f t="shared" si="450"/>
        <v>51156671.705277838</v>
      </c>
      <c r="T443" s="10">
        <f t="shared" si="450"/>
        <v>55006615.425718449</v>
      </c>
    </row>
    <row r="444" spans="2:20" ht="15" customHeight="1">
      <c r="B444" s="11" t="s">
        <v>62</v>
      </c>
      <c r="C444" s="10">
        <f t="shared" si="448"/>
        <v>1377750.0877199227</v>
      </c>
      <c r="D444" s="10">
        <f t="shared" si="448"/>
        <v>1527359.4734076001</v>
      </c>
      <c r="E444" s="10">
        <f t="shared" si="448"/>
        <v>1971203.6388249001</v>
      </c>
      <c r="F444" s="10">
        <f t="shared" si="448"/>
        <v>2199887.199612</v>
      </c>
      <c r="G444" s="10">
        <f t="shared" si="448"/>
        <v>2372520.4753383002</v>
      </c>
      <c r="H444" s="10">
        <f t="shared" si="448"/>
        <v>2372520.4753383002</v>
      </c>
      <c r="I444" s="10">
        <f t="shared" si="448"/>
        <v>3169246.1887727999</v>
      </c>
      <c r="J444" s="10">
        <f t="shared" ref="J444:O445" si="451">+J512+J580+J648</f>
        <v>4121028.0796401002</v>
      </c>
      <c r="K444" s="10">
        <f t="shared" si="451"/>
        <v>4528520.8464894965</v>
      </c>
      <c r="L444" s="10">
        <f t="shared" si="451"/>
        <v>4671859.0860741176</v>
      </c>
      <c r="M444" s="10">
        <f t="shared" si="451"/>
        <v>6943407.7686640974</v>
      </c>
      <c r="N444" s="10">
        <f t="shared" si="451"/>
        <v>8856810.2140469402</v>
      </c>
      <c r="O444" s="10">
        <f t="shared" si="451"/>
        <v>12196661.382125335</v>
      </c>
      <c r="P444" s="10">
        <f t="shared" ref="P444:T445" si="452">+P512+P580+P648</f>
        <v>15112612.745718718</v>
      </c>
      <c r="Q444" s="10">
        <f t="shared" si="452"/>
        <v>17248165.610501699</v>
      </c>
      <c r="R444" s="10">
        <f t="shared" si="452"/>
        <v>20442003.758936103</v>
      </c>
      <c r="S444" s="10">
        <f t="shared" si="452"/>
        <v>22596726.175015114</v>
      </c>
      <c r="T444" s="10">
        <f t="shared" si="452"/>
        <v>25182542.933006875</v>
      </c>
    </row>
    <row r="445" spans="2:20" ht="15" customHeight="1">
      <c r="B445" s="11" t="s">
        <v>588</v>
      </c>
      <c r="C445" s="10">
        <f t="shared" si="448"/>
        <v>0</v>
      </c>
      <c r="D445" s="10">
        <f t="shared" si="448"/>
        <v>0</v>
      </c>
      <c r="E445" s="10">
        <f t="shared" si="448"/>
        <v>0</v>
      </c>
      <c r="F445" s="10">
        <f t="shared" si="448"/>
        <v>0</v>
      </c>
      <c r="G445" s="10">
        <f t="shared" si="448"/>
        <v>0</v>
      </c>
      <c r="H445" s="10">
        <f t="shared" si="448"/>
        <v>0</v>
      </c>
      <c r="I445" s="10">
        <f t="shared" si="448"/>
        <v>0</v>
      </c>
      <c r="J445" s="10">
        <f t="shared" si="451"/>
        <v>0</v>
      </c>
      <c r="K445" s="10">
        <f t="shared" si="451"/>
        <v>0</v>
      </c>
      <c r="L445" s="10">
        <f t="shared" si="451"/>
        <v>0</v>
      </c>
      <c r="M445" s="10">
        <f t="shared" si="451"/>
        <v>0</v>
      </c>
      <c r="N445" s="10">
        <f t="shared" si="451"/>
        <v>0</v>
      </c>
      <c r="O445" s="10">
        <f t="shared" si="451"/>
        <v>0</v>
      </c>
      <c r="P445" s="10">
        <f t="shared" si="452"/>
        <v>0</v>
      </c>
      <c r="Q445" s="10">
        <f t="shared" si="452"/>
        <v>0</v>
      </c>
      <c r="R445" s="10">
        <f t="shared" si="452"/>
        <v>0</v>
      </c>
      <c r="S445" s="10">
        <f t="shared" si="452"/>
        <v>0</v>
      </c>
      <c r="T445" s="10">
        <f t="shared" si="452"/>
        <v>0</v>
      </c>
    </row>
    <row r="446" spans="2:20" ht="15" customHeight="1">
      <c r="B446" s="11" t="s">
        <v>310</v>
      </c>
      <c r="C446" s="10">
        <f t="shared" ref="C446:I455" si="453">+C514+C582+C650</f>
        <v>3898.8548853639259</v>
      </c>
      <c r="D446" s="10">
        <f t="shared" si="453"/>
        <v>3121.3150913999998</v>
      </c>
      <c r="E446" s="10">
        <f t="shared" si="453"/>
        <v>3447.3932685499999</v>
      </c>
      <c r="F446" s="10">
        <f t="shared" si="453"/>
        <v>3429.1635433000006</v>
      </c>
      <c r="G446" s="10">
        <f t="shared" si="453"/>
        <v>3468.1179786000002</v>
      </c>
      <c r="H446" s="10">
        <f t="shared" si="453"/>
        <v>3468.1179786000002</v>
      </c>
      <c r="I446" s="10">
        <f t="shared" si="453"/>
        <v>3841.4152281999995</v>
      </c>
      <c r="J446" s="10">
        <f t="shared" ref="J446:O446" si="454">+J514+J582+J650</f>
        <v>4847.3990399999993</v>
      </c>
      <c r="K446" s="10">
        <f t="shared" si="454"/>
        <v>5844.6504050000003</v>
      </c>
      <c r="L446" s="10">
        <f t="shared" si="454"/>
        <v>6446.6545946000015</v>
      </c>
      <c r="M446" s="10">
        <f t="shared" si="454"/>
        <v>7148.6735171499986</v>
      </c>
      <c r="N446" s="10">
        <f t="shared" si="454"/>
        <v>6506.3485910499994</v>
      </c>
      <c r="O446" s="10">
        <f t="shared" si="454"/>
        <v>7364.4228723999731</v>
      </c>
      <c r="P446" s="10">
        <f t="shared" ref="P446:T446" si="455">+P514+P582+P650</f>
        <v>5707.7826674000062</v>
      </c>
      <c r="Q446" s="10">
        <f t="shared" si="455"/>
        <v>7160.9108235499998</v>
      </c>
      <c r="R446" s="10">
        <f t="shared" si="455"/>
        <v>5380.5015511500033</v>
      </c>
      <c r="S446" s="10">
        <f t="shared" si="455"/>
        <v>4830.6692758500049</v>
      </c>
      <c r="T446" s="10">
        <f t="shared" si="455"/>
        <v>5253.390986250005</v>
      </c>
    </row>
    <row r="447" spans="2:20" ht="15" customHeight="1">
      <c r="B447" s="11" t="s">
        <v>311</v>
      </c>
      <c r="C447" s="10">
        <f t="shared" si="453"/>
        <v>7264.0682357467631</v>
      </c>
      <c r="D447" s="10">
        <f t="shared" si="453"/>
        <v>10872.482884450001</v>
      </c>
      <c r="E447" s="10">
        <f t="shared" si="453"/>
        <v>9624.2702061</v>
      </c>
      <c r="F447" s="10">
        <f t="shared" si="453"/>
        <v>7950.4398528500005</v>
      </c>
      <c r="G447" s="10">
        <f t="shared" si="453"/>
        <v>5842.8608474500006</v>
      </c>
      <c r="H447" s="10">
        <f t="shared" si="453"/>
        <v>5842.8608474500006</v>
      </c>
      <c r="I447" s="10">
        <f t="shared" si="453"/>
        <v>4972.7646006499999</v>
      </c>
      <c r="J447" s="10">
        <f t="shared" ref="J447:O447" si="456">+J515+J583+J651</f>
        <v>6118.5418167500002</v>
      </c>
      <c r="K447" s="10">
        <f t="shared" si="456"/>
        <v>7056.3071006999999</v>
      </c>
      <c r="L447" s="10">
        <f t="shared" si="456"/>
        <v>5945.5265017500005</v>
      </c>
      <c r="M447" s="10">
        <f t="shared" si="456"/>
        <v>9164.9256831000002</v>
      </c>
      <c r="N447" s="10">
        <f t="shared" si="456"/>
        <v>9029.7064176000003</v>
      </c>
      <c r="O447" s="10">
        <f t="shared" si="456"/>
        <v>11376.997028099993</v>
      </c>
      <c r="P447" s="10">
        <f t="shared" ref="P447:T447" si="457">+P515+P583+P651</f>
        <v>11387.578436850001</v>
      </c>
      <c r="Q447" s="10">
        <f t="shared" si="457"/>
        <v>11965.857994199994</v>
      </c>
      <c r="R447" s="10">
        <f t="shared" si="457"/>
        <v>11412.409476049999</v>
      </c>
      <c r="S447" s="10">
        <f t="shared" si="457"/>
        <v>12290.926296549997</v>
      </c>
      <c r="T447" s="10">
        <f t="shared" si="457"/>
        <v>9505.7955558499943</v>
      </c>
    </row>
    <row r="448" spans="2:20" ht="15" customHeight="1">
      <c r="B448" s="11" t="s">
        <v>312</v>
      </c>
      <c r="C448" s="10">
        <f t="shared" si="453"/>
        <v>39377.641156380392</v>
      </c>
      <c r="D448" s="10">
        <f t="shared" si="453"/>
        <v>34445.292339150001</v>
      </c>
      <c r="E448" s="10">
        <f t="shared" si="453"/>
        <v>29848.579867149998</v>
      </c>
      <c r="F448" s="10">
        <f t="shared" si="453"/>
        <v>22525.220286250002</v>
      </c>
      <c r="G448" s="10">
        <f t="shared" si="453"/>
        <v>6276.0600089</v>
      </c>
      <c r="H448" s="10">
        <f t="shared" si="453"/>
        <v>6276.0600089</v>
      </c>
      <c r="I448" s="10">
        <f t="shared" si="453"/>
        <v>41262.511580949926</v>
      </c>
      <c r="J448" s="10">
        <f t="shared" ref="J448:O448" si="458">+J516+J584+J652</f>
        <v>104344.94985805001</v>
      </c>
      <c r="K448" s="10">
        <f t="shared" si="458"/>
        <v>164288.16261715005</v>
      </c>
      <c r="L448" s="10">
        <f t="shared" si="458"/>
        <v>276398.22545114974</v>
      </c>
      <c r="M448" s="10">
        <f t="shared" si="458"/>
        <v>254862.71959664975</v>
      </c>
      <c r="N448" s="10">
        <f t="shared" si="458"/>
        <v>434602.0186326509</v>
      </c>
      <c r="O448" s="10">
        <f t="shared" si="458"/>
        <v>461748.23293940298</v>
      </c>
      <c r="P448" s="10">
        <f t="shared" ref="P448:T448" si="459">+P516+P584+P652</f>
        <v>428982.28071160003</v>
      </c>
      <c r="Q448" s="10">
        <f t="shared" si="459"/>
        <v>390256.0325631001</v>
      </c>
      <c r="R448" s="10">
        <f t="shared" si="459"/>
        <v>414385.05284055037</v>
      </c>
      <c r="S448" s="10">
        <f t="shared" si="459"/>
        <v>514583.3231099</v>
      </c>
      <c r="T448" s="10">
        <f t="shared" si="459"/>
        <v>481482.61966254993</v>
      </c>
    </row>
    <row r="449" spans="2:20" ht="15" customHeight="1">
      <c r="B449" s="11" t="s">
        <v>313</v>
      </c>
      <c r="C449" s="10">
        <f t="shared" si="453"/>
        <v>604639.44330396841</v>
      </c>
      <c r="D449" s="10">
        <f t="shared" si="453"/>
        <v>441380.89233424928</v>
      </c>
      <c r="E449" s="10">
        <f t="shared" si="453"/>
        <v>356057.58778259932</v>
      </c>
      <c r="F449" s="10">
        <f t="shared" si="453"/>
        <v>420107.56037359999</v>
      </c>
      <c r="G449" s="10">
        <f t="shared" si="453"/>
        <v>384013.60287015076</v>
      </c>
      <c r="H449" s="10">
        <f t="shared" si="453"/>
        <v>384013.60287015076</v>
      </c>
      <c r="I449" s="10">
        <f t="shared" si="453"/>
        <v>352198.26212780504</v>
      </c>
      <c r="J449" s="10">
        <f t="shared" ref="J449:O449" si="460">+J517+J585+J653</f>
        <v>580077.854772349</v>
      </c>
      <c r="K449" s="10">
        <f t="shared" si="460"/>
        <v>750103.0047450494</v>
      </c>
      <c r="L449" s="10">
        <f t="shared" si="460"/>
        <v>847733.87625079555</v>
      </c>
      <c r="M449" s="10">
        <f t="shared" si="460"/>
        <v>982073.60020440607</v>
      </c>
      <c r="N449" s="10">
        <f t="shared" si="460"/>
        <v>1139787.3590647602</v>
      </c>
      <c r="O449" s="10">
        <f t="shared" si="460"/>
        <v>1228749.4133083855</v>
      </c>
      <c r="P449" s="10">
        <f t="shared" ref="P449:T449" si="461">+P517+P585+P653</f>
        <v>992245.60125514865</v>
      </c>
      <c r="Q449" s="10">
        <f t="shared" si="461"/>
        <v>1111253.131249798</v>
      </c>
      <c r="R449" s="10">
        <f t="shared" si="461"/>
        <v>1090185.561279648</v>
      </c>
      <c r="S449" s="10">
        <f t="shared" si="461"/>
        <v>1174431.3219941482</v>
      </c>
      <c r="T449" s="10">
        <f t="shared" si="461"/>
        <v>1554024.6360347483</v>
      </c>
    </row>
    <row r="450" spans="2:20" ht="15" customHeight="1">
      <c r="B450" s="11" t="s">
        <v>314</v>
      </c>
      <c r="C450" s="10">
        <f t="shared" si="453"/>
        <v>919192.42381304072</v>
      </c>
      <c r="D450" s="10">
        <f t="shared" si="453"/>
        <v>859659.04965654993</v>
      </c>
      <c r="E450" s="10">
        <f t="shared" si="453"/>
        <v>1013406.59206985</v>
      </c>
      <c r="F450" s="10">
        <f t="shared" si="453"/>
        <v>1124141.7771936001</v>
      </c>
      <c r="G450" s="10">
        <f t="shared" si="453"/>
        <v>1415697.2357946001</v>
      </c>
      <c r="H450" s="10">
        <f t="shared" si="453"/>
        <v>1415697.2357946001</v>
      </c>
      <c r="I450" s="10">
        <f t="shared" si="453"/>
        <v>1178591.5309349603</v>
      </c>
      <c r="J450" s="10">
        <f t="shared" ref="J450:O450" si="462">+J518+J586+J654</f>
        <v>1361802.6532990001</v>
      </c>
      <c r="K450" s="10">
        <f t="shared" si="462"/>
        <v>1624342.9683392998</v>
      </c>
      <c r="L450" s="10">
        <f t="shared" si="462"/>
        <v>1572463.7914969502</v>
      </c>
      <c r="M450" s="10">
        <f t="shared" si="462"/>
        <v>1764851.1709333996</v>
      </c>
      <c r="N450" s="10">
        <f t="shared" si="462"/>
        <v>1847849.7733976515</v>
      </c>
      <c r="O450" s="10">
        <f t="shared" si="462"/>
        <v>2211949.4100433984</v>
      </c>
      <c r="P450" s="10">
        <f t="shared" ref="P450:T450" si="463">+P518+P586+P654</f>
        <v>2587521.7664824012</v>
      </c>
      <c r="Q450" s="10">
        <f t="shared" si="463"/>
        <v>2245391.6590886009</v>
      </c>
      <c r="R450" s="10">
        <f t="shared" si="463"/>
        <v>2760499.8274980504</v>
      </c>
      <c r="S450" s="10">
        <f t="shared" si="463"/>
        <v>2901348.2910698005</v>
      </c>
      <c r="T450" s="10">
        <f t="shared" si="463"/>
        <v>2857410.5691647995</v>
      </c>
    </row>
    <row r="451" spans="2:20" ht="15" customHeight="1">
      <c r="B451" s="11" t="s">
        <v>315</v>
      </c>
      <c r="C451" s="10">
        <f t="shared" si="453"/>
        <v>1027.9535696025207</v>
      </c>
      <c r="D451" s="10">
        <f t="shared" si="453"/>
        <v>1275.77631995</v>
      </c>
      <c r="E451" s="10">
        <f t="shared" si="453"/>
        <v>997.13998174999995</v>
      </c>
      <c r="F451" s="10">
        <f t="shared" si="453"/>
        <v>1338.3365787</v>
      </c>
      <c r="G451" s="10">
        <f t="shared" si="453"/>
        <v>1117.07746535</v>
      </c>
      <c r="H451" s="10">
        <f t="shared" si="453"/>
        <v>1117.07746535</v>
      </c>
      <c r="I451" s="10">
        <f t="shared" si="453"/>
        <v>988.14764070000024</v>
      </c>
      <c r="J451" s="10">
        <f t="shared" ref="J451:O451" si="464">+J519+J587+J655</f>
        <v>1480.7289255000001</v>
      </c>
      <c r="K451" s="10">
        <f t="shared" si="464"/>
        <v>1625.898428</v>
      </c>
      <c r="L451" s="10">
        <f t="shared" si="464"/>
        <v>1181.88766575</v>
      </c>
      <c r="M451" s="10">
        <f t="shared" si="464"/>
        <v>1641.3287209000002</v>
      </c>
      <c r="N451" s="10">
        <f t="shared" si="464"/>
        <v>1791.1391921499996</v>
      </c>
      <c r="O451" s="10">
        <f t="shared" si="464"/>
        <v>1791.1391921499987</v>
      </c>
      <c r="P451" s="10">
        <f t="shared" ref="P451:T451" si="465">+P519+P587+P655</f>
        <v>1821.2423718499986</v>
      </c>
      <c r="Q451" s="10">
        <f t="shared" si="465"/>
        <v>1580.4169342499993</v>
      </c>
      <c r="R451" s="10">
        <f t="shared" si="465"/>
        <v>1174.0240082999992</v>
      </c>
      <c r="S451" s="10">
        <f t="shared" si="465"/>
        <v>1179.8307883999996</v>
      </c>
      <c r="T451" s="10">
        <f t="shared" si="465"/>
        <v>1023.5081097999996</v>
      </c>
    </row>
    <row r="452" spans="2:20" ht="15" customHeight="1">
      <c r="B452" s="11" t="s">
        <v>316</v>
      </c>
      <c r="C452" s="10">
        <f t="shared" si="453"/>
        <v>4205.7535214751133</v>
      </c>
      <c r="D452" s="10">
        <f t="shared" si="453"/>
        <v>4399.9131203500001</v>
      </c>
      <c r="E452" s="10">
        <f t="shared" si="453"/>
        <v>9235.5426636000011</v>
      </c>
      <c r="F452" s="10">
        <f t="shared" si="453"/>
        <v>5797.2976726500001</v>
      </c>
      <c r="G452" s="10">
        <f t="shared" si="453"/>
        <v>2641.3052627500001</v>
      </c>
      <c r="H452" s="10">
        <f t="shared" si="453"/>
        <v>2641.3052627500001</v>
      </c>
      <c r="I452" s="10">
        <f t="shared" si="453"/>
        <v>4114.9576391000001</v>
      </c>
      <c r="J452" s="10">
        <f t="shared" ref="J452:O452" si="466">+J520+J588+J656</f>
        <v>4191.6041662000007</v>
      </c>
      <c r="K452" s="10">
        <f t="shared" si="466"/>
        <v>4985.907824150001</v>
      </c>
      <c r="L452" s="10">
        <f t="shared" si="466"/>
        <v>4938.7110283499997</v>
      </c>
      <c r="M452" s="10">
        <f t="shared" si="466"/>
        <v>5840.0762662000016</v>
      </c>
      <c r="N452" s="10">
        <f t="shared" si="466"/>
        <v>7155.4307676500002</v>
      </c>
      <c r="O452" s="10">
        <f t="shared" si="466"/>
        <v>8734.1546764999985</v>
      </c>
      <c r="P452" s="10">
        <f t="shared" ref="P452:T452" si="467">+P520+P588+P656</f>
        <v>10141.511742449997</v>
      </c>
      <c r="Q452" s="10">
        <f t="shared" si="467"/>
        <v>9598.2139511500027</v>
      </c>
      <c r="R452" s="10">
        <f t="shared" si="467"/>
        <v>10072.060573300001</v>
      </c>
      <c r="S452" s="10">
        <f t="shared" si="467"/>
        <v>7755.2369944500015</v>
      </c>
      <c r="T452" s="10">
        <f t="shared" si="467"/>
        <v>7297.5632202000006</v>
      </c>
    </row>
    <row r="453" spans="2:20" ht="15" customHeight="1">
      <c r="B453" s="11" t="s">
        <v>317</v>
      </c>
      <c r="C453" s="10">
        <f t="shared" si="453"/>
        <v>50118.408473050047</v>
      </c>
      <c r="D453" s="10">
        <f t="shared" si="453"/>
        <v>87853.976544949997</v>
      </c>
      <c r="E453" s="10">
        <f t="shared" si="453"/>
        <v>38129.820546949995</v>
      </c>
      <c r="F453" s="10">
        <f t="shared" si="453"/>
        <v>42477.242454350002</v>
      </c>
      <c r="G453" s="10">
        <f t="shared" si="453"/>
        <v>64068.588444850007</v>
      </c>
      <c r="H453" s="10">
        <f t="shared" si="453"/>
        <v>64068.588444850007</v>
      </c>
      <c r="I453" s="10">
        <f t="shared" si="453"/>
        <v>124363.60148629926</v>
      </c>
      <c r="J453" s="10">
        <f t="shared" ref="J453:O453" si="468">+J521+J589+J657</f>
        <v>259578.92401924997</v>
      </c>
      <c r="K453" s="10">
        <f t="shared" si="468"/>
        <v>256654.11868304998</v>
      </c>
      <c r="L453" s="10">
        <f t="shared" si="468"/>
        <v>348102.09113019961</v>
      </c>
      <c r="M453" s="10">
        <f t="shared" si="468"/>
        <v>227215.72619789978</v>
      </c>
      <c r="N453" s="10">
        <f t="shared" si="468"/>
        <v>404519.1775140987</v>
      </c>
      <c r="O453" s="10">
        <f t="shared" si="468"/>
        <v>467193.5743931465</v>
      </c>
      <c r="P453" s="10">
        <f t="shared" ref="P453:T453" si="469">+P521+P589+P657</f>
        <v>423020.87838395016</v>
      </c>
      <c r="Q453" s="10">
        <f t="shared" si="469"/>
        <v>362556.31775935018</v>
      </c>
      <c r="R453" s="10">
        <f t="shared" si="469"/>
        <v>354278.35917265009</v>
      </c>
      <c r="S453" s="10">
        <f t="shared" si="469"/>
        <v>449354.54445639992</v>
      </c>
      <c r="T453" s="10">
        <f t="shared" si="469"/>
        <v>510455.99450450012</v>
      </c>
    </row>
    <row r="454" spans="2:20" ht="15" customHeight="1">
      <c r="B454" s="11" t="s">
        <v>318</v>
      </c>
      <c r="C454" s="10">
        <f t="shared" si="453"/>
        <v>403782.93237085664</v>
      </c>
      <c r="D454" s="10">
        <f t="shared" si="453"/>
        <v>507030.78135380149</v>
      </c>
      <c r="E454" s="10">
        <f t="shared" si="453"/>
        <v>532707.32337900077</v>
      </c>
      <c r="F454" s="10">
        <f t="shared" si="453"/>
        <v>600585.47886810079</v>
      </c>
      <c r="G454" s="10">
        <f t="shared" si="453"/>
        <v>680573.70395795</v>
      </c>
      <c r="H454" s="10">
        <f t="shared" si="453"/>
        <v>680573.70395795</v>
      </c>
      <c r="I454" s="10">
        <f t="shared" si="453"/>
        <v>661683.23099229613</v>
      </c>
      <c r="J454" s="10">
        <f t="shared" ref="J454:O454" si="470">+J522+J590+J658</f>
        <v>808901.43531175004</v>
      </c>
      <c r="K454" s="10">
        <f t="shared" si="470"/>
        <v>822272.3633025001</v>
      </c>
      <c r="L454" s="10">
        <f t="shared" si="470"/>
        <v>805752.33381225017</v>
      </c>
      <c r="M454" s="10">
        <f t="shared" si="470"/>
        <v>1069890.5900847996</v>
      </c>
      <c r="N454" s="10">
        <f t="shared" si="470"/>
        <v>1214175.509089953</v>
      </c>
      <c r="O454" s="10">
        <f t="shared" si="470"/>
        <v>1260454.001972632</v>
      </c>
      <c r="P454" s="10">
        <f t="shared" ref="P454:T454" si="471">+P522+P590+P658</f>
        <v>1453736.6057169996</v>
      </c>
      <c r="Q454" s="10">
        <f t="shared" si="471"/>
        <v>1844131.4440862492</v>
      </c>
      <c r="R454" s="10">
        <f t="shared" si="471"/>
        <v>2050055.2595974009</v>
      </c>
      <c r="S454" s="10">
        <f t="shared" si="471"/>
        <v>2133260.2700750004</v>
      </c>
      <c r="T454" s="10">
        <f t="shared" si="471"/>
        <v>2361530.0456698509</v>
      </c>
    </row>
    <row r="455" spans="2:20" ht="15" customHeight="1">
      <c r="B455" s="11" t="s">
        <v>319</v>
      </c>
      <c r="C455" s="10">
        <f t="shared" si="453"/>
        <v>2022879.3816027516</v>
      </c>
      <c r="D455" s="10">
        <f t="shared" si="453"/>
        <v>2211777.3080711002</v>
      </c>
      <c r="E455" s="10">
        <f t="shared" si="453"/>
        <v>2167511.07240855</v>
      </c>
      <c r="F455" s="10">
        <f t="shared" si="453"/>
        <v>2501187.1242974</v>
      </c>
      <c r="G455" s="10">
        <f t="shared" si="453"/>
        <v>2871970.4093916002</v>
      </c>
      <c r="H455" s="10">
        <f t="shared" si="453"/>
        <v>2871970.4093916002</v>
      </c>
      <c r="I455" s="10">
        <f t="shared" si="453"/>
        <v>2945269.2015296747</v>
      </c>
      <c r="J455" s="10">
        <f t="shared" ref="J455:O455" si="472">+J523+J591+J659</f>
        <v>2945605.9947754</v>
      </c>
      <c r="K455" s="10">
        <f t="shared" si="472"/>
        <v>3004927.1766365403</v>
      </c>
      <c r="L455" s="10">
        <f t="shared" si="472"/>
        <v>3374073.5066587874</v>
      </c>
      <c r="M455" s="10">
        <f t="shared" si="472"/>
        <v>3738598.9466182566</v>
      </c>
      <c r="N455" s="10">
        <f t="shared" si="472"/>
        <v>3661865.0504969703</v>
      </c>
      <c r="O455" s="10">
        <f t="shared" si="472"/>
        <v>3720433.3261410976</v>
      </c>
      <c r="P455" s="10">
        <f t="shared" ref="P455:T455" si="473">+P523+P591+P659</f>
        <v>4276142.2411157945</v>
      </c>
      <c r="Q455" s="10">
        <f t="shared" si="473"/>
        <v>4195244.1411077967</v>
      </c>
      <c r="R455" s="10">
        <f t="shared" si="473"/>
        <v>4161390.4126349483</v>
      </c>
      <c r="S455" s="10">
        <f t="shared" si="473"/>
        <v>4575742.2509903451</v>
      </c>
      <c r="T455" s="10">
        <f t="shared" si="473"/>
        <v>4364710.2882509464</v>
      </c>
    </row>
    <row r="456" spans="2:20" ht="15" customHeight="1">
      <c r="B456" s="11" t="s">
        <v>320</v>
      </c>
      <c r="C456" s="10">
        <f t="shared" ref="C456:I465" si="474">+C524+C592+C660</f>
        <v>4538.3503626159736</v>
      </c>
      <c r="D456" s="10">
        <f t="shared" si="474"/>
        <v>3958.7166415500001</v>
      </c>
      <c r="E456" s="10">
        <f t="shared" si="474"/>
        <v>3995.3765819</v>
      </c>
      <c r="F456" s="10">
        <f t="shared" si="474"/>
        <v>4149.7537663999992</v>
      </c>
      <c r="G456" s="10">
        <f t="shared" si="474"/>
        <v>3970.7311814500003</v>
      </c>
      <c r="H456" s="10">
        <f t="shared" si="474"/>
        <v>3970.7311814500003</v>
      </c>
      <c r="I456" s="10">
        <f t="shared" si="474"/>
        <v>4397.38843335</v>
      </c>
      <c r="J456" s="10">
        <f t="shared" ref="J456:O456" si="475">+J524+J592+J660</f>
        <v>5592.181705</v>
      </c>
      <c r="K456" s="10">
        <f t="shared" si="475"/>
        <v>6602.0565050000005</v>
      </c>
      <c r="L456" s="10">
        <f t="shared" si="475"/>
        <v>7005.0262524</v>
      </c>
      <c r="M456" s="10">
        <f t="shared" si="475"/>
        <v>7965.8478691</v>
      </c>
      <c r="N456" s="10">
        <f t="shared" si="475"/>
        <v>7016.9071324000006</v>
      </c>
      <c r="O456" s="10">
        <f t="shared" si="475"/>
        <v>7995.4609624999448</v>
      </c>
      <c r="P456" s="10">
        <f t="shared" ref="P456:T456" si="476">+P524+P592+P660</f>
        <v>6493.2573464000052</v>
      </c>
      <c r="Q456" s="10">
        <f t="shared" si="476"/>
        <v>7148.9334114000012</v>
      </c>
      <c r="R456" s="10">
        <f t="shared" si="476"/>
        <v>6094.6538224000042</v>
      </c>
      <c r="S456" s="10">
        <f t="shared" si="476"/>
        <v>5459.049019050005</v>
      </c>
      <c r="T456" s="10">
        <f t="shared" si="476"/>
        <v>5970.3946687000043</v>
      </c>
    </row>
    <row r="457" spans="2:20" ht="15" customHeight="1">
      <c r="B457" s="11" t="s">
        <v>321</v>
      </c>
      <c r="C457" s="10">
        <f t="shared" si="474"/>
        <v>10317.047126598298</v>
      </c>
      <c r="D457" s="10">
        <f t="shared" si="474"/>
        <v>12710.26195615</v>
      </c>
      <c r="E457" s="10">
        <f t="shared" si="474"/>
        <v>15738.95073685</v>
      </c>
      <c r="F457" s="10">
        <f t="shared" si="474"/>
        <v>11402.763686600001</v>
      </c>
      <c r="G457" s="10">
        <f t="shared" si="474"/>
        <v>6639.6149369000004</v>
      </c>
      <c r="H457" s="10">
        <f t="shared" si="474"/>
        <v>6639.6149369000004</v>
      </c>
      <c r="I457" s="10">
        <f t="shared" si="474"/>
        <v>6003.6091538499995</v>
      </c>
      <c r="J457" s="10">
        <f t="shared" ref="J457:O457" si="477">+J525+J593+J661</f>
        <v>7269.4872156499996</v>
      </c>
      <c r="K457" s="10">
        <f t="shared" si="477"/>
        <v>9103.0337238499997</v>
      </c>
      <c r="L457" s="10">
        <f t="shared" si="477"/>
        <v>8041.447393649998</v>
      </c>
      <c r="M457" s="10">
        <f t="shared" si="477"/>
        <v>10951.691226300001</v>
      </c>
      <c r="N457" s="10">
        <f t="shared" si="477"/>
        <v>11707.938940500004</v>
      </c>
      <c r="O457" s="10">
        <f t="shared" si="477"/>
        <v>14375.530650250015</v>
      </c>
      <c r="P457" s="10">
        <f t="shared" ref="P457:T457" si="478">+P525+P593+P661</f>
        <v>15957.544077750008</v>
      </c>
      <c r="Q457" s="10">
        <f t="shared" si="478"/>
        <v>16265.956871450004</v>
      </c>
      <c r="R457" s="10">
        <f t="shared" si="478"/>
        <v>16152.902872699993</v>
      </c>
      <c r="S457" s="10">
        <f t="shared" si="478"/>
        <v>14674.193696799994</v>
      </c>
      <c r="T457" s="10">
        <f t="shared" si="478"/>
        <v>12529.2344727</v>
      </c>
    </row>
    <row r="458" spans="2:20" ht="15" customHeight="1">
      <c r="B458" s="11" t="s">
        <v>322</v>
      </c>
      <c r="C458" s="10">
        <f t="shared" si="474"/>
        <v>70318.728187448636</v>
      </c>
      <c r="D458" s="10">
        <f t="shared" si="474"/>
        <v>58373.874745449997</v>
      </c>
      <c r="E458" s="10">
        <f t="shared" si="474"/>
        <v>40102.217414600003</v>
      </c>
      <c r="F458" s="10">
        <f t="shared" si="474"/>
        <v>33663.589839550004</v>
      </c>
      <c r="G458" s="10">
        <f t="shared" si="474"/>
        <v>55822.752787449994</v>
      </c>
      <c r="H458" s="10">
        <f t="shared" si="474"/>
        <v>55822.752787449994</v>
      </c>
      <c r="I458" s="10">
        <f t="shared" si="474"/>
        <v>88112.727260249594</v>
      </c>
      <c r="J458" s="10">
        <f t="shared" ref="J458:O458" si="479">+J526+J594+J662</f>
        <v>172224.74639369998</v>
      </c>
      <c r="K458" s="10">
        <f t="shared" si="479"/>
        <v>208419.72107934998</v>
      </c>
      <c r="L458" s="10">
        <f t="shared" si="479"/>
        <v>341264.34024264943</v>
      </c>
      <c r="M458" s="10">
        <f t="shared" si="479"/>
        <v>234829.71438024979</v>
      </c>
      <c r="N458" s="10">
        <f t="shared" si="479"/>
        <v>407229.00575225038</v>
      </c>
      <c r="O458" s="10">
        <f t="shared" si="479"/>
        <v>545936.49762027105</v>
      </c>
      <c r="P458" s="10">
        <f t="shared" ref="P458:T458" si="480">+P526+P594+P662</f>
        <v>387840.63480800018</v>
      </c>
      <c r="Q458" s="10">
        <f t="shared" si="480"/>
        <v>334663.5386556001</v>
      </c>
      <c r="R458" s="10">
        <f t="shared" si="480"/>
        <v>372125.84681085002</v>
      </c>
      <c r="S458" s="10">
        <f t="shared" si="480"/>
        <v>470358.87844275002</v>
      </c>
      <c r="T458" s="10">
        <f t="shared" si="480"/>
        <v>479977.08940004988</v>
      </c>
    </row>
    <row r="459" spans="2:20" ht="15" customHeight="1">
      <c r="B459" s="11" t="s">
        <v>323</v>
      </c>
      <c r="C459" s="10">
        <f t="shared" si="474"/>
        <v>584622.13979603827</v>
      </c>
      <c r="D459" s="10">
        <f t="shared" si="474"/>
        <v>568818.77547824918</v>
      </c>
      <c r="E459" s="10">
        <f t="shared" si="474"/>
        <v>514588.53584600001</v>
      </c>
      <c r="F459" s="10">
        <f t="shared" si="474"/>
        <v>577938.83598825068</v>
      </c>
      <c r="G459" s="10">
        <f t="shared" si="474"/>
        <v>646349.12124145078</v>
      </c>
      <c r="H459" s="10">
        <f t="shared" si="474"/>
        <v>646349.12124145078</v>
      </c>
      <c r="I459" s="10">
        <f t="shared" si="474"/>
        <v>551492.48719455686</v>
      </c>
      <c r="J459" s="10">
        <f t="shared" ref="J459:O459" si="481">+J527+J595+J663</f>
        <v>635534.18636949896</v>
      </c>
      <c r="K459" s="10">
        <f t="shared" si="481"/>
        <v>743545.02630484954</v>
      </c>
      <c r="L459" s="10">
        <f t="shared" si="481"/>
        <v>836421.92704069603</v>
      </c>
      <c r="M459" s="10">
        <f t="shared" si="481"/>
        <v>992815.26717450516</v>
      </c>
      <c r="N459" s="10">
        <f t="shared" si="481"/>
        <v>1186951.0517628575</v>
      </c>
      <c r="O459" s="10">
        <f t="shared" si="481"/>
        <v>1225000.1491557048</v>
      </c>
      <c r="P459" s="10">
        <f t="shared" ref="P459:T459" si="482">+P527+P595+P663</f>
        <v>1076840.7340971483</v>
      </c>
      <c r="Q459" s="10">
        <f t="shared" si="482"/>
        <v>1394382.6474781474</v>
      </c>
      <c r="R459" s="10">
        <f t="shared" si="482"/>
        <v>1534041.7532808469</v>
      </c>
      <c r="S459" s="10">
        <f t="shared" si="482"/>
        <v>1664524.839628747</v>
      </c>
      <c r="T459" s="10">
        <f t="shared" si="482"/>
        <v>1820744.6001057466</v>
      </c>
    </row>
    <row r="460" spans="2:20" ht="15" customHeight="1">
      <c r="B460" s="11" t="s">
        <v>324</v>
      </c>
      <c r="C460" s="10">
        <f t="shared" si="474"/>
        <v>1031591.1889999011</v>
      </c>
      <c r="D460" s="10">
        <f t="shared" si="474"/>
        <v>1064074.2904297002</v>
      </c>
      <c r="E460" s="10">
        <f t="shared" si="474"/>
        <v>1223297.9086482001</v>
      </c>
      <c r="F460" s="10">
        <f t="shared" si="474"/>
        <v>1378149.2442179001</v>
      </c>
      <c r="G460" s="10">
        <f t="shared" si="474"/>
        <v>1496082.6609795</v>
      </c>
      <c r="H460" s="10">
        <f t="shared" si="474"/>
        <v>1496082.6609795</v>
      </c>
      <c r="I460" s="10">
        <f t="shared" si="474"/>
        <v>1419705.7556000194</v>
      </c>
      <c r="J460" s="10">
        <f t="shared" ref="J460:O460" si="483">+J528+J596+J664</f>
        <v>1555393.5510283501</v>
      </c>
      <c r="K460" s="10">
        <f t="shared" si="483"/>
        <v>1598404.9578474998</v>
      </c>
      <c r="L460" s="10">
        <f t="shared" si="483"/>
        <v>1609072.3247643004</v>
      </c>
      <c r="M460" s="10">
        <f t="shared" si="483"/>
        <v>1873356.1143913008</v>
      </c>
      <c r="N460" s="10">
        <f t="shared" si="483"/>
        <v>1860624.2589357519</v>
      </c>
      <c r="O460" s="10">
        <f t="shared" si="483"/>
        <v>2313082.6090365667</v>
      </c>
      <c r="P460" s="10">
        <f t="shared" ref="P460:T460" si="484">+P528+P596+P664</f>
        <v>2670461.6848249999</v>
      </c>
      <c r="Q460" s="10">
        <f t="shared" si="484"/>
        <v>2356933.645070951</v>
      </c>
      <c r="R460" s="10">
        <f t="shared" si="484"/>
        <v>2502952.1923835021</v>
      </c>
      <c r="S460" s="10">
        <f t="shared" si="484"/>
        <v>2861447.603082201</v>
      </c>
      <c r="T460" s="10">
        <f t="shared" si="484"/>
        <v>2927821.9510364002</v>
      </c>
    </row>
    <row r="461" spans="2:20" ht="15" customHeight="1">
      <c r="B461" s="11" t="s">
        <v>325</v>
      </c>
      <c r="C461" s="10">
        <f t="shared" si="474"/>
        <v>463.48095349665732</v>
      </c>
      <c r="D461" s="10">
        <f t="shared" si="474"/>
        <v>299.88826230000001</v>
      </c>
      <c r="E461" s="10">
        <f t="shared" si="474"/>
        <v>352.63194394999999</v>
      </c>
      <c r="F461" s="10">
        <f t="shared" si="474"/>
        <v>454.8000864</v>
      </c>
      <c r="G461" s="10">
        <f t="shared" si="474"/>
        <v>483.86368910000004</v>
      </c>
      <c r="H461" s="10">
        <f t="shared" si="474"/>
        <v>483.86368910000004</v>
      </c>
      <c r="I461" s="10">
        <f t="shared" si="474"/>
        <v>334.12747335</v>
      </c>
      <c r="J461" s="10">
        <f t="shared" ref="J461:O461" si="485">+J529+J597+J665</f>
        <v>595.19496024999989</v>
      </c>
      <c r="K461" s="10">
        <f t="shared" si="485"/>
        <v>682.29666174999988</v>
      </c>
      <c r="L461" s="10">
        <f t="shared" si="485"/>
        <v>393.96255524999998</v>
      </c>
      <c r="M461" s="10">
        <f t="shared" si="485"/>
        <v>775.73978295000006</v>
      </c>
      <c r="N461" s="10">
        <f t="shared" si="485"/>
        <v>963.30175039999995</v>
      </c>
      <c r="O461" s="10">
        <f t="shared" si="485"/>
        <v>963.30175039999949</v>
      </c>
      <c r="P461" s="10">
        <f t="shared" ref="P461:T461" si="486">+P529+P597+P665</f>
        <v>827.8374417499997</v>
      </c>
      <c r="Q461" s="10">
        <f t="shared" si="486"/>
        <v>1475.0558052999995</v>
      </c>
      <c r="R461" s="10">
        <f t="shared" si="486"/>
        <v>436.49610564999989</v>
      </c>
      <c r="S461" s="10">
        <f t="shared" si="486"/>
        <v>466.59928534999995</v>
      </c>
      <c r="T461" s="10">
        <f t="shared" si="486"/>
        <v>455.93619554999992</v>
      </c>
    </row>
    <row r="462" spans="2:20" ht="15" customHeight="1">
      <c r="B462" s="11" t="s">
        <v>326</v>
      </c>
      <c r="C462" s="10">
        <f t="shared" si="474"/>
        <v>1331.3851889114158</v>
      </c>
      <c r="D462" s="10">
        <f t="shared" si="474"/>
        <v>2377.9804086499998</v>
      </c>
      <c r="E462" s="10">
        <f t="shared" si="474"/>
        <v>2349.3994667000002</v>
      </c>
      <c r="F462" s="10">
        <f t="shared" si="474"/>
        <v>1945.23420575</v>
      </c>
      <c r="G462" s="10">
        <f t="shared" si="474"/>
        <v>1659.3876585</v>
      </c>
      <c r="H462" s="10">
        <f t="shared" si="474"/>
        <v>1659.3876585</v>
      </c>
      <c r="I462" s="10">
        <f t="shared" si="474"/>
        <v>2790.46971115</v>
      </c>
      <c r="J462" s="10">
        <f t="shared" ref="J462:O462" si="487">+J530+J598+J666</f>
        <v>2932.8100791000002</v>
      </c>
      <c r="K462" s="10">
        <f t="shared" si="487"/>
        <v>2528.9492657000001</v>
      </c>
      <c r="L462" s="10">
        <f t="shared" si="487"/>
        <v>2567.4358913500005</v>
      </c>
      <c r="M462" s="10">
        <f t="shared" si="487"/>
        <v>3569.0386286500002</v>
      </c>
      <c r="N462" s="10">
        <f t="shared" si="487"/>
        <v>4013.8884780500007</v>
      </c>
      <c r="O462" s="10">
        <f t="shared" si="487"/>
        <v>4935.614574000002</v>
      </c>
      <c r="P462" s="10">
        <f t="shared" ref="P462:T462" si="488">+P530+P598+P666</f>
        <v>5035.354561600001</v>
      </c>
      <c r="Q462" s="10">
        <f t="shared" si="488"/>
        <v>4331.6203370000012</v>
      </c>
      <c r="R462" s="10">
        <f t="shared" si="488"/>
        <v>4583.7548872500001</v>
      </c>
      <c r="S462" s="10">
        <f t="shared" si="488"/>
        <v>4775.7127803000003</v>
      </c>
      <c r="T462" s="10">
        <f t="shared" si="488"/>
        <v>3840.4721833500003</v>
      </c>
    </row>
    <row r="463" spans="2:20" ht="15" customHeight="1">
      <c r="B463" s="11" t="s">
        <v>327</v>
      </c>
      <c r="C463" s="10">
        <f t="shared" si="474"/>
        <v>15797.681919246008</v>
      </c>
      <c r="D463" s="10">
        <f t="shared" si="474"/>
        <v>62083.360226799989</v>
      </c>
      <c r="E463" s="10">
        <f t="shared" si="474"/>
        <v>25762.240297750002</v>
      </c>
      <c r="F463" s="10">
        <f t="shared" si="474"/>
        <v>29258.189237750001</v>
      </c>
      <c r="G463" s="10">
        <f t="shared" si="474"/>
        <v>6493.7771349000004</v>
      </c>
      <c r="H463" s="10">
        <f t="shared" si="474"/>
        <v>6493.7771349000004</v>
      </c>
      <c r="I463" s="10">
        <f t="shared" si="474"/>
        <v>70523.60420875001</v>
      </c>
      <c r="J463" s="10">
        <f t="shared" ref="J463:O463" si="489">+J531+J599+J667</f>
        <v>180603.32118290002</v>
      </c>
      <c r="K463" s="10">
        <f t="shared" si="489"/>
        <v>204058.01241375</v>
      </c>
      <c r="L463" s="10">
        <f t="shared" si="489"/>
        <v>274181.17898764991</v>
      </c>
      <c r="M463" s="10">
        <f t="shared" si="489"/>
        <v>248861.05593689965</v>
      </c>
      <c r="N463" s="10">
        <f t="shared" si="489"/>
        <v>436509.10778804851</v>
      </c>
      <c r="O463" s="10">
        <f t="shared" si="489"/>
        <v>368766.92154500622</v>
      </c>
      <c r="P463" s="10">
        <f t="shared" ref="P463:T463" si="490">+P531+P599+P667</f>
        <v>471478.59197835019</v>
      </c>
      <c r="Q463" s="10">
        <f t="shared" si="490"/>
        <v>426781.07294625021</v>
      </c>
      <c r="R463" s="10">
        <f t="shared" si="490"/>
        <v>403093.21944539977</v>
      </c>
      <c r="S463" s="10">
        <f t="shared" si="490"/>
        <v>500377.00589305029</v>
      </c>
      <c r="T463" s="10">
        <f t="shared" si="490"/>
        <v>512769.10530834994</v>
      </c>
    </row>
    <row r="464" spans="2:20" ht="15" customHeight="1">
      <c r="B464" s="11" t="s">
        <v>328</v>
      </c>
      <c r="C464" s="10">
        <f t="shared" si="474"/>
        <v>429630.45589490741</v>
      </c>
      <c r="D464" s="10">
        <f t="shared" si="474"/>
        <v>359626.01751615002</v>
      </c>
      <c r="E464" s="10">
        <f t="shared" si="474"/>
        <v>350898.68692010007</v>
      </c>
      <c r="F464" s="10">
        <f t="shared" si="474"/>
        <v>417863.05422619998</v>
      </c>
      <c r="G464" s="10">
        <f t="shared" si="474"/>
        <v>378688.03553790075</v>
      </c>
      <c r="H464" s="10">
        <f t="shared" si="474"/>
        <v>378688.03553790075</v>
      </c>
      <c r="I464" s="10">
        <f t="shared" si="474"/>
        <v>432671.0117807007</v>
      </c>
      <c r="J464" s="10">
        <f t="shared" ref="J464:O464" si="491">+J532+J600+J668</f>
        <v>747650.76883640001</v>
      </c>
      <c r="K464" s="10">
        <f t="shared" si="491"/>
        <v>896863.3050982001</v>
      </c>
      <c r="L464" s="10">
        <f t="shared" si="491"/>
        <v>820447.02945260017</v>
      </c>
      <c r="M464" s="10">
        <f t="shared" si="491"/>
        <v>1057761.3402883986</v>
      </c>
      <c r="N464" s="10">
        <f t="shared" si="491"/>
        <v>1160782.52249685</v>
      </c>
      <c r="O464" s="10">
        <f t="shared" si="491"/>
        <v>1265366.4414050782</v>
      </c>
      <c r="P464" s="10">
        <f t="shared" ref="P464:T464" si="492">+P532+P600+P668</f>
        <v>1355385.5746700489</v>
      </c>
      <c r="Q464" s="10">
        <f t="shared" si="492"/>
        <v>1517247.1863560001</v>
      </c>
      <c r="R464" s="10">
        <f t="shared" si="492"/>
        <v>1540687.1972745005</v>
      </c>
      <c r="S464" s="10">
        <f t="shared" si="492"/>
        <v>1569851.8765611001</v>
      </c>
      <c r="T464" s="10">
        <f t="shared" si="492"/>
        <v>2053324.4693681495</v>
      </c>
    </row>
    <row r="465" spans="2:20" ht="15" customHeight="1">
      <c r="B465" s="11" t="s">
        <v>329</v>
      </c>
      <c r="C465" s="10">
        <f t="shared" si="474"/>
        <v>1899877.8363679526</v>
      </c>
      <c r="D465" s="10">
        <f t="shared" si="474"/>
        <v>1962067.4449392501</v>
      </c>
      <c r="E465" s="10">
        <f t="shared" si="474"/>
        <v>2017435.28625705</v>
      </c>
      <c r="F465" s="10">
        <f t="shared" si="474"/>
        <v>1950802.1727364503</v>
      </c>
      <c r="G465" s="10">
        <f t="shared" si="474"/>
        <v>2626137.1214672001</v>
      </c>
      <c r="H465" s="10">
        <f t="shared" si="474"/>
        <v>2626137.1214672001</v>
      </c>
      <c r="I465" s="10">
        <f t="shared" si="474"/>
        <v>3203443.590191952</v>
      </c>
      <c r="J465" s="10">
        <f t="shared" ref="J465:O465" si="493">+J533+J601+J669</f>
        <v>2888519.2500158437</v>
      </c>
      <c r="K465" s="10">
        <f t="shared" si="493"/>
        <v>2932736.8334747902</v>
      </c>
      <c r="L465" s="10">
        <f t="shared" si="493"/>
        <v>3315627.9976324881</v>
      </c>
      <c r="M465" s="10">
        <f t="shared" si="493"/>
        <v>3583043.9510794589</v>
      </c>
      <c r="N465" s="10">
        <f t="shared" si="493"/>
        <v>3633094.482276618</v>
      </c>
      <c r="O465" s="10">
        <f t="shared" si="493"/>
        <v>3605574.9781455635</v>
      </c>
      <c r="P465" s="10">
        <f t="shared" ref="P465:T465" si="494">+P533+P601+P669</f>
        <v>4184870.2467781003</v>
      </c>
      <c r="Q465" s="10">
        <f t="shared" si="494"/>
        <v>4074295.4906620951</v>
      </c>
      <c r="R465" s="10">
        <f t="shared" si="494"/>
        <v>4459060.3661279492</v>
      </c>
      <c r="S465" s="10">
        <f t="shared" si="494"/>
        <v>4621448.946820748</v>
      </c>
      <c r="T465" s="10">
        <f t="shared" si="494"/>
        <v>4283749.2195789469</v>
      </c>
    </row>
    <row r="466" spans="2:20" ht="15" customHeight="1">
      <c r="B466" s="11" t="s">
        <v>330</v>
      </c>
      <c r="C466" s="10">
        <f t="shared" ref="C466:I475" si="495">+C534+C602+C670</f>
        <v>9085.0629875695195</v>
      </c>
      <c r="D466" s="10">
        <f t="shared" si="495"/>
        <v>10910.5388282</v>
      </c>
      <c r="E466" s="10">
        <f t="shared" si="495"/>
        <v>10150.533785699999</v>
      </c>
      <c r="F466" s="10">
        <f t="shared" si="495"/>
        <v>19639.428789750149</v>
      </c>
      <c r="G466" s="10">
        <f t="shared" si="495"/>
        <v>18252.91524265015</v>
      </c>
      <c r="H466" s="10">
        <f t="shared" si="495"/>
        <v>18252.91524265015</v>
      </c>
      <c r="I466" s="10">
        <f t="shared" si="495"/>
        <v>23733.854783098664</v>
      </c>
      <c r="J466" s="10">
        <f t="shared" ref="J466:O466" si="496">+J534+J602+J670</f>
        <v>22230.054673750157</v>
      </c>
      <c r="K466" s="10">
        <f t="shared" si="496"/>
        <v>26055.88367250012</v>
      </c>
      <c r="L466" s="10">
        <f t="shared" si="496"/>
        <v>29236.796228200139</v>
      </c>
      <c r="M466" s="10">
        <f t="shared" si="496"/>
        <v>29880.532008800212</v>
      </c>
      <c r="N466" s="10">
        <f t="shared" si="496"/>
        <v>22502.089698000029</v>
      </c>
      <c r="O466" s="10">
        <f t="shared" si="496"/>
        <v>15877.533776499067</v>
      </c>
      <c r="P466" s="10">
        <f t="shared" ref="P466:T466" si="497">+P534+P602+P670</f>
        <v>13482.704794899992</v>
      </c>
      <c r="Q466" s="10">
        <f t="shared" si="497"/>
        <v>10580.294917500001</v>
      </c>
      <c r="R466" s="10">
        <f t="shared" si="497"/>
        <v>9552.5987975000025</v>
      </c>
      <c r="S466" s="10">
        <f t="shared" si="497"/>
        <v>9572.9448045000045</v>
      </c>
      <c r="T466" s="10">
        <f t="shared" si="497"/>
        <v>10510.791769500005</v>
      </c>
    </row>
    <row r="467" spans="2:20" ht="15" customHeight="1">
      <c r="B467" s="11" t="s">
        <v>331</v>
      </c>
      <c r="C467" s="10">
        <f t="shared" si="495"/>
        <v>25705.190317077759</v>
      </c>
      <c r="D467" s="10">
        <f t="shared" si="495"/>
        <v>26216.238424749994</v>
      </c>
      <c r="E467" s="10">
        <f t="shared" si="495"/>
        <v>34843.903288699999</v>
      </c>
      <c r="F467" s="10">
        <f t="shared" si="495"/>
        <v>29059.481519749927</v>
      </c>
      <c r="G467" s="10">
        <f t="shared" si="495"/>
        <v>26686.929188149999</v>
      </c>
      <c r="H467" s="10">
        <f t="shared" si="495"/>
        <v>26686.929188149999</v>
      </c>
      <c r="I467" s="10">
        <f t="shared" si="495"/>
        <v>33371.958788850061</v>
      </c>
      <c r="J467" s="10">
        <f t="shared" ref="J467:O467" si="498">+J535+J603+J671</f>
        <v>54822.286159300136</v>
      </c>
      <c r="K467" s="10">
        <f t="shared" si="498"/>
        <v>40735.119317750054</v>
      </c>
      <c r="L467" s="10">
        <f t="shared" si="498"/>
        <v>31439.377720299999</v>
      </c>
      <c r="M467" s="10">
        <f t="shared" si="498"/>
        <v>38369.29453444996</v>
      </c>
      <c r="N467" s="10">
        <f t="shared" si="498"/>
        <v>44948.977857299942</v>
      </c>
      <c r="O467" s="10">
        <f t="shared" si="498"/>
        <v>93407.604794345913</v>
      </c>
      <c r="P467" s="10">
        <f t="shared" ref="P467:T467" si="499">+P535+P603+P671</f>
        <v>79777.391448699913</v>
      </c>
      <c r="Q467" s="10">
        <f t="shared" si="499"/>
        <v>78130.077734499908</v>
      </c>
      <c r="R467" s="10">
        <f t="shared" si="499"/>
        <v>86387.356164449811</v>
      </c>
      <c r="S467" s="10">
        <f t="shared" si="499"/>
        <v>92418.58093874999</v>
      </c>
      <c r="T467" s="10">
        <f t="shared" si="499"/>
        <v>90861.829232349977</v>
      </c>
    </row>
    <row r="468" spans="2:20" ht="15" customHeight="1">
      <c r="B468" s="11" t="s">
        <v>332</v>
      </c>
      <c r="C468" s="10">
        <f t="shared" si="495"/>
        <v>141646.63800231117</v>
      </c>
      <c r="D468" s="10">
        <f t="shared" si="495"/>
        <v>89400.310204699999</v>
      </c>
      <c r="E468" s="10">
        <f t="shared" si="495"/>
        <v>93698.649226599999</v>
      </c>
      <c r="F468" s="10">
        <f t="shared" si="495"/>
        <v>74608.250752749998</v>
      </c>
      <c r="G468" s="10">
        <f t="shared" si="495"/>
        <v>159977.48233115001</v>
      </c>
      <c r="H468" s="10">
        <f t="shared" si="495"/>
        <v>159977.48233115001</v>
      </c>
      <c r="I468" s="10">
        <f t="shared" si="495"/>
        <v>309485.41439749842</v>
      </c>
      <c r="J468" s="10">
        <f t="shared" ref="J468:O468" si="500">+J536+J604+J672</f>
        <v>488014.17057030177</v>
      </c>
      <c r="K468" s="10">
        <f t="shared" si="500"/>
        <v>596815.77217625477</v>
      </c>
      <c r="L468" s="10">
        <f t="shared" si="500"/>
        <v>673002.76168895222</v>
      </c>
      <c r="M468" s="10">
        <f t="shared" si="500"/>
        <v>850286.527872095</v>
      </c>
      <c r="N468" s="10">
        <f t="shared" si="500"/>
        <v>1006085.5938138488</v>
      </c>
      <c r="O468" s="10">
        <f t="shared" si="500"/>
        <v>1100974.7740463926</v>
      </c>
      <c r="P468" s="10">
        <f t="shared" ref="P468:T468" si="501">+P536+P604+P672</f>
        <v>945262.14150665049</v>
      </c>
      <c r="Q468" s="10">
        <f t="shared" si="501"/>
        <v>824179.80145875039</v>
      </c>
      <c r="R468" s="10">
        <f t="shared" si="501"/>
        <v>902441.46736479958</v>
      </c>
      <c r="S468" s="10">
        <f t="shared" si="501"/>
        <v>792146.29063185083</v>
      </c>
      <c r="T468" s="10">
        <f t="shared" si="501"/>
        <v>724650.00147704931</v>
      </c>
    </row>
    <row r="469" spans="2:20" ht="15" customHeight="1">
      <c r="B469" s="11" t="s">
        <v>333</v>
      </c>
      <c r="C469" s="10">
        <f t="shared" si="495"/>
        <v>82587.830434003175</v>
      </c>
      <c r="D469" s="10">
        <f t="shared" si="495"/>
        <v>138297.58665690001</v>
      </c>
      <c r="E469" s="10">
        <f t="shared" si="495"/>
        <v>138946.41636479998</v>
      </c>
      <c r="F469" s="10">
        <f t="shared" si="495"/>
        <v>158891.64415464926</v>
      </c>
      <c r="G469" s="10">
        <f t="shared" si="495"/>
        <v>240473.2957423515</v>
      </c>
      <c r="H469" s="10">
        <f t="shared" si="495"/>
        <v>240473.2957423515</v>
      </c>
      <c r="I469" s="10">
        <f t="shared" si="495"/>
        <v>149609.69922910089</v>
      </c>
      <c r="J469" s="10">
        <f t="shared" ref="J469:O469" si="502">+J537+J605+J673</f>
        <v>35524.328711850001</v>
      </c>
      <c r="K469" s="10">
        <f t="shared" si="502"/>
        <v>50917.196839850018</v>
      </c>
      <c r="L469" s="10">
        <f t="shared" si="502"/>
        <v>47097.969155049992</v>
      </c>
      <c r="M469" s="10">
        <f t="shared" si="502"/>
        <v>70513.223289850052</v>
      </c>
      <c r="N469" s="10">
        <f t="shared" si="502"/>
        <v>71537.733848900054</v>
      </c>
      <c r="O469" s="10">
        <f t="shared" si="502"/>
        <v>129282.99123355033</v>
      </c>
      <c r="P469" s="10">
        <f t="shared" ref="P469:T469" si="503">+P537+P605+P673</f>
        <v>388858.64058525022</v>
      </c>
      <c r="Q469" s="10">
        <f t="shared" si="503"/>
        <v>531008.88475305052</v>
      </c>
      <c r="R469" s="10">
        <f t="shared" si="503"/>
        <v>632827.09073375049</v>
      </c>
      <c r="S469" s="10">
        <f t="shared" si="503"/>
        <v>887003.31823290314</v>
      </c>
      <c r="T469" s="10">
        <f t="shared" si="503"/>
        <v>1031174.255045553</v>
      </c>
    </row>
    <row r="470" spans="2:20" ht="15" customHeight="1">
      <c r="B470" s="11" t="s">
        <v>334</v>
      </c>
      <c r="C470" s="10">
        <f t="shared" si="495"/>
        <v>11288.383554164511</v>
      </c>
      <c r="D470" s="10">
        <f t="shared" si="495"/>
        <v>5619.7379210499994</v>
      </c>
      <c r="E470" s="10">
        <f t="shared" si="495"/>
        <v>2280.9953000999999</v>
      </c>
      <c r="F470" s="10">
        <f t="shared" si="495"/>
        <v>15011.231985750001</v>
      </c>
      <c r="G470" s="10">
        <f t="shared" si="495"/>
        <v>2410.1627423499999</v>
      </c>
      <c r="H470" s="10">
        <f t="shared" si="495"/>
        <v>2410.1627423499999</v>
      </c>
      <c r="I470" s="10">
        <f t="shared" si="495"/>
        <v>2518.94704985</v>
      </c>
      <c r="J470" s="10">
        <f t="shared" ref="J470:O470" si="504">+J538+J606+J674</f>
        <v>1436.91075495</v>
      </c>
      <c r="K470" s="10">
        <f t="shared" si="504"/>
        <v>2852.8146289500005</v>
      </c>
      <c r="L470" s="10">
        <f t="shared" si="504"/>
        <v>1609.5770691</v>
      </c>
      <c r="M470" s="10">
        <f t="shared" si="504"/>
        <v>1515.9260325</v>
      </c>
      <c r="N470" s="10">
        <f t="shared" si="504"/>
        <v>1524.0347331</v>
      </c>
      <c r="O470" s="10">
        <f t="shared" si="504"/>
        <v>209.37080779999999</v>
      </c>
      <c r="P470" s="10">
        <f t="shared" ref="P470:T470" si="505">+P538+P606+P674</f>
        <v>0.37127750000000004</v>
      </c>
      <c r="Q470" s="10">
        <f t="shared" si="505"/>
        <v>1.4851100000000002</v>
      </c>
      <c r="R470" s="10">
        <f t="shared" si="505"/>
        <v>0</v>
      </c>
      <c r="S470" s="10">
        <f t="shared" si="505"/>
        <v>0.37127750000000004</v>
      </c>
      <c r="T470" s="10">
        <f t="shared" si="505"/>
        <v>2.5989425000000002</v>
      </c>
    </row>
    <row r="471" spans="2:20" ht="15" customHeight="1">
      <c r="B471" s="11" t="s">
        <v>335</v>
      </c>
      <c r="C471" s="10">
        <f t="shared" si="495"/>
        <v>2027.415964527253</v>
      </c>
      <c r="D471" s="10">
        <f t="shared" si="495"/>
        <v>2370.0647723500001</v>
      </c>
      <c r="E471" s="10">
        <f t="shared" si="495"/>
        <v>2398.5863098999998</v>
      </c>
      <c r="F471" s="10">
        <f t="shared" si="495"/>
        <v>4173.4115687000003</v>
      </c>
      <c r="G471" s="10">
        <f t="shared" si="495"/>
        <v>5355.2992344500071</v>
      </c>
      <c r="H471" s="10">
        <f t="shared" si="495"/>
        <v>5355.2992344500071</v>
      </c>
      <c r="I471" s="10">
        <f t="shared" si="495"/>
        <v>5808.8221262499574</v>
      </c>
      <c r="J471" s="10">
        <f t="shared" ref="J471:O471" si="506">+J539+J607+J675</f>
        <v>5944.7319679000057</v>
      </c>
      <c r="K471" s="10">
        <f t="shared" si="506"/>
        <v>5843.1058906000053</v>
      </c>
      <c r="L471" s="10">
        <f t="shared" si="506"/>
        <v>5750.427601050008</v>
      </c>
      <c r="M471" s="10">
        <f t="shared" si="506"/>
        <v>5253.5989016500016</v>
      </c>
      <c r="N471" s="10">
        <f t="shared" si="506"/>
        <v>4224.4696504999984</v>
      </c>
      <c r="O471" s="10">
        <f t="shared" si="506"/>
        <v>2345.939160400013</v>
      </c>
      <c r="P471" s="10">
        <f t="shared" ref="P471:T471" si="507">+P539+P607+P675</f>
        <v>2433.0408618999986</v>
      </c>
      <c r="Q471" s="10">
        <f t="shared" si="507"/>
        <v>2009.1459145999995</v>
      </c>
      <c r="R471" s="10">
        <f t="shared" si="507"/>
        <v>1608.4780876999998</v>
      </c>
      <c r="S471" s="10">
        <f t="shared" si="507"/>
        <v>1627.0122605000006</v>
      </c>
      <c r="T471" s="10">
        <f t="shared" si="507"/>
        <v>1672.3526687999999</v>
      </c>
    </row>
    <row r="472" spans="2:20" ht="15" customHeight="1">
      <c r="B472" s="11" t="s">
        <v>336</v>
      </c>
      <c r="C472" s="10">
        <f t="shared" si="495"/>
        <v>8182.3050964753138</v>
      </c>
      <c r="D472" s="10">
        <f t="shared" si="495"/>
        <v>8017.7970169</v>
      </c>
      <c r="E472" s="10">
        <f t="shared" si="495"/>
        <v>10694.648387499999</v>
      </c>
      <c r="F472" s="10">
        <f t="shared" si="495"/>
        <v>11124.045667349999</v>
      </c>
      <c r="G472" s="10">
        <f t="shared" si="495"/>
        <v>7341.4630717999999</v>
      </c>
      <c r="H472" s="10">
        <f t="shared" si="495"/>
        <v>7341.4630717999999</v>
      </c>
      <c r="I472" s="10">
        <f t="shared" si="495"/>
        <v>9748.3956999000002</v>
      </c>
      <c r="J472" s="10">
        <f t="shared" ref="J472:O472" si="508">+J540+J608+J676</f>
        <v>12971.46310295</v>
      </c>
      <c r="K472" s="10">
        <f t="shared" si="508"/>
        <v>7701.1418627000003</v>
      </c>
      <c r="L472" s="10">
        <f t="shared" si="508"/>
        <v>5527.096759250001</v>
      </c>
      <c r="M472" s="10">
        <f t="shared" si="508"/>
        <v>8161.4517072000017</v>
      </c>
      <c r="N472" s="10">
        <f t="shared" si="508"/>
        <v>9122.0505573999999</v>
      </c>
      <c r="O472" s="10">
        <f t="shared" si="508"/>
        <v>15941.289548800018</v>
      </c>
      <c r="P472" s="10">
        <f t="shared" ref="P472:T472" si="509">+P540+P608+P676</f>
        <v>13903.948820849995</v>
      </c>
      <c r="Q472" s="10">
        <f t="shared" si="509"/>
        <v>14416.541962900001</v>
      </c>
      <c r="R472" s="10">
        <f t="shared" si="509"/>
        <v>16976.804772949999</v>
      </c>
      <c r="S472" s="10">
        <f t="shared" si="509"/>
        <v>18013.745702700005</v>
      </c>
      <c r="T472" s="10">
        <f t="shared" si="509"/>
        <v>25176.416381600025</v>
      </c>
    </row>
    <row r="473" spans="2:20" ht="15" customHeight="1">
      <c r="B473" s="11" t="s">
        <v>337</v>
      </c>
      <c r="C473" s="10">
        <f t="shared" si="495"/>
        <v>77827.142293984085</v>
      </c>
      <c r="D473" s="10">
        <f t="shared" si="495"/>
        <v>56533.348220250002</v>
      </c>
      <c r="E473" s="10">
        <f t="shared" si="495"/>
        <v>55955.781515700008</v>
      </c>
      <c r="F473" s="10">
        <f t="shared" si="495"/>
        <v>43158.8708166</v>
      </c>
      <c r="G473" s="10">
        <f t="shared" si="495"/>
        <v>67437.716416399999</v>
      </c>
      <c r="H473" s="10">
        <f t="shared" si="495"/>
        <v>67437.716416399999</v>
      </c>
      <c r="I473" s="10">
        <f t="shared" si="495"/>
        <v>214281.39827050397</v>
      </c>
      <c r="J473" s="10">
        <f t="shared" ref="J473:O473" si="510">+J541+J609+J677</f>
        <v>363419.2929036956</v>
      </c>
      <c r="K473" s="10">
        <f t="shared" si="510"/>
        <v>396449.92143569555</v>
      </c>
      <c r="L473" s="10">
        <f t="shared" si="510"/>
        <v>443417.21576185507</v>
      </c>
      <c r="M473" s="10">
        <f t="shared" si="510"/>
        <v>594930.46215899929</v>
      </c>
      <c r="N473" s="10">
        <f t="shared" si="510"/>
        <v>675400.6945504474</v>
      </c>
      <c r="O473" s="10">
        <f t="shared" si="510"/>
        <v>671896.84482515277</v>
      </c>
      <c r="P473" s="10">
        <f t="shared" ref="P473:T473" si="511">+P541+P609+P677</f>
        <v>663931.86574550089</v>
      </c>
      <c r="Q473" s="10">
        <f t="shared" si="511"/>
        <v>575330.09918780043</v>
      </c>
      <c r="R473" s="10">
        <f t="shared" si="511"/>
        <v>577491.82530380099</v>
      </c>
      <c r="S473" s="10">
        <f t="shared" si="511"/>
        <v>513637.21150775044</v>
      </c>
      <c r="T473" s="10">
        <f t="shared" si="511"/>
        <v>422536.80677945004</v>
      </c>
    </row>
    <row r="474" spans="2:20" ht="15" customHeight="1">
      <c r="B474" s="11" t="s">
        <v>338</v>
      </c>
      <c r="C474" s="10">
        <f t="shared" si="495"/>
        <v>26645.000896637779</v>
      </c>
      <c r="D474" s="10">
        <f t="shared" si="495"/>
        <v>55129.681652650077</v>
      </c>
      <c r="E474" s="10">
        <f t="shared" si="495"/>
        <v>54221.395802200001</v>
      </c>
      <c r="F474" s="10">
        <f t="shared" si="495"/>
        <v>90187.411079150013</v>
      </c>
      <c r="G474" s="10">
        <f t="shared" si="495"/>
        <v>151524.11740234998</v>
      </c>
      <c r="H474" s="10">
        <f t="shared" si="495"/>
        <v>151524.11740234998</v>
      </c>
      <c r="I474" s="10">
        <f t="shared" si="495"/>
        <v>96693.722542448348</v>
      </c>
      <c r="J474" s="10">
        <f t="shared" ref="J474:O474" si="512">+J542+J610+J678</f>
        <v>5327.7133162000009</v>
      </c>
      <c r="K474" s="10">
        <f t="shared" si="512"/>
        <v>9057.128973750001</v>
      </c>
      <c r="L474" s="10">
        <f t="shared" si="512"/>
        <v>5964.28344105</v>
      </c>
      <c r="M474" s="10">
        <f t="shared" si="512"/>
        <v>9858.3161165500005</v>
      </c>
      <c r="N474" s="10">
        <f t="shared" si="512"/>
        <v>21030.939731999995</v>
      </c>
      <c r="O474" s="10">
        <f t="shared" si="512"/>
        <v>46729.260895350126</v>
      </c>
      <c r="P474" s="10">
        <f t="shared" ref="P474:T474" si="513">+P542+P610+P678</f>
        <v>275325.7458391001</v>
      </c>
      <c r="Q474" s="10">
        <f t="shared" si="513"/>
        <v>414119.19587390061</v>
      </c>
      <c r="R474" s="10">
        <f t="shared" si="513"/>
        <v>508431.18810495129</v>
      </c>
      <c r="S474" s="10">
        <f t="shared" si="513"/>
        <v>722663.68170315237</v>
      </c>
      <c r="T474" s="10">
        <f t="shared" si="513"/>
        <v>863365.70600335358</v>
      </c>
    </row>
    <row r="475" spans="2:20" ht="15" customHeight="1">
      <c r="B475" s="11" t="s">
        <v>339</v>
      </c>
      <c r="C475" s="10">
        <f t="shared" si="495"/>
        <v>14477.36053914645</v>
      </c>
      <c r="D475" s="10">
        <f t="shared" si="495"/>
        <v>9685.1894183000004</v>
      </c>
      <c r="E475" s="10">
        <f t="shared" si="495"/>
        <v>4811.9197621000003</v>
      </c>
      <c r="F475" s="10">
        <f t="shared" si="495"/>
        <v>8698.4526320999994</v>
      </c>
      <c r="G475" s="10">
        <f t="shared" si="495"/>
        <v>10535.682213100001</v>
      </c>
      <c r="H475" s="10">
        <f t="shared" si="495"/>
        <v>10535.682213100001</v>
      </c>
      <c r="I475" s="10">
        <f t="shared" si="495"/>
        <v>8823.1573188000002</v>
      </c>
      <c r="J475" s="10">
        <f t="shared" ref="J475:O475" si="514">+J543+J611+J679</f>
        <v>2184.7156187999999</v>
      </c>
      <c r="K475" s="10">
        <f t="shared" si="514"/>
        <v>4096.3417852499997</v>
      </c>
      <c r="L475" s="10">
        <f t="shared" si="514"/>
        <v>2950.22299385</v>
      </c>
      <c r="M475" s="10">
        <f t="shared" si="514"/>
        <v>6378.3246834999991</v>
      </c>
      <c r="N475" s="10">
        <f t="shared" si="514"/>
        <v>6105.2723588999997</v>
      </c>
      <c r="O475" s="10">
        <f t="shared" si="514"/>
        <v>1038.5968273999999</v>
      </c>
      <c r="P475" s="10">
        <f t="shared" ref="P475:T475" si="515">+P543+P611+P679</f>
        <v>0</v>
      </c>
      <c r="Q475" s="10">
        <f t="shared" si="515"/>
        <v>208.25697529999997</v>
      </c>
      <c r="R475" s="10">
        <f t="shared" si="515"/>
        <v>0</v>
      </c>
      <c r="S475" s="10">
        <f t="shared" si="515"/>
        <v>1.4851100000000002</v>
      </c>
      <c r="T475" s="10">
        <f t="shared" si="515"/>
        <v>0</v>
      </c>
    </row>
    <row r="476" spans="2:20" ht="15" customHeight="1">
      <c r="B476" s="11" t="s">
        <v>340</v>
      </c>
      <c r="C476" s="10">
        <f t="shared" ref="C476:I485" si="516">+C544+C612+C680</f>
        <v>9469.1248349878824</v>
      </c>
      <c r="D476" s="10">
        <f t="shared" si="516"/>
        <v>11722.0177833</v>
      </c>
      <c r="E476" s="10">
        <f t="shared" si="516"/>
        <v>10787.111336100001</v>
      </c>
      <c r="F476" s="10">
        <f t="shared" si="516"/>
        <v>20113.126900900152</v>
      </c>
      <c r="G476" s="10">
        <f t="shared" si="516"/>
        <v>19565.722780450145</v>
      </c>
      <c r="H476" s="10">
        <f t="shared" si="516"/>
        <v>19565.722780450145</v>
      </c>
      <c r="I476" s="10">
        <f t="shared" si="516"/>
        <v>24827.987298948574</v>
      </c>
      <c r="J476" s="10">
        <f t="shared" ref="J476:O476" si="517">+J544+J612+J680</f>
        <v>26286.268786800174</v>
      </c>
      <c r="K476" s="10">
        <f t="shared" si="517"/>
        <v>27093.010241000142</v>
      </c>
      <c r="L476" s="10">
        <f t="shared" si="517"/>
        <v>28589.82290780012</v>
      </c>
      <c r="M476" s="10">
        <f t="shared" si="517"/>
        <v>29959.027497850213</v>
      </c>
      <c r="N476" s="10">
        <f t="shared" si="517"/>
        <v>23822.203977000067</v>
      </c>
      <c r="O476" s="10">
        <f t="shared" si="517"/>
        <v>18088.060607098814</v>
      </c>
      <c r="P476" s="10">
        <f t="shared" ref="P476:T476" si="518">+P544+P612+P680</f>
        <v>14952.830034999984</v>
      </c>
      <c r="Q476" s="10">
        <f t="shared" si="518"/>
        <v>11728.210692000001</v>
      </c>
      <c r="R476" s="10">
        <f t="shared" si="518"/>
        <v>10475.8916845</v>
      </c>
      <c r="S476" s="10">
        <f t="shared" si="518"/>
        <v>10370.745896500001</v>
      </c>
      <c r="T476" s="10">
        <f t="shared" si="518"/>
        <v>11414.629715500001</v>
      </c>
    </row>
    <row r="477" spans="2:20" ht="15" customHeight="1">
      <c r="B477" s="11" t="s">
        <v>341</v>
      </c>
      <c r="C477" s="10">
        <f t="shared" si="516"/>
        <v>30900.053774501288</v>
      </c>
      <c r="D477" s="10">
        <f t="shared" si="516"/>
        <v>31270.609819900001</v>
      </c>
      <c r="E477" s="10">
        <f t="shared" si="516"/>
        <v>42302.623220550071</v>
      </c>
      <c r="F477" s="10">
        <f t="shared" si="516"/>
        <v>34986.562955299996</v>
      </c>
      <c r="G477" s="10">
        <f t="shared" si="516"/>
        <v>31142.533933499999</v>
      </c>
      <c r="H477" s="10">
        <f t="shared" si="516"/>
        <v>31142.533933499999</v>
      </c>
      <c r="I477" s="10">
        <f t="shared" si="516"/>
        <v>39109.309996350072</v>
      </c>
      <c r="J477" s="10">
        <f t="shared" ref="J477:O477" si="519">+J545+J613+J681</f>
        <v>63120.627880750173</v>
      </c>
      <c r="K477" s="10">
        <f t="shared" si="519"/>
        <v>45337.311845650074</v>
      </c>
      <c r="L477" s="10">
        <f t="shared" si="519"/>
        <v>35803.729881699997</v>
      </c>
      <c r="M477" s="10">
        <f t="shared" si="519"/>
        <v>44789.462192199913</v>
      </c>
      <c r="N477" s="10">
        <f t="shared" si="519"/>
        <v>52516.326160099859</v>
      </c>
      <c r="O477" s="10">
        <f t="shared" si="519"/>
        <v>97896.067598446418</v>
      </c>
      <c r="P477" s="10">
        <f t="shared" ref="P477:T477" si="520">+P545+P613+P681</f>
        <v>80490.890271549928</v>
      </c>
      <c r="Q477" s="10">
        <f t="shared" si="520"/>
        <v>78968.949543549912</v>
      </c>
      <c r="R477" s="10">
        <f t="shared" si="520"/>
        <v>88140.855243649872</v>
      </c>
      <c r="S477" s="10">
        <f t="shared" si="520"/>
        <v>100125.32166614993</v>
      </c>
      <c r="T477" s="10">
        <f t="shared" si="520"/>
        <v>100350.84304519994</v>
      </c>
    </row>
    <row r="478" spans="2:20" ht="15" customHeight="1">
      <c r="B478" s="11" t="s">
        <v>342</v>
      </c>
      <c r="C478" s="10">
        <f t="shared" si="516"/>
        <v>194507.87180810937</v>
      </c>
      <c r="D478" s="10">
        <f t="shared" si="516"/>
        <v>129630.81884664927</v>
      </c>
      <c r="E478" s="10">
        <f t="shared" si="516"/>
        <v>132294.10373739924</v>
      </c>
      <c r="F478" s="10">
        <f t="shared" si="516"/>
        <v>93732.15330820001</v>
      </c>
      <c r="G478" s="10">
        <f t="shared" si="516"/>
        <v>190812.90294220005</v>
      </c>
      <c r="H478" s="10">
        <f t="shared" si="516"/>
        <v>190812.90294220005</v>
      </c>
      <c r="I478" s="10">
        <f t="shared" si="516"/>
        <v>445493.42181850295</v>
      </c>
      <c r="J478" s="10">
        <f t="shared" ref="J478:O478" si="521">+J546+J614+J682</f>
        <v>579075.56145890441</v>
      </c>
      <c r="K478" s="10">
        <f t="shared" si="521"/>
        <v>600611.73561290454</v>
      </c>
      <c r="L478" s="10">
        <f t="shared" si="521"/>
        <v>673950.42523105291</v>
      </c>
      <c r="M478" s="10">
        <f t="shared" si="521"/>
        <v>890949.04016194446</v>
      </c>
      <c r="N478" s="10">
        <f t="shared" si="521"/>
        <v>1178590.8477843492</v>
      </c>
      <c r="O478" s="10">
        <f t="shared" si="521"/>
        <v>1277637.1627800036</v>
      </c>
      <c r="P478" s="10">
        <f t="shared" ref="P478:T478" si="522">+P546+P614+P682</f>
        <v>1106710.5658884002</v>
      </c>
      <c r="Q478" s="10">
        <f t="shared" si="522"/>
        <v>965476.23361090082</v>
      </c>
      <c r="R478" s="10">
        <f t="shared" si="522"/>
        <v>1013670.8748198996</v>
      </c>
      <c r="S478" s="10">
        <f t="shared" si="522"/>
        <v>864057.44796470075</v>
      </c>
      <c r="T478" s="10">
        <f t="shared" si="522"/>
        <v>774924.37587894965</v>
      </c>
    </row>
    <row r="479" spans="2:20" ht="15" customHeight="1">
      <c r="B479" s="11" t="s">
        <v>343</v>
      </c>
      <c r="C479" s="10">
        <f t="shared" si="516"/>
        <v>93587.121492236925</v>
      </c>
      <c r="D479" s="10">
        <f t="shared" si="516"/>
        <v>170079.50499869927</v>
      </c>
      <c r="E479" s="10">
        <f t="shared" si="516"/>
        <v>158991.50295104925</v>
      </c>
      <c r="F479" s="10">
        <f t="shared" si="516"/>
        <v>192029.52733084926</v>
      </c>
      <c r="G479" s="10">
        <f t="shared" si="516"/>
        <v>275149.09943015227</v>
      </c>
      <c r="H479" s="10">
        <f t="shared" si="516"/>
        <v>275149.09943015227</v>
      </c>
      <c r="I479" s="10">
        <f t="shared" si="516"/>
        <v>231976.55075045294</v>
      </c>
      <c r="J479" s="10">
        <f t="shared" ref="J479:O479" si="523">+J547+J615+J683</f>
        <v>38265.500196549998</v>
      </c>
      <c r="K479" s="10">
        <f t="shared" si="523"/>
        <v>45924.457509700005</v>
      </c>
      <c r="L479" s="10">
        <f t="shared" si="523"/>
        <v>40135.870007199999</v>
      </c>
      <c r="M479" s="10">
        <f t="shared" si="523"/>
        <v>69337.201808600075</v>
      </c>
      <c r="N479" s="10">
        <f t="shared" si="523"/>
        <v>81865.99817385005</v>
      </c>
      <c r="O479" s="10">
        <f t="shared" si="523"/>
        <v>143664.49202600124</v>
      </c>
      <c r="P479" s="10">
        <f t="shared" ref="P479:T479" si="524">+P547+P615+P683</f>
        <v>450961.10675220028</v>
      </c>
      <c r="Q479" s="10">
        <f t="shared" si="524"/>
        <v>609047.36832830077</v>
      </c>
      <c r="R479" s="10">
        <f t="shared" si="524"/>
        <v>655331.47492670093</v>
      </c>
      <c r="S479" s="10">
        <f t="shared" si="524"/>
        <v>969426.90095625317</v>
      </c>
      <c r="T479" s="10">
        <f t="shared" si="524"/>
        <v>1154399.5271424027</v>
      </c>
    </row>
    <row r="480" spans="2:20" ht="15" customHeight="1">
      <c r="B480" s="11" t="s">
        <v>344</v>
      </c>
      <c r="C480" s="10">
        <f t="shared" si="516"/>
        <v>17100.9221498679</v>
      </c>
      <c r="D480" s="10">
        <f t="shared" si="516"/>
        <v>9602.7806643999993</v>
      </c>
      <c r="E480" s="10">
        <f t="shared" si="516"/>
        <v>3617.2972781000003</v>
      </c>
      <c r="F480" s="10">
        <f t="shared" si="516"/>
        <v>19733.213486250002</v>
      </c>
      <c r="G480" s="10">
        <f t="shared" si="516"/>
        <v>8221.5912366500015</v>
      </c>
      <c r="H480" s="10">
        <f t="shared" si="516"/>
        <v>8221.5912366500015</v>
      </c>
      <c r="I480" s="10">
        <f t="shared" si="516"/>
        <v>3470.2119837</v>
      </c>
      <c r="J480" s="10">
        <f t="shared" ref="J480:O480" si="525">+J548+J616+J684</f>
        <v>2856.52740395</v>
      </c>
      <c r="K480" s="10">
        <f t="shared" si="525"/>
        <v>4992.850713400001</v>
      </c>
      <c r="L480" s="10">
        <f t="shared" si="525"/>
        <v>3588.6049529000006</v>
      </c>
      <c r="M480" s="10">
        <f t="shared" si="525"/>
        <v>6807.1056426999994</v>
      </c>
      <c r="N480" s="10">
        <f t="shared" si="525"/>
        <v>3293.6621068999998</v>
      </c>
      <c r="O480" s="10">
        <f t="shared" si="525"/>
        <v>678.47992905000012</v>
      </c>
      <c r="P480" s="10">
        <f t="shared" ref="P480:T480" si="526">+P548+P616+P684</f>
        <v>0.37127750000000004</v>
      </c>
      <c r="Q480" s="10">
        <f t="shared" si="526"/>
        <v>1.4851100000000002</v>
      </c>
      <c r="R480" s="10">
        <f t="shared" si="526"/>
        <v>-0.37127750000000004</v>
      </c>
      <c r="S480" s="10">
        <f t="shared" si="526"/>
        <v>0</v>
      </c>
      <c r="T480" s="10">
        <f t="shared" si="526"/>
        <v>2.5989425000000002</v>
      </c>
    </row>
    <row r="481" spans="2:20" ht="15" customHeight="1">
      <c r="B481" s="11" t="s">
        <v>345</v>
      </c>
      <c r="C481" s="10">
        <f t="shared" si="516"/>
        <v>1515.6579410984932</v>
      </c>
      <c r="D481" s="10">
        <f t="shared" si="516"/>
        <v>1398.00087295</v>
      </c>
      <c r="E481" s="10">
        <f t="shared" si="516"/>
        <v>1679.1321959500001</v>
      </c>
      <c r="F481" s="10">
        <f t="shared" si="516"/>
        <v>3609.5672805499999</v>
      </c>
      <c r="G481" s="10">
        <f t="shared" si="516"/>
        <v>3846.9027096500004</v>
      </c>
      <c r="H481" s="10">
        <f t="shared" si="516"/>
        <v>3846.9027096500004</v>
      </c>
      <c r="I481" s="10">
        <f t="shared" si="516"/>
        <v>4562.8965172999997</v>
      </c>
      <c r="J481" s="10">
        <f t="shared" ref="J481:O481" si="527">+J549+J617+J685</f>
        <v>5567.2615592000047</v>
      </c>
      <c r="K481" s="10">
        <f t="shared" si="527"/>
        <v>4670.1808636999995</v>
      </c>
      <c r="L481" s="10">
        <f t="shared" si="527"/>
        <v>6491.646002050009</v>
      </c>
      <c r="M481" s="10">
        <f t="shared" si="527"/>
        <v>5343.0545025000029</v>
      </c>
      <c r="N481" s="10">
        <f t="shared" si="527"/>
        <v>2785.8287423999982</v>
      </c>
      <c r="O481" s="10">
        <f t="shared" si="527"/>
        <v>737.46107270000209</v>
      </c>
      <c r="P481" s="10">
        <f t="shared" ref="P481:T481" si="528">+P549+P617+P685</f>
        <v>841.9831145000004</v>
      </c>
      <c r="Q481" s="10">
        <f t="shared" si="528"/>
        <v>732.41169869999999</v>
      </c>
      <c r="R481" s="10">
        <f t="shared" si="528"/>
        <v>580.67800999999997</v>
      </c>
      <c r="S481" s="10">
        <f t="shared" si="528"/>
        <v>674.70032409999988</v>
      </c>
      <c r="T481" s="10">
        <f t="shared" si="528"/>
        <v>650.35937120000028</v>
      </c>
    </row>
    <row r="482" spans="2:20" ht="15" customHeight="1">
      <c r="B482" s="11" t="s">
        <v>346</v>
      </c>
      <c r="C482" s="10">
        <f t="shared" si="516"/>
        <v>1996.4610804272738</v>
      </c>
      <c r="D482" s="10">
        <f t="shared" si="516"/>
        <v>2025.9722109000002</v>
      </c>
      <c r="E482" s="10">
        <f t="shared" si="516"/>
        <v>2086.5201456</v>
      </c>
      <c r="F482" s="10">
        <f t="shared" si="516"/>
        <v>4319.5909459999993</v>
      </c>
      <c r="G482" s="10">
        <f t="shared" si="516"/>
        <v>2301.9427766500003</v>
      </c>
      <c r="H482" s="10">
        <f t="shared" si="516"/>
        <v>2301.9427766500003</v>
      </c>
      <c r="I482" s="10">
        <f t="shared" si="516"/>
        <v>3117.1345067500079</v>
      </c>
      <c r="J482" s="10">
        <f t="shared" ref="J482:O482" si="529">+J550+J618+J686</f>
        <v>3355.4946617500004</v>
      </c>
      <c r="K482" s="10">
        <f t="shared" si="529"/>
        <v>2538.5802040500002</v>
      </c>
      <c r="L482" s="10">
        <f t="shared" si="529"/>
        <v>602.56853139999987</v>
      </c>
      <c r="M482" s="10">
        <f t="shared" si="529"/>
        <v>842.06479554999999</v>
      </c>
      <c r="N482" s="10">
        <f t="shared" si="529"/>
        <v>639.84479240000007</v>
      </c>
      <c r="O482" s="10">
        <f t="shared" si="529"/>
        <v>9923.7574886999973</v>
      </c>
      <c r="P482" s="10">
        <f t="shared" ref="P482:T482" si="530">+P550+P618+P686</f>
        <v>13326.129647600001</v>
      </c>
      <c r="Q482" s="10">
        <f t="shared" si="530"/>
        <v>13739.881293600001</v>
      </c>
      <c r="R482" s="10">
        <f t="shared" si="530"/>
        <v>15552.428346400005</v>
      </c>
      <c r="S482" s="10">
        <f t="shared" si="530"/>
        <v>9654.4624924000109</v>
      </c>
      <c r="T482" s="10">
        <f t="shared" si="530"/>
        <v>14709.220016150015</v>
      </c>
    </row>
    <row r="483" spans="2:20" ht="15" customHeight="1">
      <c r="B483" s="11" t="s">
        <v>347</v>
      </c>
      <c r="C483" s="10">
        <f t="shared" si="516"/>
        <v>16439.314535658992</v>
      </c>
      <c r="D483" s="10">
        <f t="shared" si="516"/>
        <v>10042.20243675</v>
      </c>
      <c r="E483" s="10">
        <f t="shared" si="516"/>
        <v>11693.36258585</v>
      </c>
      <c r="F483" s="10">
        <f t="shared" si="516"/>
        <v>21002.603833200003</v>
      </c>
      <c r="G483" s="10">
        <f t="shared" si="516"/>
        <v>31786.655842699998</v>
      </c>
      <c r="H483" s="10">
        <f t="shared" si="516"/>
        <v>31786.655842699998</v>
      </c>
      <c r="I483" s="10">
        <f t="shared" si="516"/>
        <v>128359.37162234953</v>
      </c>
      <c r="J483" s="10">
        <f t="shared" ref="J483:O483" si="531">+J551+J619+J687</f>
        <v>258964.27411799814</v>
      </c>
      <c r="K483" s="10">
        <f t="shared" si="531"/>
        <v>391990.59648979577</v>
      </c>
      <c r="L483" s="10">
        <f t="shared" si="531"/>
        <v>441956.06058615551</v>
      </c>
      <c r="M483" s="10">
        <f t="shared" si="531"/>
        <v>551518.64740719821</v>
      </c>
      <c r="N483" s="10">
        <f t="shared" si="531"/>
        <v>480824.41891054891</v>
      </c>
      <c r="O483" s="10">
        <f t="shared" si="531"/>
        <v>466736.85108925204</v>
      </c>
      <c r="P483" s="10">
        <f t="shared" ref="P483:T483" si="532">+P551+P619+P687</f>
        <v>481487.69873875089</v>
      </c>
      <c r="Q483" s="10">
        <f t="shared" si="532"/>
        <v>415242.16922595049</v>
      </c>
      <c r="R483" s="10">
        <f t="shared" si="532"/>
        <v>451885.84762145038</v>
      </c>
      <c r="S483" s="10">
        <f t="shared" si="532"/>
        <v>433263.38503195043</v>
      </c>
      <c r="T483" s="10">
        <f t="shared" si="532"/>
        <v>369299.52654430002</v>
      </c>
    </row>
    <row r="484" spans="2:20" ht="15" customHeight="1">
      <c r="B484" s="11" t="s">
        <v>348</v>
      </c>
      <c r="C484" s="10">
        <f t="shared" si="516"/>
        <v>13654.45643264663</v>
      </c>
      <c r="D484" s="10">
        <f t="shared" si="516"/>
        <v>16897.180600299998</v>
      </c>
      <c r="E484" s="10">
        <f t="shared" si="516"/>
        <v>26944.744284150001</v>
      </c>
      <c r="F484" s="10">
        <f t="shared" si="516"/>
        <v>43453.019128750006</v>
      </c>
      <c r="G484" s="10">
        <f t="shared" si="516"/>
        <v>98387.186049899989</v>
      </c>
      <c r="H484" s="10">
        <f t="shared" si="516"/>
        <v>98387.186049899989</v>
      </c>
      <c r="I484" s="10">
        <f t="shared" si="516"/>
        <v>69808.768786899032</v>
      </c>
      <c r="J484" s="10">
        <f t="shared" ref="J484:O484" si="533">+J552+J620+J688</f>
        <v>2000.9852351500001</v>
      </c>
      <c r="K484" s="10">
        <f t="shared" si="533"/>
        <v>14711.47738335</v>
      </c>
      <c r="L484" s="10">
        <f t="shared" si="533"/>
        <v>13397.882737250004</v>
      </c>
      <c r="M484" s="10">
        <f t="shared" si="533"/>
        <v>11208.518724149999</v>
      </c>
      <c r="N484" s="10">
        <f t="shared" si="533"/>
        <v>8816.9421334500003</v>
      </c>
      <c r="O484" s="10">
        <f t="shared" si="533"/>
        <v>30469.029122950087</v>
      </c>
      <c r="P484" s="10">
        <f t="shared" ref="P484:T484" si="534">+P552+P620+P688</f>
        <v>204004.2737084</v>
      </c>
      <c r="Q484" s="10">
        <f t="shared" si="534"/>
        <v>326944.50121740025</v>
      </c>
      <c r="R484" s="10">
        <f t="shared" si="534"/>
        <v>486210.40051760065</v>
      </c>
      <c r="S484" s="10">
        <f t="shared" si="534"/>
        <v>631561.91809920175</v>
      </c>
      <c r="T484" s="10">
        <f t="shared" si="534"/>
        <v>730012.40696285223</v>
      </c>
    </row>
    <row r="485" spans="2:20" ht="15" customHeight="1">
      <c r="B485" s="11" t="s">
        <v>349</v>
      </c>
      <c r="C485" s="10">
        <f t="shared" si="516"/>
        <v>6290.7378976972313</v>
      </c>
      <c r="D485" s="10">
        <f t="shared" si="516"/>
        <v>5318.9511671999999</v>
      </c>
      <c r="E485" s="10">
        <f t="shared" si="516"/>
        <v>5898.3519826000002</v>
      </c>
      <c r="F485" s="10">
        <f t="shared" si="516"/>
        <v>3638.6383087999998</v>
      </c>
      <c r="G485" s="10">
        <f t="shared" si="516"/>
        <v>5630.7648627999997</v>
      </c>
      <c r="H485" s="10">
        <f t="shared" si="516"/>
        <v>5630.7648627999997</v>
      </c>
      <c r="I485" s="10">
        <f t="shared" si="516"/>
        <v>12924.39996705</v>
      </c>
      <c r="J485" s="10">
        <f t="shared" ref="J485:O485" si="535">+J553+J621+J689</f>
        <v>9011.9519275500006</v>
      </c>
      <c r="K485" s="10">
        <f t="shared" si="535"/>
        <v>14750.075392249999</v>
      </c>
      <c r="L485" s="10">
        <f t="shared" si="535"/>
        <v>10465.2582969</v>
      </c>
      <c r="M485" s="10">
        <f t="shared" si="535"/>
        <v>11295.776362199998</v>
      </c>
      <c r="N485" s="10">
        <f t="shared" si="535"/>
        <v>9599.402039149998</v>
      </c>
      <c r="O485" s="10">
        <f t="shared" si="535"/>
        <v>259.64920684999998</v>
      </c>
      <c r="P485" s="10">
        <f t="shared" ref="P485:T485" si="536">+P553+P621+P689</f>
        <v>0</v>
      </c>
      <c r="Q485" s="10">
        <f t="shared" si="536"/>
        <v>0</v>
      </c>
      <c r="R485" s="10">
        <f t="shared" si="536"/>
        <v>0</v>
      </c>
      <c r="S485" s="10">
        <f t="shared" si="536"/>
        <v>1.8563874999999999</v>
      </c>
      <c r="T485" s="10">
        <f t="shared" si="536"/>
        <v>0</v>
      </c>
    </row>
    <row r="486" spans="2:20" ht="15" customHeight="1">
      <c r="B486" s="11" t="s">
        <v>305</v>
      </c>
      <c r="C486" s="10">
        <f t="shared" ref="C486:I486" si="537">+C554+C622+C690</f>
        <v>334591.69451702904</v>
      </c>
      <c r="D486" s="10">
        <f t="shared" si="537"/>
        <v>383150.39752260002</v>
      </c>
      <c r="E486" s="10">
        <f t="shared" si="537"/>
        <v>350947.18516320008</v>
      </c>
      <c r="F486" s="10">
        <f t="shared" si="537"/>
        <v>427408.37161470007</v>
      </c>
      <c r="G486" s="10">
        <f t="shared" si="537"/>
        <v>503945.6089239</v>
      </c>
      <c r="H486" s="10">
        <f t="shared" si="537"/>
        <v>503945.6089239</v>
      </c>
      <c r="I486" s="10">
        <f t="shared" si="537"/>
        <v>545035.49252279999</v>
      </c>
      <c r="J486" s="10">
        <f t="shared" ref="J486:O486" si="538">+J554+J622+J690</f>
        <v>633319.61553359998</v>
      </c>
      <c r="K486" s="10">
        <f t="shared" si="538"/>
        <v>693962.57516489993</v>
      </c>
      <c r="L486" s="10">
        <f t="shared" si="538"/>
        <v>755214.27898589999</v>
      </c>
      <c r="M486" s="10">
        <f t="shared" si="538"/>
        <v>849172.1228568001</v>
      </c>
      <c r="N486" s="10">
        <f t="shared" si="538"/>
        <v>928261.36126889987</v>
      </c>
      <c r="O486" s="10">
        <f t="shared" si="538"/>
        <v>1064587.3816959003</v>
      </c>
      <c r="P486" s="10">
        <f t="shared" ref="P486:T486" si="539">+P554+P622+P690</f>
        <v>1228579.6560615005</v>
      </c>
      <c r="Q486" s="10">
        <f t="shared" si="539"/>
        <v>1238564.5630703992</v>
      </c>
      <c r="R486" s="10">
        <f t="shared" si="539"/>
        <v>1306542.3611525993</v>
      </c>
      <c r="S486" s="10">
        <f t="shared" si="539"/>
        <v>1439676.5830973992</v>
      </c>
      <c r="T486" s="10">
        <f t="shared" si="539"/>
        <v>1536996.1722974996</v>
      </c>
    </row>
    <row r="487" spans="2:20" ht="15" customHeight="1">
      <c r="B487" s="11" t="s">
        <v>306</v>
      </c>
      <c r="C487" s="10">
        <f t="shared" ref="C487:I487" si="540">+C555+C623+C691</f>
        <v>84902.982147848961</v>
      </c>
      <c r="D487" s="10">
        <f t="shared" si="540"/>
        <v>111482.4472605</v>
      </c>
      <c r="E487" s="10">
        <f t="shared" si="540"/>
        <v>70771.188322799993</v>
      </c>
      <c r="F487" s="10">
        <f t="shared" si="540"/>
        <v>59367.127743900004</v>
      </c>
      <c r="G487" s="10">
        <f t="shared" si="540"/>
        <v>58870.94186430001</v>
      </c>
      <c r="H487" s="10">
        <f t="shared" si="540"/>
        <v>58870.94186430001</v>
      </c>
      <c r="I487" s="10">
        <f t="shared" si="540"/>
        <v>70733.820921299994</v>
      </c>
      <c r="J487" s="10">
        <f t="shared" ref="J487:O487" si="541">+J555+J623+J691</f>
        <v>73845.221289300011</v>
      </c>
      <c r="K487" s="10">
        <f t="shared" si="541"/>
        <v>58499.743172400013</v>
      </c>
      <c r="L487" s="10">
        <f t="shared" si="541"/>
        <v>63883.889238600008</v>
      </c>
      <c r="M487" s="10">
        <f t="shared" si="541"/>
        <v>86945.448323699995</v>
      </c>
      <c r="N487" s="10">
        <f t="shared" si="541"/>
        <v>131810.68426230003</v>
      </c>
      <c r="O487" s="10">
        <f t="shared" si="541"/>
        <v>129733.89293250006</v>
      </c>
      <c r="P487" s="10">
        <f t="shared" ref="P487:T487" si="542">+P555+P623+P691</f>
        <v>138356.77359780014</v>
      </c>
      <c r="Q487" s="10">
        <f t="shared" si="542"/>
        <v>154866.32822790011</v>
      </c>
      <c r="R487" s="10">
        <f t="shared" si="542"/>
        <v>177236.43597450003</v>
      </c>
      <c r="S487" s="10">
        <f t="shared" si="542"/>
        <v>208489.56136469994</v>
      </c>
      <c r="T487" s="10">
        <f t="shared" si="542"/>
        <v>232784.11166850018</v>
      </c>
    </row>
    <row r="488" spans="2:20" ht="15" customHeight="1">
      <c r="B488" s="11" t="s">
        <v>60</v>
      </c>
      <c r="C488" s="10">
        <f t="shared" ref="C488:I497" si="543">+C556+C624+C692</f>
        <v>0</v>
      </c>
      <c r="D488" s="10">
        <f t="shared" si="543"/>
        <v>0</v>
      </c>
      <c r="E488" s="10">
        <f t="shared" si="543"/>
        <v>0</v>
      </c>
      <c r="F488" s="10">
        <f t="shared" si="543"/>
        <v>0</v>
      </c>
      <c r="G488" s="10">
        <f t="shared" si="543"/>
        <v>0</v>
      </c>
      <c r="H488" s="10">
        <f t="shared" si="543"/>
        <v>870321.08387700003</v>
      </c>
      <c r="I488" s="10">
        <f t="shared" si="543"/>
        <v>1049131.3739886004</v>
      </c>
      <c r="J488" s="10">
        <f t="shared" ref="J488:O488" si="544">+J556+J624+J692</f>
        <v>1236704.3791407002</v>
      </c>
      <c r="K488" s="10">
        <f t="shared" si="544"/>
        <v>1458795.2898122999</v>
      </c>
      <c r="L488" s="10">
        <f t="shared" si="544"/>
        <v>3152826.9097938002</v>
      </c>
      <c r="M488" s="10">
        <f t="shared" si="544"/>
        <v>2780737.8788817157</v>
      </c>
      <c r="N488" s="10">
        <f t="shared" si="544"/>
        <v>3729800.0329371006</v>
      </c>
      <c r="O488" s="10">
        <f t="shared" si="544"/>
        <v>4816086.1586919008</v>
      </c>
      <c r="P488" s="10">
        <f t="shared" ref="P488:T488" si="545">+P556+P624+P692</f>
        <v>5636925.9946566001</v>
      </c>
      <c r="Q488" s="10">
        <f t="shared" si="545"/>
        <v>6117726.2208380997</v>
      </c>
      <c r="R488" s="10">
        <f t="shared" si="545"/>
        <v>6394806.9758016001</v>
      </c>
      <c r="S488" s="10">
        <f t="shared" si="545"/>
        <v>7141209.7839588048</v>
      </c>
      <c r="T488" s="10">
        <f t="shared" si="545"/>
        <v>7949946.1309092073</v>
      </c>
    </row>
    <row r="489" spans="2:20" ht="15" customHeight="1">
      <c r="B489" s="11" t="s">
        <v>58</v>
      </c>
      <c r="C489" s="10">
        <f t="shared" si="543"/>
        <v>542819.89614983706</v>
      </c>
      <c r="D489" s="10">
        <f t="shared" si="543"/>
        <v>1165918.0680666002</v>
      </c>
      <c r="E489" s="10">
        <f t="shared" si="543"/>
        <v>1523477.045242134</v>
      </c>
      <c r="F489" s="10">
        <f t="shared" si="543"/>
        <v>1414377.0943749</v>
      </c>
      <c r="G489" s="10">
        <f t="shared" si="543"/>
        <v>1513797.3349290001</v>
      </c>
      <c r="H489" s="10">
        <f t="shared" si="543"/>
        <v>1513797.3349290001</v>
      </c>
      <c r="I489" s="10">
        <f t="shared" si="543"/>
        <v>1749518.5865948102</v>
      </c>
      <c r="J489" s="10">
        <f t="shared" ref="J489:O489" si="546">+J557+J625+J693</f>
        <v>2052783.0855332997</v>
      </c>
      <c r="K489" s="10">
        <f t="shared" si="546"/>
        <v>2237448.7785689998</v>
      </c>
      <c r="L489" s="10">
        <f t="shared" si="546"/>
        <v>2205018.6821802002</v>
      </c>
      <c r="M489" s="10">
        <f t="shared" si="546"/>
        <v>2647610.8282232997</v>
      </c>
      <c r="N489" s="10">
        <f t="shared" si="546"/>
        <v>2843559.0629532007</v>
      </c>
      <c r="O489" s="10">
        <f t="shared" si="546"/>
        <v>3029150.8831608007</v>
      </c>
      <c r="P489" s="10">
        <f t="shared" ref="P489:T489" si="547">+P557+P625+P693</f>
        <v>3130793.0754030002</v>
      </c>
      <c r="Q489" s="10">
        <f t="shared" si="547"/>
        <v>3229276.5558233997</v>
      </c>
      <c r="R489" s="10">
        <f t="shared" si="547"/>
        <v>3251627.1080423999</v>
      </c>
      <c r="S489" s="10">
        <f t="shared" si="547"/>
        <v>3125899.9982817005</v>
      </c>
      <c r="T489" s="10">
        <f t="shared" si="547"/>
        <v>3129458.4201465002</v>
      </c>
    </row>
    <row r="490" spans="2:20" ht="15" customHeight="1">
      <c r="B490" s="11" t="s">
        <v>56</v>
      </c>
      <c r="C490" s="10">
        <f t="shared" si="543"/>
        <v>537039.13873577153</v>
      </c>
      <c r="D490" s="10">
        <f t="shared" si="543"/>
        <v>569208.68072820012</v>
      </c>
      <c r="E490" s="10">
        <f t="shared" si="543"/>
        <v>702686.05087050004</v>
      </c>
      <c r="F490" s="10">
        <f t="shared" si="543"/>
        <v>921356.62089660007</v>
      </c>
      <c r="G490" s="10">
        <f t="shared" si="543"/>
        <v>1233985.2153354001</v>
      </c>
      <c r="H490" s="10">
        <f t="shared" si="543"/>
        <v>1233985.2153354001</v>
      </c>
      <c r="I490" s="10">
        <f t="shared" si="543"/>
        <v>1254944.6882342999</v>
      </c>
      <c r="J490" s="10">
        <f t="shared" ref="J490:O490" si="548">+J558+J626+J694</f>
        <v>1528992.1746693002</v>
      </c>
      <c r="K490" s="10">
        <f t="shared" si="548"/>
        <v>1725195.4579493999</v>
      </c>
      <c r="L490" s="10">
        <f t="shared" si="548"/>
        <v>1849586.0072625</v>
      </c>
      <c r="M490" s="10">
        <f t="shared" si="548"/>
        <v>2082651.1227405006</v>
      </c>
      <c r="N490" s="10">
        <f t="shared" si="548"/>
        <v>2377761.3377306997</v>
      </c>
      <c r="O490" s="10">
        <f t="shared" si="548"/>
        <v>2609195.1060105008</v>
      </c>
      <c r="P490" s="10">
        <f t="shared" ref="P490:T490" si="549">+P558+P626+P694</f>
        <v>2836547.2422891003</v>
      </c>
      <c r="Q490" s="10">
        <f t="shared" si="549"/>
        <v>2913165.0392499007</v>
      </c>
      <c r="R490" s="10">
        <f t="shared" si="549"/>
        <v>4513346.399268901</v>
      </c>
      <c r="S490" s="10">
        <f t="shared" si="549"/>
        <v>4696402.6191707999</v>
      </c>
      <c r="T490" s="10">
        <f t="shared" si="549"/>
        <v>4929207.9349985998</v>
      </c>
    </row>
    <row r="491" spans="2:20" ht="15" customHeight="1">
      <c r="B491" s="11" t="s">
        <v>63</v>
      </c>
      <c r="C491" s="10">
        <f t="shared" si="543"/>
        <v>304491.23886342865</v>
      </c>
      <c r="D491" s="10">
        <f t="shared" si="543"/>
        <v>293133.36780000001</v>
      </c>
      <c r="E491" s="10">
        <f t="shared" si="543"/>
        <v>344759.43728282407</v>
      </c>
      <c r="F491" s="10">
        <f t="shared" si="543"/>
        <v>426729.34915379999</v>
      </c>
      <c r="G491" s="10">
        <f t="shared" si="543"/>
        <v>500113.17211770004</v>
      </c>
      <c r="H491" s="10">
        <f t="shared" si="543"/>
        <v>500113.17211770004</v>
      </c>
      <c r="I491" s="10">
        <f t="shared" si="543"/>
        <v>508255.16069430008</v>
      </c>
      <c r="J491" s="10">
        <f t="shared" ref="J491:O491" si="550">+J559+J627+J695</f>
        <v>676814.47792101</v>
      </c>
      <c r="K491" s="10">
        <f t="shared" si="550"/>
        <v>750415.52070180001</v>
      </c>
      <c r="L491" s="10">
        <f t="shared" si="550"/>
        <v>920090.95636320009</v>
      </c>
      <c r="M491" s="10">
        <f t="shared" si="550"/>
        <v>1046870.2114721999</v>
      </c>
      <c r="N491" s="10">
        <f t="shared" si="550"/>
        <v>1216704.8517435002</v>
      </c>
      <c r="O491" s="10">
        <f t="shared" si="550"/>
        <v>1350196.6842342003</v>
      </c>
      <c r="P491" s="10">
        <f t="shared" ref="P491:T491" si="551">+P559+P627+P695</f>
        <v>1542894.1640820005</v>
      </c>
      <c r="Q491" s="10">
        <f t="shared" si="551"/>
        <v>1599398.0841707999</v>
      </c>
      <c r="R491" s="10">
        <f t="shared" si="551"/>
        <v>1647799.8536565001</v>
      </c>
      <c r="S491" s="10">
        <f t="shared" si="551"/>
        <v>1762981.0132626002</v>
      </c>
      <c r="T491" s="10">
        <f t="shared" si="551"/>
        <v>1726230.2570316</v>
      </c>
    </row>
    <row r="492" spans="2:20" ht="15" customHeight="1">
      <c r="B492" s="11" t="s">
        <v>57</v>
      </c>
      <c r="C492" s="10">
        <f t="shared" si="543"/>
        <v>2547622.2997006853</v>
      </c>
      <c r="D492" s="10">
        <f t="shared" si="543"/>
        <v>3217669.8988382998</v>
      </c>
      <c r="E492" s="10">
        <f t="shared" si="543"/>
        <v>3330800.7830037</v>
      </c>
      <c r="F492" s="10">
        <f t="shared" si="543"/>
        <v>3572998.0495559997</v>
      </c>
      <c r="G492" s="10">
        <f t="shared" si="543"/>
        <v>4463374.3057133993</v>
      </c>
      <c r="H492" s="10">
        <f t="shared" si="543"/>
        <v>4463374.3057133993</v>
      </c>
      <c r="I492" s="10">
        <f t="shared" si="543"/>
        <v>4630721.7546369014</v>
      </c>
      <c r="J492" s="10">
        <f t="shared" ref="J492:O492" si="552">+J560+J628+J696</f>
        <v>5490665.2150812</v>
      </c>
      <c r="K492" s="10">
        <f t="shared" si="552"/>
        <v>6659968.3991379002</v>
      </c>
      <c r="L492" s="10">
        <f t="shared" si="552"/>
        <v>6869012.6656809002</v>
      </c>
      <c r="M492" s="10">
        <f t="shared" si="552"/>
        <v>7479596.6190828001</v>
      </c>
      <c r="N492" s="10">
        <f t="shared" si="552"/>
        <v>8736592.3951958995</v>
      </c>
      <c r="O492" s="10">
        <f t="shared" si="552"/>
        <v>9379124.0563014019</v>
      </c>
      <c r="P492" s="10">
        <f t="shared" ref="P492:T492" si="553">+P560+P628+P696</f>
        <v>9589512.7891223989</v>
      </c>
      <c r="Q492" s="10">
        <f t="shared" si="553"/>
        <v>10291458.9844476</v>
      </c>
      <c r="R492" s="10">
        <f t="shared" si="553"/>
        <v>10827180.6248277</v>
      </c>
      <c r="S492" s="10">
        <f t="shared" si="553"/>
        <v>12000409.875618301</v>
      </c>
      <c r="T492" s="10">
        <f t="shared" si="553"/>
        <v>12620376.781161301</v>
      </c>
    </row>
    <row r="493" spans="2:20" ht="15" customHeight="1">
      <c r="B493" s="11" t="s">
        <v>53</v>
      </c>
      <c r="C493" s="10">
        <f t="shared" si="543"/>
        <v>978603.41994422872</v>
      </c>
      <c r="D493" s="10">
        <f t="shared" si="543"/>
        <v>864699.57154790009</v>
      </c>
      <c r="E493" s="10">
        <f t="shared" si="543"/>
        <v>813306.70930420014</v>
      </c>
      <c r="F493" s="10">
        <f t="shared" si="543"/>
        <v>858329.77308480011</v>
      </c>
      <c r="G493" s="10">
        <f t="shared" si="543"/>
        <v>989541.75765400007</v>
      </c>
      <c r="H493" s="10">
        <f t="shared" si="543"/>
        <v>989541.75765400007</v>
      </c>
      <c r="I493" s="10">
        <f t="shared" si="543"/>
        <v>1149611.7366942002</v>
      </c>
      <c r="J493" s="10">
        <f t="shared" ref="J493:O493" si="554">+J561+J629+J697</f>
        <v>1466540.9511291001</v>
      </c>
      <c r="K493" s="10">
        <f t="shared" si="554"/>
        <v>1655459.8526402998</v>
      </c>
      <c r="L493" s="10">
        <f t="shared" si="554"/>
        <v>1777177.5613731002</v>
      </c>
      <c r="M493" s="10">
        <f t="shared" si="554"/>
        <v>2323363.2952059</v>
      </c>
      <c r="N493" s="10">
        <f t="shared" si="554"/>
        <v>2782520.7452865005</v>
      </c>
      <c r="O493" s="10">
        <f t="shared" si="554"/>
        <v>3181601.0109770996</v>
      </c>
      <c r="P493" s="10">
        <f t="shared" ref="P493:T493" si="555">+P561+P629+P697</f>
        <v>3620219.7788324999</v>
      </c>
      <c r="Q493" s="10">
        <f t="shared" si="555"/>
        <v>4045564.5386688001</v>
      </c>
      <c r="R493" s="10">
        <f t="shared" si="555"/>
        <v>3948904.416402</v>
      </c>
      <c r="S493" s="10">
        <f t="shared" si="555"/>
        <v>4162711.0573053001</v>
      </c>
      <c r="T493" s="10">
        <f t="shared" si="555"/>
        <v>4343278.9836042002</v>
      </c>
    </row>
    <row r="494" spans="2:20" ht="15" customHeight="1">
      <c r="B494" s="11" t="s">
        <v>240</v>
      </c>
      <c r="C494" s="57">
        <f t="shared" si="543"/>
        <v>108206.12917987199</v>
      </c>
      <c r="D494" s="57">
        <f t="shared" si="543"/>
        <v>125156.27820873601</v>
      </c>
      <c r="E494" s="57">
        <f t="shared" si="543"/>
        <v>113558.38339229999</v>
      </c>
      <c r="F494" s="57">
        <f t="shared" si="543"/>
        <v>109407.95926397997</v>
      </c>
      <c r="G494" s="57">
        <f t="shared" si="543"/>
        <v>100165.730904</v>
      </c>
      <c r="H494" s="57">
        <f t="shared" si="543"/>
        <v>100165.730904</v>
      </c>
      <c r="I494" s="57">
        <f t="shared" si="543"/>
        <v>93342.642936300021</v>
      </c>
      <c r="J494" s="57">
        <f t="shared" ref="J494:O494" si="556">+J562+J630+J698</f>
        <v>122916.65832000003</v>
      </c>
      <c r="K494" s="57">
        <f t="shared" si="556"/>
        <v>138859.32595140004</v>
      </c>
      <c r="L494" s="57">
        <f t="shared" si="556"/>
        <v>127309.00751010001</v>
      </c>
      <c r="M494" s="57">
        <f t="shared" si="556"/>
        <v>197141.59702349998</v>
      </c>
      <c r="N494" s="57">
        <f t="shared" si="556"/>
        <v>255281.91948089999</v>
      </c>
      <c r="O494" s="57">
        <f t="shared" si="556"/>
        <v>271026.28570050007</v>
      </c>
      <c r="P494" s="57">
        <f t="shared" ref="P494:T494" si="557">+P562+P630+P698</f>
        <v>259489.75020030001</v>
      </c>
      <c r="Q494" s="57">
        <f t="shared" si="557"/>
        <v>240442.08193260006</v>
      </c>
      <c r="R494" s="57">
        <f t="shared" si="557"/>
        <v>255857.08289580003</v>
      </c>
      <c r="S494" s="57">
        <f t="shared" si="557"/>
        <v>266655.7820682</v>
      </c>
      <c r="T494" s="57">
        <f t="shared" si="557"/>
        <v>218528.30308770001</v>
      </c>
    </row>
    <row r="495" spans="2:20" ht="15" customHeight="1">
      <c r="B495" s="11" t="s">
        <v>241</v>
      </c>
      <c r="C495" s="57">
        <f t="shared" si="543"/>
        <v>259600.60131799884</v>
      </c>
      <c r="D495" s="57">
        <f t="shared" si="543"/>
        <v>245155.25404383341</v>
      </c>
      <c r="E495" s="57">
        <f t="shared" si="543"/>
        <v>200705.00875513648</v>
      </c>
      <c r="F495" s="57">
        <f t="shared" si="543"/>
        <v>181474.73369278235</v>
      </c>
      <c r="G495" s="57">
        <f t="shared" si="543"/>
        <v>196664.99541565473</v>
      </c>
      <c r="H495" s="57">
        <f t="shared" si="543"/>
        <v>196664.99541565473</v>
      </c>
      <c r="I495" s="57">
        <f t="shared" si="543"/>
        <v>218926.02241979999</v>
      </c>
      <c r="J495" s="57">
        <f t="shared" ref="J495:O495" si="558">+J563+J631+J699</f>
        <v>302955.39284759999</v>
      </c>
      <c r="K495" s="57">
        <f t="shared" si="558"/>
        <v>464318.05214069999</v>
      </c>
      <c r="L495" s="57">
        <f t="shared" si="558"/>
        <v>632579.1185898002</v>
      </c>
      <c r="M495" s="57">
        <f t="shared" si="558"/>
        <v>551568.42131130002</v>
      </c>
      <c r="N495" s="57">
        <f t="shared" si="558"/>
        <v>554422.87744020007</v>
      </c>
      <c r="O495" s="57">
        <f t="shared" si="558"/>
        <v>567075.38456609997</v>
      </c>
      <c r="P495" s="57">
        <f t="shared" ref="P495:T495" si="559">+P563+P631+P699</f>
        <v>629760.91810499993</v>
      </c>
      <c r="Q495" s="57">
        <f t="shared" si="559"/>
        <v>626800.68348569993</v>
      </c>
      <c r="R495" s="57">
        <f t="shared" si="559"/>
        <v>674524.10041560011</v>
      </c>
      <c r="S495" s="57">
        <f t="shared" si="559"/>
        <v>727072.58247030003</v>
      </c>
      <c r="T495" s="57">
        <f t="shared" si="559"/>
        <v>694915.98315300012</v>
      </c>
    </row>
    <row r="496" spans="2:20" ht="15" customHeight="1">
      <c r="B496" s="11" t="s">
        <v>242</v>
      </c>
      <c r="C496" s="57">
        <f t="shared" si="543"/>
        <v>57791.902575085718</v>
      </c>
      <c r="D496" s="57">
        <f t="shared" si="543"/>
        <v>57732.5307933</v>
      </c>
      <c r="E496" s="57">
        <f t="shared" si="543"/>
        <v>62534.4343056</v>
      </c>
      <c r="F496" s="57">
        <f t="shared" si="543"/>
        <v>58419.867679200004</v>
      </c>
      <c r="G496" s="57">
        <f t="shared" si="543"/>
        <v>33322.609908288003</v>
      </c>
      <c r="H496" s="57">
        <f t="shared" si="543"/>
        <v>33322.609908288003</v>
      </c>
      <c r="I496" s="57">
        <f t="shared" si="543"/>
        <v>26421.340214538006</v>
      </c>
      <c r="J496" s="57">
        <f t="shared" ref="J496:O496" si="560">+J564+J632+J700</f>
        <v>27084.120660000004</v>
      </c>
      <c r="K496" s="57">
        <f t="shared" si="560"/>
        <v>18316.359951300001</v>
      </c>
      <c r="L496" s="57">
        <f t="shared" si="560"/>
        <v>14133.971372400001</v>
      </c>
      <c r="M496" s="57">
        <f t="shared" si="560"/>
        <v>15989.627503800002</v>
      </c>
      <c r="N496" s="57">
        <f t="shared" si="560"/>
        <v>14834.207494800001</v>
      </c>
      <c r="O496" s="57">
        <f t="shared" si="560"/>
        <v>29806.847790300006</v>
      </c>
      <c r="P496" s="57">
        <f t="shared" ref="P496:T496" si="561">+P564+P632+P700</f>
        <v>5124.8927924999998</v>
      </c>
      <c r="Q496" s="57">
        <f t="shared" si="561"/>
        <v>7291.3611347999977</v>
      </c>
      <c r="R496" s="57">
        <f t="shared" si="561"/>
        <v>7291.3611347999977</v>
      </c>
      <c r="S496" s="57">
        <f t="shared" si="561"/>
        <v>7291.3611347999977</v>
      </c>
      <c r="T496" s="57">
        <f t="shared" si="561"/>
        <v>3719.0518047</v>
      </c>
    </row>
    <row r="497" spans="2:20" ht="15" customHeight="1">
      <c r="B497" s="11" t="s">
        <v>243</v>
      </c>
      <c r="C497" s="57">
        <f t="shared" si="543"/>
        <v>46817.586565796562</v>
      </c>
      <c r="D497" s="57">
        <f t="shared" si="543"/>
        <v>51579.813533399982</v>
      </c>
      <c r="E497" s="57">
        <f t="shared" si="543"/>
        <v>52195.394556000007</v>
      </c>
      <c r="F497" s="57">
        <f t="shared" si="543"/>
        <v>45276.967072287021</v>
      </c>
      <c r="G497" s="57">
        <f t="shared" si="543"/>
        <v>33195.128013000001</v>
      </c>
      <c r="H497" s="57">
        <f t="shared" si="543"/>
        <v>33195.128013000001</v>
      </c>
      <c r="I497" s="57">
        <f t="shared" si="543"/>
        <v>31187.589619509006</v>
      </c>
      <c r="J497" s="57">
        <f t="shared" ref="J497:O497" si="562">+J565+J633+J701</f>
        <v>33990.504912900011</v>
      </c>
      <c r="K497" s="57">
        <f t="shared" si="562"/>
        <v>36134.182228500002</v>
      </c>
      <c r="L497" s="57">
        <f t="shared" si="562"/>
        <v>38690.582849999999</v>
      </c>
      <c r="M497" s="57">
        <f t="shared" si="562"/>
        <v>31889.368946699997</v>
      </c>
      <c r="N497" s="57">
        <f t="shared" si="562"/>
        <v>32645.535018300008</v>
      </c>
      <c r="O497" s="57">
        <f t="shared" si="562"/>
        <v>23646.357730799995</v>
      </c>
      <c r="P497" s="57">
        <f t="shared" ref="P497:T497" si="563">+P565+P633+P701</f>
        <v>29296.983493799999</v>
      </c>
      <c r="Q497" s="57">
        <f t="shared" si="563"/>
        <v>38608.274793599994</v>
      </c>
      <c r="R497" s="57">
        <f t="shared" si="563"/>
        <v>41944.492462500006</v>
      </c>
      <c r="S497" s="57">
        <f t="shared" si="563"/>
        <v>42311.063583000003</v>
      </c>
      <c r="T497" s="57">
        <f t="shared" si="563"/>
        <v>42119.337693600006</v>
      </c>
    </row>
    <row r="498" spans="2:20" ht="15" customHeight="1">
      <c r="B498" s="11" t="s">
        <v>244</v>
      </c>
      <c r="C498" s="57">
        <f t="shared" ref="C498:I503" si="564">+C566+C634+C702</f>
        <v>45258.79414872342</v>
      </c>
      <c r="D498" s="57">
        <f t="shared" si="564"/>
        <v>45854.12224332898</v>
      </c>
      <c r="E498" s="57">
        <f t="shared" si="564"/>
        <v>36090.006500700001</v>
      </c>
      <c r="F498" s="57">
        <f t="shared" si="564"/>
        <v>35068.995110699994</v>
      </c>
      <c r="G498" s="57">
        <f t="shared" si="564"/>
        <v>35310.179951099999</v>
      </c>
      <c r="H498" s="57">
        <f t="shared" si="564"/>
        <v>35310.179951099999</v>
      </c>
      <c r="I498" s="57">
        <f t="shared" si="564"/>
        <v>33422.910000299999</v>
      </c>
      <c r="J498" s="57">
        <f t="shared" ref="J498:O498" si="565">+J566+J634+J702</f>
        <v>30547.672560000003</v>
      </c>
      <c r="K498" s="57">
        <f t="shared" si="565"/>
        <v>13823.510742900002</v>
      </c>
      <c r="L498" s="57">
        <f t="shared" si="565"/>
        <v>8668.5719940000017</v>
      </c>
      <c r="M498" s="57">
        <f t="shared" si="565"/>
        <v>7895.9908719000005</v>
      </c>
      <c r="N498" s="57">
        <f t="shared" si="565"/>
        <v>6945.0487047000024</v>
      </c>
      <c r="O498" s="57">
        <f t="shared" si="565"/>
        <v>1461.5903952000001</v>
      </c>
      <c r="P498" s="57">
        <f t="shared" ref="P498:T498" si="566">+P566+P634+P702</f>
        <v>1241.2058706</v>
      </c>
      <c r="Q498" s="57">
        <f t="shared" si="566"/>
        <v>1765.1286719999998</v>
      </c>
      <c r="R498" s="57">
        <f t="shared" si="566"/>
        <v>7291.3611347999977</v>
      </c>
      <c r="S498" s="57">
        <f t="shared" si="566"/>
        <v>1765.1286719999998</v>
      </c>
      <c r="T498" s="57">
        <f t="shared" si="566"/>
        <v>1113.1494722999998</v>
      </c>
    </row>
    <row r="499" spans="2:20" ht="15" customHeight="1">
      <c r="B499" s="9" t="s">
        <v>27</v>
      </c>
      <c r="C499" s="57">
        <f t="shared" si="564"/>
        <v>236153.01826285716</v>
      </c>
      <c r="D499" s="57">
        <f t="shared" si="564"/>
        <v>232751.16279000003</v>
      </c>
      <c r="E499" s="57">
        <f t="shared" si="564"/>
        <v>237136.90320000003</v>
      </c>
      <c r="F499" s="57">
        <f t="shared" si="564"/>
        <v>219294.62226</v>
      </c>
      <c r="G499" s="57">
        <f t="shared" si="564"/>
        <v>131494.50330839996</v>
      </c>
      <c r="H499" s="57">
        <f t="shared" si="564"/>
        <v>131494.50330839996</v>
      </c>
      <c r="I499" s="57">
        <f t="shared" si="564"/>
        <v>112935.60445320004</v>
      </c>
      <c r="J499" s="57">
        <f t="shared" ref="J499:O499" si="567">+J567+J635+J703</f>
        <v>104214.10045409999</v>
      </c>
      <c r="K499" s="57">
        <f t="shared" si="567"/>
        <v>30128.563775699993</v>
      </c>
      <c r="L499" s="57">
        <f t="shared" si="567"/>
        <v>62776.897191899989</v>
      </c>
      <c r="M499" s="57">
        <f t="shared" si="567"/>
        <v>68290.182907199982</v>
      </c>
      <c r="N499" s="57">
        <f t="shared" si="567"/>
        <v>63290.006489700012</v>
      </c>
      <c r="O499" s="57">
        <f t="shared" si="567"/>
        <v>47027.917654200006</v>
      </c>
      <c r="P499" s="57">
        <f t="shared" ref="P499:T499" si="568">+P567+P635+P703</f>
        <v>30427.431721200006</v>
      </c>
      <c r="Q499" s="57">
        <f t="shared" si="568"/>
        <v>34947.495230400003</v>
      </c>
      <c r="R499" s="57">
        <f t="shared" si="568"/>
        <v>42122.492423999996</v>
      </c>
      <c r="S499" s="57">
        <f t="shared" si="568"/>
        <v>33035.966163000012</v>
      </c>
      <c r="T499" s="57">
        <f t="shared" si="568"/>
        <v>28608.463583999997</v>
      </c>
    </row>
    <row r="500" spans="2:20" ht="15" customHeight="1">
      <c r="B500" s="9" t="s">
        <v>245</v>
      </c>
      <c r="C500" s="57">
        <f t="shared" si="564"/>
        <v>28551.254606403723</v>
      </c>
      <c r="D500" s="57">
        <f t="shared" si="564"/>
        <v>32550.73632</v>
      </c>
      <c r="E500" s="57">
        <f t="shared" si="564"/>
        <v>37501.762608000005</v>
      </c>
      <c r="F500" s="57">
        <f t="shared" si="564"/>
        <v>38179.839599999999</v>
      </c>
      <c r="G500" s="57">
        <f t="shared" si="564"/>
        <v>55131.911684100014</v>
      </c>
      <c r="H500" s="57">
        <f t="shared" si="564"/>
        <v>55131.911684100014</v>
      </c>
      <c r="I500" s="57">
        <f t="shared" si="564"/>
        <v>102643.04471490001</v>
      </c>
      <c r="J500" s="57">
        <f t="shared" ref="J500:O500" si="569">+J568+J636+J704</f>
        <v>119774.46132180002</v>
      </c>
      <c r="K500" s="57">
        <f t="shared" si="569"/>
        <v>139996.12164840003</v>
      </c>
      <c r="L500" s="57">
        <f t="shared" si="569"/>
        <v>141871.40932500002</v>
      </c>
      <c r="M500" s="57">
        <f t="shared" si="569"/>
        <v>156750.49095930002</v>
      </c>
      <c r="N500" s="57">
        <f t="shared" si="569"/>
        <v>204263.71447410004</v>
      </c>
      <c r="O500" s="57">
        <f t="shared" si="569"/>
        <v>296524.3276431</v>
      </c>
      <c r="P500" s="57">
        <f t="shared" ref="P500:T500" si="570">+P568+P636+P704</f>
        <v>390470.59308329999</v>
      </c>
      <c r="Q500" s="57">
        <f t="shared" si="570"/>
        <v>569665.86482789996</v>
      </c>
      <c r="R500" s="57">
        <f t="shared" si="570"/>
        <v>543869.93366639933</v>
      </c>
      <c r="S500" s="57">
        <f t="shared" si="570"/>
        <v>562430.20558950026</v>
      </c>
      <c r="T500" s="57">
        <f t="shared" si="570"/>
        <v>590708.78604719997</v>
      </c>
    </row>
    <row r="501" spans="2:20" ht="15" customHeight="1">
      <c r="B501" s="9" t="s">
        <v>247</v>
      </c>
      <c r="C501" s="57">
        <f t="shared" si="564"/>
        <v>1165775.9550749427</v>
      </c>
      <c r="D501" s="57">
        <f t="shared" si="564"/>
        <v>1470530.6181072558</v>
      </c>
      <c r="E501" s="57">
        <f t="shared" si="564"/>
        <v>1480856.3427558285</v>
      </c>
      <c r="F501" s="57">
        <f t="shared" si="564"/>
        <v>1244218.901390451</v>
      </c>
      <c r="G501" s="57">
        <f t="shared" si="564"/>
        <v>1874779.5790950572</v>
      </c>
      <c r="H501" s="57">
        <f t="shared" si="564"/>
        <v>1874779.5790950572</v>
      </c>
      <c r="I501" s="57">
        <f t="shared" si="564"/>
        <v>2459172.207001654</v>
      </c>
      <c r="J501" s="57">
        <f t="shared" ref="J501:O501" si="571">+J569+J637+J705</f>
        <v>3433608.638626501</v>
      </c>
      <c r="K501" s="57">
        <f t="shared" si="571"/>
        <v>4503335.0666417992</v>
      </c>
      <c r="L501" s="57">
        <f t="shared" si="571"/>
        <v>5855117.1834437996</v>
      </c>
      <c r="M501" s="57">
        <f t="shared" si="571"/>
        <v>6699629.1471056994</v>
      </c>
      <c r="N501" s="57">
        <f t="shared" si="571"/>
        <v>9046480.5979145989</v>
      </c>
      <c r="O501" s="57">
        <f t="shared" si="571"/>
        <v>9986193.0366480015</v>
      </c>
      <c r="P501" s="57">
        <f t="shared" ref="P501:T501" si="572">+P569+P637+P705</f>
        <v>10792463.890524298</v>
      </c>
      <c r="Q501" s="57">
        <f t="shared" si="572"/>
        <v>11993056.436610898</v>
      </c>
      <c r="R501" s="57">
        <f t="shared" si="572"/>
        <v>12372059.1570912</v>
      </c>
      <c r="S501" s="57">
        <f t="shared" si="572"/>
        <v>12014075.664094504</v>
      </c>
      <c r="T501" s="57">
        <f t="shared" si="572"/>
        <v>13864661.545103103</v>
      </c>
    </row>
    <row r="502" spans="2:20" ht="15" customHeight="1">
      <c r="B502" s="9" t="s">
        <v>246</v>
      </c>
      <c r="C502" s="57">
        <f t="shared" si="564"/>
        <v>21535.602838459163</v>
      </c>
      <c r="D502" s="57">
        <f t="shared" si="564"/>
        <v>73146.992696693997</v>
      </c>
      <c r="E502" s="57">
        <f t="shared" si="564"/>
        <v>71221.620396734987</v>
      </c>
      <c r="F502" s="57">
        <f t="shared" si="564"/>
        <v>65517.821035200002</v>
      </c>
      <c r="G502" s="57">
        <f t="shared" si="564"/>
        <v>14257.6662609</v>
      </c>
      <c r="H502" s="57">
        <f t="shared" si="564"/>
        <v>14257.6662609</v>
      </c>
      <c r="I502" s="57">
        <f t="shared" si="564"/>
        <v>48955.334400000007</v>
      </c>
      <c r="J502" s="57">
        <f t="shared" ref="J502:O502" si="573">+J570+J638+J706</f>
        <v>52993.769400000005</v>
      </c>
      <c r="K502" s="57">
        <f t="shared" si="573"/>
        <v>53706.434400000006</v>
      </c>
      <c r="L502" s="57">
        <f t="shared" si="573"/>
        <v>53706.434400000006</v>
      </c>
      <c r="M502" s="57">
        <f t="shared" si="573"/>
        <v>40878.464400000004</v>
      </c>
      <c r="N502" s="57">
        <f t="shared" si="573"/>
        <v>28050.494400000003</v>
      </c>
      <c r="O502" s="57">
        <f t="shared" si="573"/>
        <v>71038.447199999995</v>
      </c>
      <c r="P502" s="57">
        <f t="shared" ref="P502:T502" si="574">+P570+P638+P706</f>
        <v>119727.72</v>
      </c>
      <c r="Q502" s="57">
        <f t="shared" si="574"/>
        <v>125714.106</v>
      </c>
      <c r="R502" s="57">
        <f t="shared" si="574"/>
        <v>132002.66196</v>
      </c>
      <c r="S502" s="57">
        <f t="shared" si="574"/>
        <v>138599.08920000002</v>
      </c>
      <c r="T502" s="57">
        <f t="shared" si="574"/>
        <v>145531.89431999999</v>
      </c>
    </row>
    <row r="503" spans="2:20" ht="15" customHeight="1">
      <c r="B503" s="9" t="s">
        <v>350</v>
      </c>
      <c r="C503" s="57">
        <f t="shared" si="564"/>
        <v>941413.03118998872</v>
      </c>
      <c r="D503" s="57">
        <f t="shared" si="564"/>
        <v>1498818.1571199002</v>
      </c>
      <c r="E503" s="57">
        <f t="shared" si="564"/>
        <v>1618751.794545</v>
      </c>
      <c r="F503" s="57">
        <f t="shared" si="564"/>
        <v>1608273.1817307</v>
      </c>
      <c r="G503" s="57">
        <f t="shared" si="564"/>
        <v>1754993.530458</v>
      </c>
      <c r="H503" s="57">
        <f t="shared" si="564"/>
        <v>1754993.530458</v>
      </c>
      <c r="I503" s="57">
        <f t="shared" si="564"/>
        <v>1952587.4179481999</v>
      </c>
      <c r="J503" s="57">
        <f t="shared" ref="J503:O503" si="575">+J571+J639+J707</f>
        <v>2525099.5955195995</v>
      </c>
      <c r="K503" s="57">
        <f t="shared" si="575"/>
        <v>2882487.7804374006</v>
      </c>
      <c r="L503" s="57">
        <f t="shared" si="575"/>
        <v>3555076.377735001</v>
      </c>
      <c r="M503" s="57">
        <f t="shared" si="575"/>
        <v>4429899.2903994005</v>
      </c>
      <c r="N503" s="57">
        <f t="shared" si="575"/>
        <v>5943568.9632714</v>
      </c>
      <c r="O503" s="57">
        <f t="shared" si="575"/>
        <v>6834930.2459873995</v>
      </c>
      <c r="P503" s="57">
        <f t="shared" ref="P503:T503" si="576">+P571+P639+P707</f>
        <v>6963789.8985110996</v>
      </c>
      <c r="Q503" s="57">
        <f t="shared" si="576"/>
        <v>6966305.3541527996</v>
      </c>
      <c r="R503" s="57">
        <f t="shared" si="576"/>
        <v>6789632.0518079996</v>
      </c>
      <c r="S503" s="57">
        <f t="shared" si="576"/>
        <v>8334228.592033199</v>
      </c>
      <c r="T503" s="57">
        <f t="shared" si="576"/>
        <v>10780079.668513201</v>
      </c>
    </row>
    <row r="504" spans="2:20" ht="15" customHeight="1">
      <c r="B504" s="9" t="s">
        <v>309</v>
      </c>
      <c r="C504" s="57">
        <f t="shared" ref="C504:I504" si="577">+C572+C640+C708</f>
        <v>174038.62328531907</v>
      </c>
      <c r="D504" s="57">
        <f t="shared" si="577"/>
        <v>290934.48745349998</v>
      </c>
      <c r="E504" s="57">
        <f t="shared" si="577"/>
        <v>311766.3553086</v>
      </c>
      <c r="F504" s="57">
        <f t="shared" si="577"/>
        <v>357284.76772409998</v>
      </c>
      <c r="G504" s="57">
        <f t="shared" si="577"/>
        <v>625175.02810530004</v>
      </c>
      <c r="H504" s="57">
        <f t="shared" si="577"/>
        <v>625175.02810530004</v>
      </c>
      <c r="I504" s="57">
        <f t="shared" si="577"/>
        <v>768806.21161260002</v>
      </c>
      <c r="J504" s="57">
        <f t="shared" ref="J504:O504" si="578">+J572+J640+J708</f>
        <v>1078589.4150213001</v>
      </c>
      <c r="K504" s="57">
        <f t="shared" si="578"/>
        <v>1314620.4474342002</v>
      </c>
      <c r="L504" s="57">
        <f t="shared" si="578"/>
        <v>1410420.5255789999</v>
      </c>
      <c r="M504" s="57">
        <f t="shared" si="578"/>
        <v>1940028.3982169998</v>
      </c>
      <c r="N504" s="57">
        <f t="shared" si="578"/>
        <v>2456956.2976199994</v>
      </c>
      <c r="O504" s="57">
        <f t="shared" si="578"/>
        <v>2913292.6918047005</v>
      </c>
      <c r="P504" s="57">
        <f t="shared" ref="P504:T504" si="579">+P572+P640+P708</f>
        <v>3463606.0625400003</v>
      </c>
      <c r="Q504" s="57">
        <f t="shared" si="579"/>
        <v>3586145.6403063</v>
      </c>
      <c r="R504" s="57">
        <f t="shared" si="579"/>
        <v>3773254.7813120997</v>
      </c>
      <c r="S504" s="57">
        <f t="shared" si="579"/>
        <v>3910053.3794028005</v>
      </c>
      <c r="T504" s="57">
        <f t="shared" si="579"/>
        <v>5173971.6079889992</v>
      </c>
    </row>
    <row r="505" spans="2:20" ht="15" customHeight="1">
      <c r="B505" s="9" t="s">
        <v>308</v>
      </c>
      <c r="C505" s="57">
        <f t="shared" ref="C505:I505" si="580">+C573+C641+C709</f>
        <v>141651.95434771208</v>
      </c>
      <c r="D505" s="57">
        <f t="shared" si="580"/>
        <v>226564.57968930001</v>
      </c>
      <c r="E505" s="57">
        <f t="shared" si="580"/>
        <v>214645.69941660002</v>
      </c>
      <c r="F505" s="57">
        <f t="shared" si="580"/>
        <v>198295.33514309998</v>
      </c>
      <c r="G505" s="57">
        <f t="shared" si="580"/>
        <v>208023.18863759999</v>
      </c>
      <c r="H505" s="57">
        <f t="shared" si="580"/>
        <v>208023.18863759999</v>
      </c>
      <c r="I505" s="57">
        <f t="shared" si="580"/>
        <v>225147.0319911</v>
      </c>
      <c r="J505" s="57">
        <f t="shared" ref="J505:O505" si="581">+J573+J641+J709</f>
        <v>265599.03765509999</v>
      </c>
      <c r="K505" s="57">
        <f t="shared" si="581"/>
        <v>391705.72229700006</v>
      </c>
      <c r="L505" s="57">
        <f t="shared" si="581"/>
        <v>432226.84221269999</v>
      </c>
      <c r="M505" s="57">
        <f t="shared" si="581"/>
        <v>519426.37461329997</v>
      </c>
      <c r="N505" s="57">
        <f t="shared" si="581"/>
        <v>688157.76670470007</v>
      </c>
      <c r="O505" s="57">
        <f t="shared" si="581"/>
        <v>782111.44386090001</v>
      </c>
      <c r="P505" s="57">
        <f t="shared" ref="P505:T505" si="582">+P573+P641+P709</f>
        <v>946221.88758570002</v>
      </c>
      <c r="Q505" s="57">
        <f t="shared" si="582"/>
        <v>1083192.3852255002</v>
      </c>
      <c r="R505" s="57">
        <f t="shared" si="582"/>
        <v>1128269.5439796001</v>
      </c>
      <c r="S505" s="57">
        <f t="shared" si="582"/>
        <v>1423938.0844863001</v>
      </c>
      <c r="T505" s="57">
        <f t="shared" si="582"/>
        <v>1708187.1660989998</v>
      </c>
    </row>
    <row r="506" spans="2:20" ht="15" customHeight="1">
      <c r="B506" s="9" t="s">
        <v>278</v>
      </c>
      <c r="C506" s="57">
        <f t="shared" ref="C506:I507" si="583">+C574+C642+C710</f>
        <v>13384.523361464659</v>
      </c>
      <c r="D506" s="57">
        <f t="shared" si="583"/>
        <v>156736.67317680002</v>
      </c>
      <c r="E506" s="57">
        <f t="shared" si="583"/>
        <v>124352.9586099</v>
      </c>
      <c r="F506" s="57">
        <f t="shared" si="583"/>
        <v>181538.95611690002</v>
      </c>
      <c r="G506" s="57">
        <f t="shared" si="583"/>
        <v>245046.16864529997</v>
      </c>
      <c r="H506" s="57">
        <f t="shared" si="583"/>
        <v>245046.16864529997</v>
      </c>
      <c r="I506" s="57">
        <f t="shared" si="583"/>
        <v>292062.49361549993</v>
      </c>
      <c r="J506" s="57">
        <f t="shared" ref="J506:O506" si="584">+J574+J642+J710</f>
        <v>272656.24082640006</v>
      </c>
      <c r="K506" s="57">
        <f t="shared" si="584"/>
        <v>589111.02437490004</v>
      </c>
      <c r="L506" s="57">
        <f t="shared" si="584"/>
        <v>783017.06528520014</v>
      </c>
      <c r="M506" s="57">
        <f t="shared" si="584"/>
        <v>938210.50199699996</v>
      </c>
      <c r="N506" s="57">
        <f t="shared" si="584"/>
        <v>1029670.8588863999</v>
      </c>
      <c r="O506" s="57">
        <f t="shared" si="584"/>
        <v>1221183.9560196002</v>
      </c>
      <c r="P506" s="57">
        <f t="shared" ref="P506:T506" si="585">+P574+P642+P710</f>
        <v>1248070.7207366999</v>
      </c>
      <c r="Q506" s="57">
        <f t="shared" si="585"/>
        <v>1282004.2504584002</v>
      </c>
      <c r="R506" s="57">
        <f t="shared" si="585"/>
        <v>1404379.8630125998</v>
      </c>
      <c r="S506" s="57">
        <f t="shared" si="585"/>
        <v>1785883.6860615003</v>
      </c>
      <c r="T506" s="57">
        <f t="shared" si="585"/>
        <v>1994830.3460060998</v>
      </c>
    </row>
    <row r="507" spans="2:20" ht="15" customHeight="1" thickBot="1">
      <c r="B507" s="12" t="s">
        <v>361</v>
      </c>
      <c r="C507" s="24">
        <f t="shared" si="583"/>
        <v>513477.12320861721</v>
      </c>
      <c r="D507" s="24">
        <f t="shared" si="583"/>
        <v>342860.43397062307</v>
      </c>
      <c r="E507" s="24">
        <f t="shared" si="583"/>
        <v>100492.53308780584</v>
      </c>
      <c r="F507" s="24">
        <f t="shared" si="583"/>
        <v>56463.374761304236</v>
      </c>
      <c r="G507" s="24">
        <f t="shared" si="583"/>
        <v>362491.00048529904</v>
      </c>
      <c r="H507" s="24">
        <f t="shared" si="583"/>
        <v>362491.00048530276</v>
      </c>
      <c r="I507" s="24">
        <f t="shared" si="583"/>
        <v>526292.72097716364</v>
      </c>
      <c r="J507" s="24">
        <f t="shared" ref="J507:O507" si="586">+J575+J643+J711</f>
        <v>724925.11608329648</v>
      </c>
      <c r="K507" s="24">
        <f t="shared" si="586"/>
        <v>821859.69191360031</v>
      </c>
      <c r="L507" s="24">
        <f t="shared" si="586"/>
        <v>1145244.8383432624</v>
      </c>
      <c r="M507" s="24">
        <f t="shared" si="586"/>
        <v>1343296.7922593569</v>
      </c>
      <c r="N507" s="24">
        <f t="shared" si="586"/>
        <v>1551597.8463298697</v>
      </c>
      <c r="O507" s="24">
        <f t="shared" si="586"/>
        <v>1960436.2994871233</v>
      </c>
      <c r="P507" s="24">
        <f t="shared" ref="P507:T507" si="587">+P575+P643+P711</f>
        <v>2541832.3754592231</v>
      </c>
      <c r="Q507" s="24">
        <f t="shared" si="587"/>
        <v>2832270.229211879</v>
      </c>
      <c r="R507" s="24">
        <f t="shared" si="587"/>
        <v>2562287.1719801193</v>
      </c>
      <c r="S507" s="24">
        <f>+S575+S643+S711</f>
        <v>2797786.5074390047</v>
      </c>
      <c r="T507" s="24">
        <f t="shared" si="587"/>
        <v>2673547.7214080025</v>
      </c>
    </row>
    <row r="509" spans="2:20" ht="15" customHeight="1">
      <c r="C509" s="33">
        <v>2001</v>
      </c>
      <c r="D509" s="33">
        <f t="shared" ref="D509:K509" si="588">C509+1</f>
        <v>2002</v>
      </c>
      <c r="E509" s="33">
        <f t="shared" si="588"/>
        <v>2003</v>
      </c>
      <c r="F509" s="33">
        <f t="shared" si="588"/>
        <v>2004</v>
      </c>
      <c r="G509" s="34">
        <f t="shared" si="588"/>
        <v>2005</v>
      </c>
      <c r="H509" s="33">
        <f>F509+1</f>
        <v>2005</v>
      </c>
      <c r="I509" s="33">
        <f>H509+1</f>
        <v>2006</v>
      </c>
      <c r="J509" s="33">
        <f t="shared" si="588"/>
        <v>2007</v>
      </c>
      <c r="K509" s="33">
        <f t="shared" si="588"/>
        <v>2008</v>
      </c>
      <c r="L509" s="33">
        <f>K509+1</f>
        <v>2009</v>
      </c>
      <c r="M509" s="33">
        <f>L509+1</f>
        <v>2010</v>
      </c>
      <c r="N509" s="33">
        <f>M509+1</f>
        <v>2011</v>
      </c>
      <c r="O509" s="33">
        <f>N509+1</f>
        <v>2012</v>
      </c>
      <c r="P509" s="33">
        <f t="shared" ref="P509:T509" si="589">O509+1</f>
        <v>2013</v>
      </c>
      <c r="Q509" s="33">
        <f t="shared" si="589"/>
        <v>2014</v>
      </c>
      <c r="R509" s="33">
        <f t="shared" si="589"/>
        <v>2015</v>
      </c>
      <c r="S509" s="33">
        <f t="shared" si="589"/>
        <v>2016</v>
      </c>
      <c r="T509" s="33">
        <f t="shared" si="589"/>
        <v>2017</v>
      </c>
    </row>
    <row r="510" spans="2:20" ht="15" customHeight="1">
      <c r="B510" s="55" t="s">
        <v>46</v>
      </c>
      <c r="C510" s="56">
        <f t="shared" ref="C510:I510" si="590">SUM(C511:C575)</f>
        <v>10591007.000540722</v>
      </c>
      <c r="D510" s="56">
        <f t="shared" si="590"/>
        <v>10932685.257999996</v>
      </c>
      <c r="E510" s="56">
        <f t="shared" si="590"/>
        <v>11658212.206999999</v>
      </c>
      <c r="F510" s="56">
        <f t="shared" si="590"/>
        <v>12888957.17</v>
      </c>
      <c r="G510" s="56">
        <f t="shared" si="590"/>
        <v>14985387.211000005</v>
      </c>
      <c r="H510" s="56">
        <f t="shared" si="590"/>
        <v>14985387.211000005</v>
      </c>
      <c r="I510" s="56">
        <f t="shared" si="590"/>
        <v>16291816.96400011</v>
      </c>
      <c r="J510" s="56">
        <f t="shared" ref="J510:O510" si="591">SUM(J511:J575)</f>
        <v>18749213.298999991</v>
      </c>
      <c r="K510" s="56">
        <f t="shared" si="591"/>
        <v>20496358.616554614</v>
      </c>
      <c r="L510" s="56">
        <f t="shared" si="591"/>
        <v>22012665.885966372</v>
      </c>
      <c r="M510" s="56">
        <f t="shared" si="591"/>
        <v>24083867.702899173</v>
      </c>
      <c r="N510" s="56">
        <f t="shared" si="591"/>
        <v>26511914.088844236</v>
      </c>
      <c r="O510" s="56">
        <f t="shared" si="591"/>
        <v>28871188.417580172</v>
      </c>
      <c r="P510" s="56">
        <f t="shared" ref="P510:T510" si="592">SUM(P511:P575)</f>
        <v>31865051.820999995</v>
      </c>
      <c r="Q510" s="56">
        <f t="shared" si="592"/>
        <v>32177604.366999995</v>
      </c>
      <c r="R510" s="56">
        <f t="shared" si="592"/>
        <v>34543627.812000006</v>
      </c>
      <c r="S510" s="56">
        <f t="shared" si="592"/>
        <v>37470688.215999991</v>
      </c>
      <c r="T510" s="56">
        <f t="shared" si="592"/>
        <v>39490551.304220341</v>
      </c>
    </row>
    <row r="511" spans="2:20" ht="15" customHeight="1">
      <c r="B511" s="9" t="s">
        <v>61</v>
      </c>
      <c r="C511" s="10">
        <f>+($C$437*C300)</f>
        <v>4605046.89808199</v>
      </c>
      <c r="D511" s="10">
        <f t="shared" ref="D511:I511" si="593">+($C$437*D300)</f>
        <v>4841300.8280000007</v>
      </c>
      <c r="E511" s="10">
        <f t="shared" si="593"/>
        <v>5490464.2719999999</v>
      </c>
      <c r="F511" s="10">
        <f t="shared" si="593"/>
        <v>6137714.8300000001</v>
      </c>
      <c r="G511" s="10">
        <f t="shared" si="593"/>
        <v>6895187.5659999996</v>
      </c>
      <c r="H511" s="10">
        <f t="shared" si="593"/>
        <v>6895187.5659999996</v>
      </c>
      <c r="I511" s="10">
        <f t="shared" si="593"/>
        <v>7595837.6640000008</v>
      </c>
      <c r="J511" s="10">
        <f t="shared" ref="J511:O511" si="594">+($C$437*J300)</f>
        <v>9151509.623999998</v>
      </c>
      <c r="K511" s="10">
        <f t="shared" si="594"/>
        <v>10033706.386554623</v>
      </c>
      <c r="L511" s="10">
        <f t="shared" si="594"/>
        <v>10593284.915966386</v>
      </c>
      <c r="M511" s="10">
        <f t="shared" si="594"/>
        <v>11079837.64789916</v>
      </c>
      <c r="N511" s="10">
        <f t="shared" si="594"/>
        <v>12276327.963844197</v>
      </c>
      <c r="O511" s="10">
        <f t="shared" si="594"/>
        <v>13481360.462580679</v>
      </c>
      <c r="P511" s="10">
        <f>+($C$437*P300)</f>
        <v>14962835.386</v>
      </c>
      <c r="Q511" s="10">
        <f>+($C$437*Q300)</f>
        <v>15219582.221999997</v>
      </c>
      <c r="R511" s="10">
        <f>+($C$437*R300)</f>
        <v>16258364.942000002</v>
      </c>
      <c r="S511" s="10">
        <f>+($C$437*S300)</f>
        <v>17576954.585999999</v>
      </c>
      <c r="T511" s="10">
        <f t="shared" ref="T511" si="595">+($C$437*T300)</f>
        <v>18899759.289220341</v>
      </c>
    </row>
    <row r="512" spans="2:20" ht="15" customHeight="1">
      <c r="B512" s="11" t="s">
        <v>62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2:20" ht="15" customHeight="1">
      <c r="B513" s="11" t="s">
        <v>588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2:20" ht="15" customHeight="1">
      <c r="B514" s="11" t="s">
        <v>310</v>
      </c>
      <c r="C514" s="10">
        <f t="shared" ref="C514:C553" si="596">+($D$437*C303)</f>
        <v>2625.2970388482508</v>
      </c>
      <c r="D514" s="10">
        <f t="shared" ref="D514:I514" si="597">+($D$437*D303)</f>
        <v>2101.7399999999998</v>
      </c>
      <c r="E514" s="10">
        <f t="shared" si="597"/>
        <v>2321.3049999999998</v>
      </c>
      <c r="F514" s="10">
        <f t="shared" si="597"/>
        <v>2309.0300000000002</v>
      </c>
      <c r="G514" s="10">
        <f t="shared" si="597"/>
        <v>2335.2600000000002</v>
      </c>
      <c r="H514" s="10">
        <f t="shared" si="597"/>
        <v>2335.2600000000002</v>
      </c>
      <c r="I514" s="10">
        <f t="shared" si="597"/>
        <v>2586.62</v>
      </c>
      <c r="J514" s="10">
        <f t="shared" ref="J514:O514" si="598">+($D$437*J303)</f>
        <v>3264</v>
      </c>
      <c r="K514" s="10">
        <f t="shared" si="598"/>
        <v>3935.5</v>
      </c>
      <c r="L514" s="10">
        <f t="shared" si="598"/>
        <v>4340.8600000000006</v>
      </c>
      <c r="M514" s="10">
        <f t="shared" si="598"/>
        <v>4813.5649999999987</v>
      </c>
      <c r="N514" s="10">
        <f t="shared" si="598"/>
        <v>4381.0549999999994</v>
      </c>
      <c r="O514" s="10">
        <f t="shared" si="598"/>
        <v>4958.839999999982</v>
      </c>
      <c r="P514" s="10">
        <f t="shared" ref="P514:S533" si="599">+($D$437*P303)</f>
        <v>3843.3400000000042</v>
      </c>
      <c r="Q514" s="10">
        <f t="shared" si="599"/>
        <v>4821.8050000000003</v>
      </c>
      <c r="R514" s="10">
        <f t="shared" si="599"/>
        <v>3622.965000000002</v>
      </c>
      <c r="S514" s="10">
        <f t="shared" si="599"/>
        <v>3252.7350000000033</v>
      </c>
      <c r="T514" s="10">
        <f t="shared" ref="T514" si="600">+($D$437*T303)</f>
        <v>3537.3750000000032</v>
      </c>
    </row>
    <row r="515" spans="2:20" ht="15" customHeight="1">
      <c r="B515" s="11" t="s">
        <v>311</v>
      </c>
      <c r="C515" s="10">
        <f t="shared" si="596"/>
        <v>4891.26612557101</v>
      </c>
      <c r="D515" s="10">
        <f t="shared" ref="D515:I524" si="601">+($D$437*D304)</f>
        <v>7320.9949999999999</v>
      </c>
      <c r="E515" s="10">
        <f t="shared" si="601"/>
        <v>6480.51</v>
      </c>
      <c r="F515" s="10">
        <f t="shared" si="601"/>
        <v>5353.4350000000004</v>
      </c>
      <c r="G515" s="10">
        <f t="shared" si="601"/>
        <v>3934.2950000000001</v>
      </c>
      <c r="H515" s="10">
        <f t="shared" si="601"/>
        <v>3934.2950000000001</v>
      </c>
      <c r="I515" s="10">
        <f t="shared" si="601"/>
        <v>3348.415</v>
      </c>
      <c r="J515" s="10">
        <f t="shared" ref="J515:O515" si="602">+($D$437*J304)</f>
        <v>4119.9250000000002</v>
      </c>
      <c r="K515" s="10">
        <f t="shared" si="602"/>
        <v>4751.37</v>
      </c>
      <c r="L515" s="10">
        <f t="shared" si="602"/>
        <v>4003.4250000000002</v>
      </c>
      <c r="M515" s="10">
        <f t="shared" si="602"/>
        <v>6171.2100000000009</v>
      </c>
      <c r="N515" s="10">
        <f t="shared" si="602"/>
        <v>6080.16</v>
      </c>
      <c r="O515" s="10">
        <f t="shared" si="602"/>
        <v>7660.7099999999946</v>
      </c>
      <c r="P515" s="10">
        <f t="shared" si="599"/>
        <v>7667.835</v>
      </c>
      <c r="Q515" s="10">
        <f t="shared" si="599"/>
        <v>8057.2199999999957</v>
      </c>
      <c r="R515" s="10">
        <f t="shared" si="599"/>
        <v>7684.5549999999994</v>
      </c>
      <c r="S515" s="10">
        <f t="shared" si="599"/>
        <v>8276.1049999999977</v>
      </c>
      <c r="T515" s="10">
        <f t="shared" ref="T515" si="603">+($D$437*T304)</f>
        <v>6400.734999999996</v>
      </c>
    </row>
    <row r="516" spans="2:20" ht="15" customHeight="1">
      <c r="B516" s="11" t="s">
        <v>312</v>
      </c>
      <c r="C516" s="10">
        <f t="shared" si="596"/>
        <v>26514.966000081065</v>
      </c>
      <c r="D516" s="10">
        <f t="shared" si="601"/>
        <v>23193.764999999999</v>
      </c>
      <c r="E516" s="10">
        <f t="shared" si="601"/>
        <v>20098.564999999999</v>
      </c>
      <c r="F516" s="10">
        <f t="shared" si="601"/>
        <v>15167.375</v>
      </c>
      <c r="G516" s="10">
        <f t="shared" si="601"/>
        <v>4225.99</v>
      </c>
      <c r="H516" s="10">
        <f t="shared" si="601"/>
        <v>4225.99</v>
      </c>
      <c r="I516" s="10">
        <f t="shared" si="601"/>
        <v>27784.14499999995</v>
      </c>
      <c r="J516" s="10">
        <f t="shared" ref="J516:O516" si="604">+($D$437*J305)</f>
        <v>70260.755000000005</v>
      </c>
      <c r="K516" s="10">
        <f t="shared" si="604"/>
        <v>110623.56500000003</v>
      </c>
      <c r="L516" s="10">
        <f t="shared" si="604"/>
        <v>186112.96499999985</v>
      </c>
      <c r="M516" s="10">
        <f t="shared" si="604"/>
        <v>171612.01499999984</v>
      </c>
      <c r="N516" s="10">
        <f t="shared" si="604"/>
        <v>292639.61500000057</v>
      </c>
      <c r="O516" s="10">
        <f t="shared" si="604"/>
        <v>310918.54000000202</v>
      </c>
      <c r="P516" s="10">
        <f t="shared" si="599"/>
        <v>288855.56000000006</v>
      </c>
      <c r="Q516" s="10">
        <f t="shared" si="599"/>
        <v>262779.21000000008</v>
      </c>
      <c r="R516" s="10">
        <f t="shared" si="599"/>
        <v>279026.50500000024</v>
      </c>
      <c r="S516" s="10">
        <f t="shared" si="599"/>
        <v>346495.09</v>
      </c>
      <c r="T516" s="10">
        <f t="shared" ref="T516" si="605">+($D$437*T305)</f>
        <v>324206.7049999999</v>
      </c>
    </row>
    <row r="517" spans="2:20" ht="15" customHeight="1">
      <c r="B517" s="11" t="s">
        <v>313</v>
      </c>
      <c r="C517" s="10">
        <f t="shared" si="596"/>
        <v>407134.45017808001</v>
      </c>
      <c r="D517" s="10">
        <f t="shared" si="601"/>
        <v>297204.17499999952</v>
      </c>
      <c r="E517" s="10">
        <f t="shared" si="601"/>
        <v>239751.65999999951</v>
      </c>
      <c r="F517" s="10">
        <f t="shared" si="601"/>
        <v>282879.76</v>
      </c>
      <c r="G517" s="10">
        <f t="shared" si="601"/>
        <v>258575.86500000049</v>
      </c>
      <c r="H517" s="10">
        <f t="shared" si="601"/>
        <v>258575.86500000049</v>
      </c>
      <c r="I517" s="10">
        <f t="shared" si="601"/>
        <v>237152.98000000336</v>
      </c>
      <c r="J517" s="10">
        <f t="shared" ref="J517:O517" si="606">+($D$437*J306)</f>
        <v>390595.88499999931</v>
      </c>
      <c r="K517" s="10">
        <f t="shared" si="606"/>
        <v>505082.45499999955</v>
      </c>
      <c r="L517" s="10">
        <f t="shared" si="606"/>
        <v>570822.279999997</v>
      </c>
      <c r="M517" s="10">
        <f t="shared" si="606"/>
        <v>661280.040000004</v>
      </c>
      <c r="N517" s="10">
        <f t="shared" si="606"/>
        <v>767476.72500000696</v>
      </c>
      <c r="O517" s="10">
        <f t="shared" si="606"/>
        <v>827379.39499995648</v>
      </c>
      <c r="P517" s="10">
        <f t="shared" si="599"/>
        <v>668129.36499999906</v>
      </c>
      <c r="Q517" s="10">
        <f t="shared" si="599"/>
        <v>748263.17999999865</v>
      </c>
      <c r="R517" s="10">
        <f t="shared" si="599"/>
        <v>734077.31499999866</v>
      </c>
      <c r="S517" s="10">
        <f t="shared" si="599"/>
        <v>790804.26499999873</v>
      </c>
      <c r="T517" s="10">
        <f t="shared" ref="T517" si="607">+($D$437*T306)</f>
        <v>1046403.7249999989</v>
      </c>
    </row>
    <row r="518" spans="2:20" ht="15" customHeight="1">
      <c r="B518" s="11" t="s">
        <v>314</v>
      </c>
      <c r="C518" s="10">
        <f t="shared" si="596"/>
        <v>618938.94985088019</v>
      </c>
      <c r="D518" s="10">
        <f t="shared" si="601"/>
        <v>578852.10499999998</v>
      </c>
      <c r="E518" s="10">
        <f t="shared" si="601"/>
        <v>682378.13500000001</v>
      </c>
      <c r="F518" s="10">
        <f t="shared" si="601"/>
        <v>756941.76</v>
      </c>
      <c r="G518" s="10">
        <f t="shared" si="601"/>
        <v>953260.86</v>
      </c>
      <c r="H518" s="10">
        <f t="shared" si="601"/>
        <v>953260.86</v>
      </c>
      <c r="I518" s="10">
        <f t="shared" si="601"/>
        <v>793605.54500000691</v>
      </c>
      <c r="J518" s="10">
        <f t="shared" ref="J518:O518" si="608">+($D$437*J307)</f>
        <v>916970.9</v>
      </c>
      <c r="K518" s="10">
        <f t="shared" si="608"/>
        <v>1093752.6299999999</v>
      </c>
      <c r="L518" s="10">
        <f t="shared" si="608"/>
        <v>1058819.7450000001</v>
      </c>
      <c r="M518" s="10">
        <f t="shared" si="608"/>
        <v>1188363.9399999997</v>
      </c>
      <c r="N518" s="10">
        <f t="shared" si="608"/>
        <v>1244251.1150000009</v>
      </c>
      <c r="O518" s="10">
        <f t="shared" si="608"/>
        <v>1489417.8949999653</v>
      </c>
      <c r="P518" s="10">
        <f t="shared" si="599"/>
        <v>1742309.8400000008</v>
      </c>
      <c r="Q518" s="10">
        <f t="shared" si="599"/>
        <v>1511936.2600000005</v>
      </c>
      <c r="R518" s="10">
        <f t="shared" si="599"/>
        <v>1858784.7550000004</v>
      </c>
      <c r="S518" s="10">
        <f t="shared" si="599"/>
        <v>1953625.1800000004</v>
      </c>
      <c r="T518" s="10">
        <f t="shared" ref="T518" si="609">+($D$437*T307)</f>
        <v>1924039.6799999997</v>
      </c>
    </row>
    <row r="519" spans="2:20" ht="15" customHeight="1">
      <c r="B519" s="11" t="s">
        <v>315</v>
      </c>
      <c r="C519" s="10">
        <f t="shared" si="596"/>
        <v>692.17335389467496</v>
      </c>
      <c r="D519" s="10">
        <f t="shared" si="601"/>
        <v>859.04499999999996</v>
      </c>
      <c r="E519" s="10">
        <f t="shared" si="601"/>
        <v>671.42499999999995</v>
      </c>
      <c r="F519" s="10">
        <f t="shared" si="601"/>
        <v>901.17</v>
      </c>
      <c r="G519" s="10">
        <f t="shared" si="601"/>
        <v>752.18499999999995</v>
      </c>
      <c r="H519" s="10">
        <f t="shared" si="601"/>
        <v>752.18499999999995</v>
      </c>
      <c r="I519" s="10">
        <f t="shared" si="601"/>
        <v>665.37000000000012</v>
      </c>
      <c r="J519" s="10">
        <f t="shared" ref="J519:O519" si="610">+($D$437*J308)</f>
        <v>997.05</v>
      </c>
      <c r="K519" s="10">
        <f t="shared" si="610"/>
        <v>1094.8</v>
      </c>
      <c r="L519" s="10">
        <f t="shared" si="610"/>
        <v>795.82499999999993</v>
      </c>
      <c r="M519" s="10">
        <f t="shared" si="610"/>
        <v>1105.19</v>
      </c>
      <c r="N519" s="10">
        <f t="shared" si="610"/>
        <v>1206.0649999999998</v>
      </c>
      <c r="O519" s="10">
        <f t="shared" si="610"/>
        <v>1206.0649999999991</v>
      </c>
      <c r="P519" s="10">
        <f t="shared" si="599"/>
        <v>1226.3349999999991</v>
      </c>
      <c r="Q519" s="10">
        <f t="shared" si="599"/>
        <v>1064.1749999999995</v>
      </c>
      <c r="R519" s="10">
        <f t="shared" si="599"/>
        <v>790.52999999999952</v>
      </c>
      <c r="S519" s="10">
        <f t="shared" si="599"/>
        <v>794.43999999999971</v>
      </c>
      <c r="T519" s="10">
        <f t="shared" ref="T519" si="611">+($D$437*T308)</f>
        <v>689.17999999999972</v>
      </c>
    </row>
    <row r="520" spans="2:20" ht="15" customHeight="1">
      <c r="B520" s="11" t="s">
        <v>316</v>
      </c>
      <c r="C520" s="10">
        <f t="shared" si="596"/>
        <v>2831.9474796312147</v>
      </c>
      <c r="D520" s="10">
        <f t="shared" si="601"/>
        <v>2962.6849999999999</v>
      </c>
      <c r="E520" s="10">
        <f t="shared" si="601"/>
        <v>6218.76</v>
      </c>
      <c r="F520" s="10">
        <f t="shared" si="601"/>
        <v>3903.6149999999998</v>
      </c>
      <c r="G520" s="10">
        <f t="shared" si="601"/>
        <v>1778.5250000000001</v>
      </c>
      <c r="H520" s="10">
        <f t="shared" si="601"/>
        <v>1778.5250000000001</v>
      </c>
      <c r="I520" s="10">
        <f t="shared" si="601"/>
        <v>2770.8100000000004</v>
      </c>
      <c r="J520" s="10">
        <f t="shared" ref="J520:O520" si="612">+($D$437*J309)</f>
        <v>2822.42</v>
      </c>
      <c r="K520" s="10">
        <f t="shared" si="612"/>
        <v>3357.2650000000003</v>
      </c>
      <c r="L520" s="10">
        <f t="shared" si="612"/>
        <v>3325.4850000000001</v>
      </c>
      <c r="M520" s="10">
        <f t="shared" si="612"/>
        <v>3932.420000000001</v>
      </c>
      <c r="N520" s="10">
        <f t="shared" si="612"/>
        <v>4818.1150000000007</v>
      </c>
      <c r="O520" s="10">
        <f t="shared" si="612"/>
        <v>5881.15</v>
      </c>
      <c r="P520" s="10">
        <f t="shared" si="599"/>
        <v>6828.7949999999983</v>
      </c>
      <c r="Q520" s="10">
        <f t="shared" si="599"/>
        <v>6462.965000000002</v>
      </c>
      <c r="R520" s="10">
        <f t="shared" si="599"/>
        <v>6782.0300000000007</v>
      </c>
      <c r="S520" s="10">
        <f t="shared" si="599"/>
        <v>5221.9950000000008</v>
      </c>
      <c r="T520" s="10">
        <f t="shared" ref="T520" si="613">+($D$437*T309)</f>
        <v>4913.8200000000006</v>
      </c>
    </row>
    <row r="521" spans="2:20" ht="15" customHeight="1">
      <c r="B521" s="11" t="s">
        <v>317</v>
      </c>
      <c r="C521" s="10">
        <f t="shared" si="596"/>
        <v>33747.270217728008</v>
      </c>
      <c r="D521" s="10">
        <f t="shared" si="601"/>
        <v>59156.544999999998</v>
      </c>
      <c r="E521" s="10">
        <f t="shared" si="601"/>
        <v>25674.744999999999</v>
      </c>
      <c r="F521" s="10">
        <f t="shared" si="601"/>
        <v>28602.084999999999</v>
      </c>
      <c r="G521" s="10">
        <f t="shared" si="601"/>
        <v>43140.635000000002</v>
      </c>
      <c r="H521" s="10">
        <f t="shared" si="601"/>
        <v>43140.635000000002</v>
      </c>
      <c r="I521" s="10">
        <f t="shared" si="601"/>
        <v>83740.329999999492</v>
      </c>
      <c r="J521" s="10">
        <f t="shared" ref="J521:O521" si="614">+($D$437*J310)</f>
        <v>174787.67499999999</v>
      </c>
      <c r="K521" s="10">
        <f t="shared" si="614"/>
        <v>172818.25499999998</v>
      </c>
      <c r="L521" s="10">
        <f t="shared" si="614"/>
        <v>234394.81999999975</v>
      </c>
      <c r="M521" s="10">
        <f t="shared" si="614"/>
        <v>152995.88999999984</v>
      </c>
      <c r="N521" s="10">
        <f t="shared" si="614"/>
        <v>272383.30999999912</v>
      </c>
      <c r="O521" s="10">
        <f t="shared" si="614"/>
        <v>314585.16499999765</v>
      </c>
      <c r="P521" s="10">
        <f t="shared" si="599"/>
        <v>284841.44500000007</v>
      </c>
      <c r="Q521" s="10">
        <f t="shared" si="599"/>
        <v>244127.58500000011</v>
      </c>
      <c r="R521" s="10">
        <f t="shared" si="599"/>
        <v>238553.61500000005</v>
      </c>
      <c r="S521" s="10">
        <f t="shared" si="599"/>
        <v>302573.23999999993</v>
      </c>
      <c r="T521" s="10">
        <f t="shared" ref="T521" si="615">+($D$437*T310)</f>
        <v>343715.95000000007</v>
      </c>
    </row>
    <row r="522" spans="2:20" ht="15" customHeight="1">
      <c r="B522" s="11" t="s">
        <v>318</v>
      </c>
      <c r="C522" s="10">
        <f t="shared" si="596"/>
        <v>271887.55874706694</v>
      </c>
      <c r="D522" s="10">
        <f t="shared" si="601"/>
        <v>341409.58000000101</v>
      </c>
      <c r="E522" s="10">
        <f t="shared" si="601"/>
        <v>358698.90000000049</v>
      </c>
      <c r="F522" s="10">
        <f t="shared" si="601"/>
        <v>404404.71000000049</v>
      </c>
      <c r="G522" s="10">
        <f t="shared" si="601"/>
        <v>458264.84499999997</v>
      </c>
      <c r="H522" s="10">
        <f t="shared" si="601"/>
        <v>458264.84499999997</v>
      </c>
      <c r="I522" s="10">
        <f t="shared" si="601"/>
        <v>445544.92999999737</v>
      </c>
      <c r="J522" s="10">
        <f t="shared" ref="J522:O522" si="616">+($D$437*J311)</f>
        <v>544674.42500000005</v>
      </c>
      <c r="K522" s="10">
        <f t="shared" si="616"/>
        <v>553677.75</v>
      </c>
      <c r="L522" s="10">
        <f t="shared" si="616"/>
        <v>542553.97500000009</v>
      </c>
      <c r="M522" s="10">
        <f t="shared" si="616"/>
        <v>720411.67999999982</v>
      </c>
      <c r="N522" s="10">
        <f t="shared" si="616"/>
        <v>817566.04500000202</v>
      </c>
      <c r="O522" s="10">
        <f t="shared" si="616"/>
        <v>848727.70500005526</v>
      </c>
      <c r="P522" s="10">
        <f t="shared" si="599"/>
        <v>978874.69999999972</v>
      </c>
      <c r="Q522" s="10">
        <f t="shared" si="599"/>
        <v>1241747.3749999995</v>
      </c>
      <c r="R522" s="10">
        <f t="shared" si="599"/>
        <v>1380406.3400000005</v>
      </c>
      <c r="S522" s="10">
        <f t="shared" si="599"/>
        <v>1436432.5000000002</v>
      </c>
      <c r="T522" s="10">
        <f t="shared" ref="T522" si="617">+($D$437*T311)</f>
        <v>1590138.1350000007</v>
      </c>
    </row>
    <row r="523" spans="2:20" ht="15" customHeight="1">
      <c r="B523" s="11" t="s">
        <v>319</v>
      </c>
      <c r="C523" s="10">
        <f t="shared" si="596"/>
        <v>1362107.4409321542</v>
      </c>
      <c r="D523" s="10">
        <f t="shared" si="601"/>
        <v>1489302.01</v>
      </c>
      <c r="E523" s="10">
        <f t="shared" si="601"/>
        <v>1459495.3049999999</v>
      </c>
      <c r="F523" s="10">
        <f t="shared" si="601"/>
        <v>1684176.34</v>
      </c>
      <c r="G523" s="10">
        <f t="shared" si="601"/>
        <v>1933843.56</v>
      </c>
      <c r="H523" s="10">
        <f t="shared" si="601"/>
        <v>1933843.56</v>
      </c>
      <c r="I523" s="10">
        <f t="shared" si="601"/>
        <v>1983199.3600000504</v>
      </c>
      <c r="J523" s="10">
        <f t="shared" ref="J523:O523" si="618">+($D$437*J312)</f>
        <v>1983426.14</v>
      </c>
      <c r="K523" s="10">
        <f t="shared" si="618"/>
        <v>2023370.1049999932</v>
      </c>
      <c r="L523" s="10">
        <f t="shared" si="618"/>
        <v>2271935.0799999917</v>
      </c>
      <c r="M523" s="10">
        <f t="shared" si="618"/>
        <v>2517388.5750000044</v>
      </c>
      <c r="N523" s="10">
        <f t="shared" si="618"/>
        <v>2465719.7450000136</v>
      </c>
      <c r="O523" s="10">
        <f t="shared" si="618"/>
        <v>2505156.7399997963</v>
      </c>
      <c r="P523" s="10">
        <f t="shared" si="599"/>
        <v>2879343.7799999961</v>
      </c>
      <c r="Q523" s="10">
        <f t="shared" si="599"/>
        <v>2824870.9799999977</v>
      </c>
      <c r="R523" s="10">
        <f t="shared" si="599"/>
        <v>2802075.5449999985</v>
      </c>
      <c r="S523" s="10">
        <f t="shared" si="599"/>
        <v>3081079.6849999968</v>
      </c>
      <c r="T523" s="10">
        <f t="shared" ref="T523" si="619">+($D$437*T312)</f>
        <v>2938981.1449999977</v>
      </c>
    </row>
    <row r="524" spans="2:20" ht="15" customHeight="1">
      <c r="B524" s="11" t="s">
        <v>320</v>
      </c>
      <c r="C524" s="10">
        <f t="shared" si="596"/>
        <v>3055.9018272154744</v>
      </c>
      <c r="D524" s="10">
        <f t="shared" si="601"/>
        <v>2665.605</v>
      </c>
      <c r="E524" s="10">
        <f t="shared" si="601"/>
        <v>2690.29</v>
      </c>
      <c r="F524" s="10">
        <f t="shared" si="601"/>
        <v>2794.24</v>
      </c>
      <c r="G524" s="10">
        <f t="shared" si="601"/>
        <v>2673.6950000000002</v>
      </c>
      <c r="H524" s="10">
        <f t="shared" si="601"/>
        <v>2673.6950000000002</v>
      </c>
      <c r="I524" s="10">
        <f t="shared" si="601"/>
        <v>2960.9850000000001</v>
      </c>
      <c r="J524" s="10">
        <f t="shared" ref="J524:O524" si="620">+($D$437*J313)</f>
        <v>3765.5</v>
      </c>
      <c r="K524" s="10">
        <f t="shared" si="620"/>
        <v>4445.5</v>
      </c>
      <c r="L524" s="10">
        <f t="shared" si="620"/>
        <v>4716.84</v>
      </c>
      <c r="M524" s="10">
        <f t="shared" si="620"/>
        <v>5363.8099999999995</v>
      </c>
      <c r="N524" s="10">
        <f t="shared" si="620"/>
        <v>4724.84</v>
      </c>
      <c r="O524" s="10">
        <f t="shared" si="620"/>
        <v>5383.7499999999627</v>
      </c>
      <c r="P524" s="10">
        <f t="shared" si="599"/>
        <v>4372.2400000000034</v>
      </c>
      <c r="Q524" s="10">
        <f t="shared" si="599"/>
        <v>4813.7400000000007</v>
      </c>
      <c r="R524" s="10">
        <f t="shared" si="599"/>
        <v>4103.8400000000029</v>
      </c>
      <c r="S524" s="10">
        <f t="shared" si="599"/>
        <v>3675.8550000000032</v>
      </c>
      <c r="T524" s="10">
        <f t="shared" ref="T524" si="621">+($D$437*T313)</f>
        <v>4020.1700000000028</v>
      </c>
    </row>
    <row r="525" spans="2:20" ht="15" customHeight="1">
      <c r="B525" s="11" t="s">
        <v>321</v>
      </c>
      <c r="C525" s="10">
        <f t="shared" si="596"/>
        <v>6946.9918905658824</v>
      </c>
      <c r="D525" s="10">
        <f t="shared" ref="D525:I534" si="622">+($D$437*D314)</f>
        <v>8558.4650000000001</v>
      </c>
      <c r="E525" s="10">
        <f t="shared" si="622"/>
        <v>10597.834999999999</v>
      </c>
      <c r="F525" s="10">
        <f t="shared" si="622"/>
        <v>7678.06</v>
      </c>
      <c r="G525" s="10">
        <f t="shared" si="622"/>
        <v>4470.79</v>
      </c>
      <c r="H525" s="10">
        <f t="shared" si="622"/>
        <v>4470.79</v>
      </c>
      <c r="I525" s="10">
        <f t="shared" si="622"/>
        <v>4042.5349999999999</v>
      </c>
      <c r="J525" s="10">
        <f t="shared" ref="J525:O525" si="623">+($D$437*J314)</f>
        <v>4894.915</v>
      </c>
      <c r="K525" s="10">
        <f t="shared" si="623"/>
        <v>6129.5349999999999</v>
      </c>
      <c r="L525" s="10">
        <f t="shared" si="623"/>
        <v>5414.7149999999992</v>
      </c>
      <c r="M525" s="10">
        <f t="shared" si="623"/>
        <v>7374.3300000000008</v>
      </c>
      <c r="N525" s="10">
        <f t="shared" si="623"/>
        <v>7883.550000000002</v>
      </c>
      <c r="O525" s="10">
        <f t="shared" si="623"/>
        <v>9679.7750000000106</v>
      </c>
      <c r="P525" s="10">
        <f t="shared" si="599"/>
        <v>10745.025000000005</v>
      </c>
      <c r="Q525" s="10">
        <f t="shared" si="599"/>
        <v>10952.695000000002</v>
      </c>
      <c r="R525" s="10">
        <f t="shared" si="599"/>
        <v>10876.569999999996</v>
      </c>
      <c r="S525" s="10">
        <f t="shared" si="599"/>
        <v>9880.8799999999956</v>
      </c>
      <c r="T525" s="10">
        <f t="shared" ref="T525" si="624">+($D$437*T314)</f>
        <v>8436.57</v>
      </c>
    </row>
    <row r="526" spans="2:20" ht="15" customHeight="1">
      <c r="B526" s="11" t="s">
        <v>322</v>
      </c>
      <c r="C526" s="10">
        <f t="shared" si="596"/>
        <v>47349.171568064747</v>
      </c>
      <c r="D526" s="10">
        <f t="shared" si="622"/>
        <v>39306.095000000001</v>
      </c>
      <c r="E526" s="10">
        <f t="shared" si="622"/>
        <v>27002.86</v>
      </c>
      <c r="F526" s="10">
        <f t="shared" si="622"/>
        <v>22667.404999999999</v>
      </c>
      <c r="G526" s="10">
        <f t="shared" si="622"/>
        <v>37588.294999999998</v>
      </c>
      <c r="H526" s="10">
        <f t="shared" si="622"/>
        <v>37588.294999999998</v>
      </c>
      <c r="I526" s="10">
        <f t="shared" si="622"/>
        <v>59330.774999999718</v>
      </c>
      <c r="J526" s="10">
        <f t="shared" ref="J526:O526" si="625">+($D$437*J315)</f>
        <v>115967.67</v>
      </c>
      <c r="K526" s="10">
        <f t="shared" si="625"/>
        <v>140339.58499999999</v>
      </c>
      <c r="L526" s="10">
        <f t="shared" si="625"/>
        <v>229790.61499999961</v>
      </c>
      <c r="M526" s="10">
        <f t="shared" si="625"/>
        <v>158122.77499999985</v>
      </c>
      <c r="N526" s="10">
        <f t="shared" si="625"/>
        <v>274207.97500000027</v>
      </c>
      <c r="O526" s="10">
        <f t="shared" si="625"/>
        <v>367606.77500001417</v>
      </c>
      <c r="P526" s="10">
        <f t="shared" si="599"/>
        <v>261152.80000000013</v>
      </c>
      <c r="Q526" s="10">
        <f t="shared" si="599"/>
        <v>225345.96000000005</v>
      </c>
      <c r="R526" s="10">
        <f t="shared" si="599"/>
        <v>250571.23500000004</v>
      </c>
      <c r="S526" s="10">
        <f t="shared" si="599"/>
        <v>316716.52500000002</v>
      </c>
      <c r="T526" s="10">
        <f t="shared" ref="T526" si="626">+($D$437*T315)</f>
        <v>323192.9549999999</v>
      </c>
    </row>
    <row r="527" spans="2:20" ht="15" customHeight="1">
      <c r="B527" s="11" t="s">
        <v>323</v>
      </c>
      <c r="C527" s="10">
        <f t="shared" si="596"/>
        <v>393655.78293596988</v>
      </c>
      <c r="D527" s="10">
        <f t="shared" si="622"/>
        <v>383014.57499999949</v>
      </c>
      <c r="E527" s="10">
        <f t="shared" si="622"/>
        <v>346498.6</v>
      </c>
      <c r="F527" s="10">
        <f t="shared" si="622"/>
        <v>389155.57500000048</v>
      </c>
      <c r="G527" s="10">
        <f t="shared" si="622"/>
        <v>435219.69500000047</v>
      </c>
      <c r="H527" s="10">
        <f t="shared" si="622"/>
        <v>435219.69500000047</v>
      </c>
      <c r="I527" s="10">
        <f t="shared" si="622"/>
        <v>371347.90500000463</v>
      </c>
      <c r="J527" s="10">
        <f t="shared" ref="J527:O527" si="627">+($D$437*J316)</f>
        <v>427937.44999999931</v>
      </c>
      <c r="K527" s="10">
        <f t="shared" si="627"/>
        <v>500666.63499999966</v>
      </c>
      <c r="L527" s="10">
        <f t="shared" si="627"/>
        <v>563205.36999999732</v>
      </c>
      <c r="M527" s="10">
        <f t="shared" si="627"/>
        <v>668512.95000000345</v>
      </c>
      <c r="N527" s="10">
        <f t="shared" si="627"/>
        <v>799234.43500000506</v>
      </c>
      <c r="O527" s="10">
        <f t="shared" si="627"/>
        <v>824854.82499996957</v>
      </c>
      <c r="P527" s="10">
        <f t="shared" si="599"/>
        <v>725091.5649999989</v>
      </c>
      <c r="Q527" s="10">
        <f t="shared" si="599"/>
        <v>938908.66499999829</v>
      </c>
      <c r="R527" s="10">
        <f t="shared" si="599"/>
        <v>1032948.234999998</v>
      </c>
      <c r="S527" s="10">
        <f t="shared" si="599"/>
        <v>1120809.1249999979</v>
      </c>
      <c r="T527" s="10">
        <f t="shared" ref="T527" si="628">+($D$437*T316)</f>
        <v>1225999.8249999979</v>
      </c>
    </row>
    <row r="528" spans="2:20" ht="15" customHeight="1">
      <c r="B528" s="11" t="s">
        <v>324</v>
      </c>
      <c r="C528" s="10">
        <f t="shared" si="596"/>
        <v>694622.74780985992</v>
      </c>
      <c r="D528" s="10">
        <f t="shared" si="622"/>
        <v>716495.27</v>
      </c>
      <c r="E528" s="10">
        <f t="shared" si="622"/>
        <v>823708.62</v>
      </c>
      <c r="F528" s="10">
        <f t="shared" si="622"/>
        <v>927977.89</v>
      </c>
      <c r="G528" s="10">
        <f t="shared" si="622"/>
        <v>1007388.45</v>
      </c>
      <c r="H528" s="10">
        <f t="shared" si="622"/>
        <v>1007388.45</v>
      </c>
      <c r="I528" s="10">
        <f t="shared" si="622"/>
        <v>955960.00000001315</v>
      </c>
      <c r="J528" s="10">
        <f t="shared" ref="J528:O528" si="629">+($D$437*J317)</f>
        <v>1047325.4850000001</v>
      </c>
      <c r="K528" s="10">
        <f t="shared" si="629"/>
        <v>1076287.2499999998</v>
      </c>
      <c r="L528" s="10">
        <f t="shared" si="629"/>
        <v>1083470.1300000004</v>
      </c>
      <c r="M528" s="10">
        <f t="shared" si="629"/>
        <v>1261425.8300000005</v>
      </c>
      <c r="N528" s="10">
        <f t="shared" si="629"/>
        <v>1252852.8250000014</v>
      </c>
      <c r="O528" s="10">
        <f t="shared" si="629"/>
        <v>1557516.0149999438</v>
      </c>
      <c r="P528" s="10">
        <f t="shared" si="599"/>
        <v>1798157.5</v>
      </c>
      <c r="Q528" s="10">
        <f t="shared" si="599"/>
        <v>1587043.1450000005</v>
      </c>
      <c r="R528" s="10">
        <f t="shared" si="599"/>
        <v>1685364.8500000013</v>
      </c>
      <c r="S528" s="10">
        <f t="shared" si="599"/>
        <v>1926758.0200000005</v>
      </c>
      <c r="T528" s="10">
        <f t="shared" ref="T528" si="630">+($D$437*T317)</f>
        <v>1971451.2400000002</v>
      </c>
    </row>
    <row r="529" spans="2:20" ht="15" customHeight="1">
      <c r="B529" s="11" t="s">
        <v>325</v>
      </c>
      <c r="C529" s="10">
        <f t="shared" si="596"/>
        <v>312.08526876571926</v>
      </c>
      <c r="D529" s="10">
        <f t="shared" si="622"/>
        <v>201.93</v>
      </c>
      <c r="E529" s="10">
        <f t="shared" si="622"/>
        <v>237.44499999999999</v>
      </c>
      <c r="F529" s="10">
        <f t="shared" si="622"/>
        <v>306.24</v>
      </c>
      <c r="G529" s="10">
        <f t="shared" si="622"/>
        <v>325.81</v>
      </c>
      <c r="H529" s="10">
        <f t="shared" si="622"/>
        <v>325.81</v>
      </c>
      <c r="I529" s="10">
        <f t="shared" si="622"/>
        <v>224.98499999999999</v>
      </c>
      <c r="J529" s="10">
        <f t="shared" ref="J529:O529" si="631">+($D$437*J318)</f>
        <v>400.77499999999998</v>
      </c>
      <c r="K529" s="10">
        <f t="shared" si="631"/>
        <v>459.42499999999995</v>
      </c>
      <c r="L529" s="10">
        <f t="shared" si="631"/>
        <v>265.27499999999998</v>
      </c>
      <c r="M529" s="10">
        <f t="shared" si="631"/>
        <v>522.34500000000003</v>
      </c>
      <c r="N529" s="10">
        <f t="shared" si="631"/>
        <v>648.64</v>
      </c>
      <c r="O529" s="10">
        <f t="shared" si="631"/>
        <v>648.63999999999965</v>
      </c>
      <c r="P529" s="10">
        <f t="shared" si="599"/>
        <v>557.42499999999973</v>
      </c>
      <c r="Q529" s="10">
        <f t="shared" si="599"/>
        <v>993.22999999999968</v>
      </c>
      <c r="R529" s="10">
        <f t="shared" si="599"/>
        <v>293.91499999999991</v>
      </c>
      <c r="S529" s="10">
        <f t="shared" si="599"/>
        <v>314.18499999999995</v>
      </c>
      <c r="T529" s="10">
        <f t="shared" ref="T529" si="632">+($D$437*T318)</f>
        <v>307.00499999999994</v>
      </c>
    </row>
    <row r="530" spans="2:20" ht="15" customHeight="1">
      <c r="B530" s="11" t="s">
        <v>326</v>
      </c>
      <c r="C530" s="10">
        <f t="shared" si="596"/>
        <v>896.48927615558159</v>
      </c>
      <c r="D530" s="10">
        <f t="shared" si="622"/>
        <v>1601.2149999999999</v>
      </c>
      <c r="E530" s="10">
        <f t="shared" si="622"/>
        <v>1581.97</v>
      </c>
      <c r="F530" s="10">
        <f t="shared" si="622"/>
        <v>1309.825</v>
      </c>
      <c r="G530" s="10">
        <f t="shared" si="622"/>
        <v>1117.3499999999999</v>
      </c>
      <c r="H530" s="10">
        <f t="shared" si="622"/>
        <v>1117.3499999999999</v>
      </c>
      <c r="I530" s="10">
        <f t="shared" si="622"/>
        <v>1878.9650000000001</v>
      </c>
      <c r="J530" s="10">
        <f t="shared" ref="J530:O530" si="633">+($D$437*J319)</f>
        <v>1974.81</v>
      </c>
      <c r="K530" s="10">
        <f t="shared" si="633"/>
        <v>1702.87</v>
      </c>
      <c r="L530" s="10">
        <f t="shared" si="633"/>
        <v>1728.7850000000003</v>
      </c>
      <c r="M530" s="10">
        <f t="shared" si="633"/>
        <v>2403.2150000000001</v>
      </c>
      <c r="N530" s="10">
        <f t="shared" si="633"/>
        <v>2702.7550000000006</v>
      </c>
      <c r="O530" s="10">
        <f t="shared" si="633"/>
        <v>3323.4000000000015</v>
      </c>
      <c r="P530" s="10">
        <f t="shared" si="599"/>
        <v>3390.5600000000004</v>
      </c>
      <c r="Q530" s="10">
        <f t="shared" si="599"/>
        <v>2916.7000000000007</v>
      </c>
      <c r="R530" s="10">
        <f t="shared" si="599"/>
        <v>3086.4749999999995</v>
      </c>
      <c r="S530" s="10">
        <f t="shared" si="599"/>
        <v>3215.7300000000005</v>
      </c>
      <c r="T530" s="10">
        <f t="shared" ref="T530" si="634">+($D$437*T319)</f>
        <v>2585.9850000000001</v>
      </c>
    </row>
    <row r="531" spans="2:20" ht="15" customHeight="1">
      <c r="B531" s="11" t="s">
        <v>327</v>
      </c>
      <c r="C531" s="10">
        <f t="shared" si="596"/>
        <v>10637.381688390764</v>
      </c>
      <c r="D531" s="10">
        <f t="shared" si="622"/>
        <v>41803.879999999997</v>
      </c>
      <c r="E531" s="10">
        <f t="shared" si="622"/>
        <v>17347.025000000001</v>
      </c>
      <c r="F531" s="10">
        <f t="shared" si="622"/>
        <v>19701.025000000001</v>
      </c>
      <c r="G531" s="10">
        <f t="shared" si="622"/>
        <v>4372.59</v>
      </c>
      <c r="H531" s="10">
        <f t="shared" si="622"/>
        <v>4372.59</v>
      </c>
      <c r="I531" s="10">
        <f t="shared" si="622"/>
        <v>47487.125000000007</v>
      </c>
      <c r="J531" s="10">
        <f t="shared" ref="J531:O531" si="635">+($D$437*J320)</f>
        <v>121609.39</v>
      </c>
      <c r="K531" s="10">
        <f t="shared" si="635"/>
        <v>137402.625</v>
      </c>
      <c r="L531" s="10">
        <f t="shared" si="635"/>
        <v>184620.11499999993</v>
      </c>
      <c r="M531" s="10">
        <f t="shared" si="635"/>
        <v>167570.78999999978</v>
      </c>
      <c r="N531" s="10">
        <f t="shared" si="635"/>
        <v>293923.75499999902</v>
      </c>
      <c r="O531" s="10">
        <f t="shared" si="635"/>
        <v>248309.50000000419</v>
      </c>
      <c r="P531" s="10">
        <f t="shared" si="599"/>
        <v>317470.4850000001</v>
      </c>
      <c r="Q531" s="10">
        <f t="shared" si="599"/>
        <v>287373.37500000012</v>
      </c>
      <c r="R531" s="10">
        <f t="shared" si="599"/>
        <v>271423.13999999984</v>
      </c>
      <c r="S531" s="10">
        <f t="shared" si="599"/>
        <v>336929.25500000018</v>
      </c>
      <c r="T531" s="10">
        <f t="shared" ref="T531" si="636">+($D$437*T320)</f>
        <v>345273.48499999993</v>
      </c>
    </row>
    <row r="532" spans="2:20" ht="15" customHeight="1">
      <c r="B532" s="11" t="s">
        <v>328</v>
      </c>
      <c r="C532" s="10">
        <f t="shared" si="596"/>
        <v>289292.00927534484</v>
      </c>
      <c r="D532" s="10">
        <f t="shared" si="622"/>
        <v>242154.465</v>
      </c>
      <c r="E532" s="10">
        <f t="shared" si="622"/>
        <v>236277.91</v>
      </c>
      <c r="F532" s="10">
        <f t="shared" si="622"/>
        <v>281368.42</v>
      </c>
      <c r="G532" s="10">
        <f t="shared" si="622"/>
        <v>254989.89000000051</v>
      </c>
      <c r="H532" s="10">
        <f t="shared" si="622"/>
        <v>254989.89000000051</v>
      </c>
      <c r="I532" s="10">
        <f t="shared" si="622"/>
        <v>291339.37000000046</v>
      </c>
      <c r="J532" s="10">
        <f t="shared" ref="J532:O532" si="637">+($D$437*J321)</f>
        <v>503431.24</v>
      </c>
      <c r="K532" s="10">
        <f t="shared" si="637"/>
        <v>603903.62000000011</v>
      </c>
      <c r="L532" s="10">
        <f t="shared" si="637"/>
        <v>552448.66000000015</v>
      </c>
      <c r="M532" s="10">
        <f t="shared" si="637"/>
        <v>712244.4399999989</v>
      </c>
      <c r="N532" s="10">
        <f t="shared" si="637"/>
        <v>781613.83499999996</v>
      </c>
      <c r="O532" s="10">
        <f t="shared" si="637"/>
        <v>852035.50000005262</v>
      </c>
      <c r="P532" s="10">
        <f t="shared" si="599"/>
        <v>912649.95499999926</v>
      </c>
      <c r="Q532" s="10">
        <f t="shared" si="599"/>
        <v>1021639.6000000001</v>
      </c>
      <c r="R532" s="10">
        <f t="shared" si="599"/>
        <v>1037422.9500000003</v>
      </c>
      <c r="S532" s="10">
        <f t="shared" si="599"/>
        <v>1057061.01</v>
      </c>
      <c r="T532" s="10">
        <f t="shared" ref="T532" si="638">+($D$437*T321)</f>
        <v>1382607.6649999998</v>
      </c>
    </row>
    <row r="533" spans="2:20" ht="15" customHeight="1">
      <c r="B533" s="11" t="s">
        <v>329</v>
      </c>
      <c r="C533" s="10">
        <f t="shared" si="596"/>
        <v>1279284.2525927054</v>
      </c>
      <c r="D533" s="10">
        <f t="shared" si="622"/>
        <v>1321159.675</v>
      </c>
      <c r="E533" s="10">
        <f t="shared" si="622"/>
        <v>1358441.655</v>
      </c>
      <c r="F533" s="10">
        <f t="shared" si="622"/>
        <v>1313574.1950000001</v>
      </c>
      <c r="G533" s="10">
        <f t="shared" si="622"/>
        <v>1768311.52</v>
      </c>
      <c r="H533" s="10">
        <f t="shared" si="622"/>
        <v>1768311.52</v>
      </c>
      <c r="I533" s="10">
        <f t="shared" si="622"/>
        <v>2157041.290000035</v>
      </c>
      <c r="J533" s="10">
        <f t="shared" ref="J533:O533" si="639">+($D$437*J322)</f>
        <v>1944986.7349999957</v>
      </c>
      <c r="K533" s="10">
        <f t="shared" si="639"/>
        <v>1974760.6799999934</v>
      </c>
      <c r="L533" s="10">
        <f t="shared" si="639"/>
        <v>2232580.7499999921</v>
      </c>
      <c r="M533" s="10">
        <f t="shared" si="639"/>
        <v>2412645.4950000057</v>
      </c>
      <c r="N533" s="10">
        <f t="shared" si="639"/>
        <v>2446347.0600000122</v>
      </c>
      <c r="O533" s="10">
        <f t="shared" si="639"/>
        <v>2427816.779999841</v>
      </c>
      <c r="P533" s="10">
        <f t="shared" si="599"/>
        <v>2817885.7100000004</v>
      </c>
      <c r="Q533" s="10">
        <f t="shared" si="599"/>
        <v>2743430.1099999966</v>
      </c>
      <c r="R533" s="10">
        <f t="shared" si="599"/>
        <v>3002511.8449999997</v>
      </c>
      <c r="S533" s="10">
        <f t="shared" si="599"/>
        <v>3111856.3249999983</v>
      </c>
      <c r="T533" s="10">
        <f t="shared" ref="T533" si="640">+($D$437*T322)</f>
        <v>2884465.9449999975</v>
      </c>
    </row>
    <row r="534" spans="2:20" ht="15" customHeight="1">
      <c r="B534" s="11" t="s">
        <v>330</v>
      </c>
      <c r="C534" s="10">
        <f t="shared" si="596"/>
        <v>6117.4343904286679</v>
      </c>
      <c r="D534" s="10">
        <f t="shared" si="622"/>
        <v>7346.62</v>
      </c>
      <c r="E534" s="10">
        <f t="shared" si="622"/>
        <v>6834.87</v>
      </c>
      <c r="F534" s="10">
        <f t="shared" si="622"/>
        <v>13224.2250000001</v>
      </c>
      <c r="G534" s="10">
        <f t="shared" si="622"/>
        <v>12290.6150000001</v>
      </c>
      <c r="H534" s="10">
        <f t="shared" si="622"/>
        <v>12290.6150000001</v>
      </c>
      <c r="I534" s="10">
        <f t="shared" si="622"/>
        <v>15981.209999999101</v>
      </c>
      <c r="J534" s="10">
        <f t="shared" ref="J534:O534" si="641">+($D$437*J323)</f>
        <v>14968.625000000106</v>
      </c>
      <c r="K534" s="10">
        <f t="shared" si="641"/>
        <v>17544.75000000008</v>
      </c>
      <c r="L534" s="10">
        <f t="shared" si="641"/>
        <v>19686.620000000094</v>
      </c>
      <c r="M534" s="10">
        <f t="shared" si="641"/>
        <v>20120.080000000144</v>
      </c>
      <c r="N534" s="10">
        <f t="shared" si="641"/>
        <v>15151.800000000019</v>
      </c>
      <c r="O534" s="10">
        <f t="shared" si="641"/>
        <v>10691.149999999372</v>
      </c>
      <c r="P534" s="10">
        <f t="shared" ref="P534:S553" si="642">+($D$437*P323)</f>
        <v>9078.5899999999947</v>
      </c>
      <c r="Q534" s="10">
        <f t="shared" si="642"/>
        <v>7124.25</v>
      </c>
      <c r="R534" s="10">
        <f t="shared" si="642"/>
        <v>6432.2500000000018</v>
      </c>
      <c r="S534" s="10">
        <f t="shared" si="642"/>
        <v>6445.9500000000025</v>
      </c>
      <c r="T534" s="10">
        <f t="shared" ref="T534" si="643">+($D$437*T323)</f>
        <v>7077.4500000000035</v>
      </c>
    </row>
    <row r="535" spans="2:20" ht="15" customHeight="1">
      <c r="B535" s="11" t="s">
        <v>331</v>
      </c>
      <c r="C535" s="10">
        <f t="shared" si="596"/>
        <v>17308.610350127437</v>
      </c>
      <c r="D535" s="10">
        <f t="shared" ref="D535:I544" si="644">+($D$437*D324)</f>
        <v>17652.724999999999</v>
      </c>
      <c r="E535" s="10">
        <f t="shared" si="644"/>
        <v>23462.17</v>
      </c>
      <c r="F535" s="10">
        <f t="shared" si="644"/>
        <v>19567.224999999951</v>
      </c>
      <c r="G535" s="10">
        <f t="shared" si="644"/>
        <v>17969.665000000001</v>
      </c>
      <c r="H535" s="10">
        <f t="shared" si="644"/>
        <v>17969.665000000001</v>
      </c>
      <c r="I535" s="10">
        <f t="shared" si="644"/>
        <v>22471.03500000004</v>
      </c>
      <c r="J535" s="10">
        <f t="shared" ref="J535:O535" si="645">+($D$437*J324)</f>
        <v>36914.630000000092</v>
      </c>
      <c r="K535" s="10">
        <f t="shared" si="645"/>
        <v>27429.025000000034</v>
      </c>
      <c r="L535" s="10">
        <f t="shared" si="645"/>
        <v>21169.73</v>
      </c>
      <c r="M535" s="10">
        <f t="shared" si="645"/>
        <v>25835.994999999974</v>
      </c>
      <c r="N535" s="10">
        <f t="shared" si="645"/>
        <v>30266.429999999957</v>
      </c>
      <c r="O535" s="10">
        <f t="shared" si="645"/>
        <v>62896.084999997242</v>
      </c>
      <c r="P535" s="10">
        <f t="shared" si="642"/>
        <v>53718.16999999994</v>
      </c>
      <c r="Q535" s="10">
        <f t="shared" si="642"/>
        <v>52608.949999999939</v>
      </c>
      <c r="R535" s="10">
        <f t="shared" si="642"/>
        <v>58168.994999999872</v>
      </c>
      <c r="S535" s="10">
        <f t="shared" si="642"/>
        <v>62230.124999999993</v>
      </c>
      <c r="T535" s="10">
        <f t="shared" ref="T535" si="646">+($D$437*T324)</f>
        <v>61181.88499999998</v>
      </c>
    </row>
    <row r="536" spans="2:20" ht="15" customHeight="1">
      <c r="B536" s="11" t="s">
        <v>332</v>
      </c>
      <c r="C536" s="10">
        <f t="shared" si="596"/>
        <v>95377.876387817174</v>
      </c>
      <c r="D536" s="10">
        <f t="shared" si="644"/>
        <v>60197.77</v>
      </c>
      <c r="E536" s="10">
        <f t="shared" si="644"/>
        <v>63092.06</v>
      </c>
      <c r="F536" s="10">
        <f t="shared" si="644"/>
        <v>50237.525000000001</v>
      </c>
      <c r="G536" s="10">
        <f t="shared" si="644"/>
        <v>107720.965</v>
      </c>
      <c r="H536" s="10">
        <f t="shared" si="644"/>
        <v>107720.965</v>
      </c>
      <c r="I536" s="10">
        <f t="shared" si="644"/>
        <v>208392.24999999892</v>
      </c>
      <c r="J536" s="10">
        <f t="shared" ref="J536:O536" si="647">+($D$437*J325)</f>
        <v>328604.7300000012</v>
      </c>
      <c r="K536" s="10">
        <f t="shared" si="647"/>
        <v>401866.37500000326</v>
      </c>
      <c r="L536" s="10">
        <f t="shared" si="647"/>
        <v>453166.94500000152</v>
      </c>
      <c r="M536" s="10">
        <f t="shared" si="647"/>
        <v>572541.10999999661</v>
      </c>
      <c r="N536" s="10">
        <f t="shared" si="647"/>
        <v>677448.53499999922</v>
      </c>
      <c r="O536" s="10">
        <f t="shared" si="647"/>
        <v>741342.2399999951</v>
      </c>
      <c r="P536" s="10">
        <f t="shared" si="642"/>
        <v>636493.01500000025</v>
      </c>
      <c r="Q536" s="10">
        <f t="shared" si="642"/>
        <v>554962.12500000023</v>
      </c>
      <c r="R536" s="10">
        <f t="shared" si="642"/>
        <v>607659.6799999997</v>
      </c>
      <c r="S536" s="10">
        <f t="shared" si="642"/>
        <v>533392.33500000054</v>
      </c>
      <c r="T536" s="10">
        <f t="shared" ref="T536" si="648">+($D$437*T325)</f>
        <v>487943.65499999956</v>
      </c>
    </row>
    <row r="537" spans="2:20" ht="15" customHeight="1">
      <c r="B537" s="11" t="s">
        <v>333</v>
      </c>
      <c r="C537" s="10">
        <f t="shared" si="596"/>
        <v>55610.581326637868</v>
      </c>
      <c r="D537" s="10">
        <f t="shared" si="644"/>
        <v>93122.79</v>
      </c>
      <c r="E537" s="10">
        <f t="shared" si="644"/>
        <v>93559.679999999993</v>
      </c>
      <c r="F537" s="10">
        <f t="shared" si="644"/>
        <v>106989.81499999949</v>
      </c>
      <c r="G537" s="10">
        <f t="shared" si="644"/>
        <v>161922.885000001</v>
      </c>
      <c r="H537" s="10">
        <f t="shared" si="644"/>
        <v>161922.885000001</v>
      </c>
      <c r="I537" s="10">
        <f t="shared" si="644"/>
        <v>100739.81000000059</v>
      </c>
      <c r="J537" s="10">
        <f t="shared" ref="J537:O537" si="649">+($D$437*J326)</f>
        <v>23920.334999999999</v>
      </c>
      <c r="K537" s="10">
        <f t="shared" si="649"/>
        <v>34285.135000000009</v>
      </c>
      <c r="L537" s="10">
        <f t="shared" si="649"/>
        <v>31713.454999999998</v>
      </c>
      <c r="M537" s="10">
        <f t="shared" si="649"/>
        <v>47480.135000000031</v>
      </c>
      <c r="N537" s="10">
        <f t="shared" si="649"/>
        <v>48169.990000000034</v>
      </c>
      <c r="O537" s="10">
        <f t="shared" si="649"/>
        <v>87052.805000000226</v>
      </c>
      <c r="P537" s="10">
        <f t="shared" si="642"/>
        <v>261838.27500000017</v>
      </c>
      <c r="Q537" s="10">
        <f t="shared" si="642"/>
        <v>357555.25500000035</v>
      </c>
      <c r="R537" s="10">
        <f t="shared" si="642"/>
        <v>426114.62500000035</v>
      </c>
      <c r="S537" s="10">
        <f t="shared" si="642"/>
        <v>597264.39000000211</v>
      </c>
      <c r="T537" s="10">
        <f t="shared" ref="T537" si="650">+($D$437*T326)</f>
        <v>694342.00500000198</v>
      </c>
    </row>
    <row r="538" spans="2:20" ht="15" customHeight="1">
      <c r="B538" s="11" t="s">
        <v>334</v>
      </c>
      <c r="C538" s="10">
        <f t="shared" si="596"/>
        <v>7601.0420468278526</v>
      </c>
      <c r="D538" s="10">
        <f t="shared" si="644"/>
        <v>3784.0549999999998</v>
      </c>
      <c r="E538" s="10">
        <f t="shared" si="644"/>
        <v>1535.91</v>
      </c>
      <c r="F538" s="10">
        <f t="shared" si="644"/>
        <v>10107.825000000001</v>
      </c>
      <c r="G538" s="10">
        <f t="shared" si="644"/>
        <v>1622.885</v>
      </c>
      <c r="H538" s="10">
        <f t="shared" si="644"/>
        <v>1622.885</v>
      </c>
      <c r="I538" s="10">
        <f t="shared" si="644"/>
        <v>1696.135</v>
      </c>
      <c r="J538" s="10">
        <f t="shared" ref="J538:O538" si="651">+($D$437*J327)</f>
        <v>967.54499999999996</v>
      </c>
      <c r="K538" s="10">
        <f t="shared" si="651"/>
        <v>1920.9450000000002</v>
      </c>
      <c r="L538" s="10">
        <f t="shared" si="651"/>
        <v>1083.81</v>
      </c>
      <c r="M538" s="10">
        <f t="shared" si="651"/>
        <v>1020.75</v>
      </c>
      <c r="N538" s="10">
        <f t="shared" si="651"/>
        <v>1026.21</v>
      </c>
      <c r="O538" s="10">
        <f t="shared" si="651"/>
        <v>140.97999999999999</v>
      </c>
      <c r="P538" s="10">
        <f t="shared" si="642"/>
        <v>0.25</v>
      </c>
      <c r="Q538" s="10">
        <f t="shared" si="642"/>
        <v>1</v>
      </c>
      <c r="R538" s="10">
        <f t="shared" si="642"/>
        <v>0</v>
      </c>
      <c r="S538" s="10">
        <f t="shared" si="642"/>
        <v>0.25</v>
      </c>
      <c r="T538" s="10">
        <f t="shared" ref="T538" si="652">+($D$437*T327)</f>
        <v>1.75</v>
      </c>
    </row>
    <row r="539" spans="2:20" ht="15" customHeight="1">
      <c r="B539" s="11" t="s">
        <v>335</v>
      </c>
      <c r="C539" s="10">
        <f t="shared" si="596"/>
        <v>1365.1621526535091</v>
      </c>
      <c r="D539" s="10">
        <f t="shared" si="644"/>
        <v>1595.885</v>
      </c>
      <c r="E539" s="10">
        <f t="shared" si="644"/>
        <v>1615.09</v>
      </c>
      <c r="F539" s="10">
        <f t="shared" si="644"/>
        <v>2810.17</v>
      </c>
      <c r="G539" s="10">
        <f t="shared" si="644"/>
        <v>3605.9950000000049</v>
      </c>
      <c r="H539" s="10">
        <f t="shared" si="644"/>
        <v>3605.9950000000049</v>
      </c>
      <c r="I539" s="10">
        <f t="shared" si="644"/>
        <v>3911.3749999999718</v>
      </c>
      <c r="J539" s="10">
        <f t="shared" ref="J539:O539" si="653">+($D$437*J328)</f>
        <v>4002.8900000000035</v>
      </c>
      <c r="K539" s="10">
        <f t="shared" si="653"/>
        <v>3934.4600000000037</v>
      </c>
      <c r="L539" s="10">
        <f t="shared" si="653"/>
        <v>3872.0550000000053</v>
      </c>
      <c r="M539" s="10">
        <f t="shared" si="653"/>
        <v>3537.5150000000012</v>
      </c>
      <c r="N539" s="10">
        <f t="shared" si="653"/>
        <v>2844.5499999999993</v>
      </c>
      <c r="O539" s="10">
        <f t="shared" si="653"/>
        <v>1579.6400000000087</v>
      </c>
      <c r="P539" s="10">
        <f t="shared" si="642"/>
        <v>1638.2899999999991</v>
      </c>
      <c r="Q539" s="10">
        <f t="shared" si="642"/>
        <v>1352.8599999999997</v>
      </c>
      <c r="R539" s="10">
        <f t="shared" si="642"/>
        <v>1083.07</v>
      </c>
      <c r="S539" s="10">
        <f t="shared" si="642"/>
        <v>1095.5500000000004</v>
      </c>
      <c r="T539" s="10">
        <f t="shared" ref="T539" si="654">+($D$437*T328)</f>
        <v>1126.08</v>
      </c>
    </row>
    <row r="540" spans="2:20" ht="15" customHeight="1">
      <c r="B540" s="11" t="s">
        <v>336</v>
      </c>
      <c r="C540" s="10">
        <f t="shared" si="596"/>
        <v>5509.5616462587377</v>
      </c>
      <c r="D540" s="10">
        <f t="shared" si="644"/>
        <v>5398.79</v>
      </c>
      <c r="E540" s="10">
        <f t="shared" si="644"/>
        <v>7201.25</v>
      </c>
      <c r="F540" s="10">
        <f t="shared" si="644"/>
        <v>7490.3850000000002</v>
      </c>
      <c r="G540" s="10">
        <f t="shared" si="644"/>
        <v>4943.38</v>
      </c>
      <c r="H540" s="10">
        <f t="shared" si="644"/>
        <v>4943.38</v>
      </c>
      <c r="I540" s="10">
        <f t="shared" si="644"/>
        <v>6564.09</v>
      </c>
      <c r="J540" s="10">
        <f t="shared" ref="J540:O540" si="655">+($D$437*J329)</f>
        <v>8734.3449999999993</v>
      </c>
      <c r="K540" s="10">
        <f t="shared" si="655"/>
        <v>5185.57</v>
      </c>
      <c r="L540" s="10">
        <f t="shared" si="655"/>
        <v>3721.6750000000002</v>
      </c>
      <c r="M540" s="10">
        <f t="shared" si="655"/>
        <v>5495.5200000000013</v>
      </c>
      <c r="N540" s="10">
        <f t="shared" si="655"/>
        <v>6142.34</v>
      </c>
      <c r="O540" s="10">
        <f t="shared" si="655"/>
        <v>10734.080000000013</v>
      </c>
      <c r="P540" s="10">
        <f t="shared" si="642"/>
        <v>9362.2349999999969</v>
      </c>
      <c r="Q540" s="10">
        <f t="shared" si="642"/>
        <v>9707.39</v>
      </c>
      <c r="R540" s="10">
        <f t="shared" si="642"/>
        <v>11431.345000000001</v>
      </c>
      <c r="S540" s="10">
        <f t="shared" si="642"/>
        <v>12129.570000000003</v>
      </c>
      <c r="T540" s="10">
        <f t="shared" ref="T540" si="656">+($D$437*T329)</f>
        <v>16952.560000000016</v>
      </c>
    </row>
    <row r="541" spans="2:20" ht="15" customHeight="1">
      <c r="B541" s="11" t="s">
        <v>337</v>
      </c>
      <c r="C541" s="10">
        <f t="shared" si="596"/>
        <v>52404.968180124095</v>
      </c>
      <c r="D541" s="10">
        <f t="shared" si="644"/>
        <v>38066.775000000001</v>
      </c>
      <c r="E541" s="10">
        <f t="shared" si="644"/>
        <v>37677.870000000003</v>
      </c>
      <c r="F541" s="10">
        <f t="shared" si="644"/>
        <v>29061.06</v>
      </c>
      <c r="G541" s="10">
        <f t="shared" si="644"/>
        <v>45409.24</v>
      </c>
      <c r="H541" s="10">
        <f t="shared" si="644"/>
        <v>45409.24</v>
      </c>
      <c r="I541" s="10">
        <f t="shared" si="644"/>
        <v>144286.55000000267</v>
      </c>
      <c r="J541" s="10">
        <f t="shared" ref="J541:O541" si="657">+($D$437*J330)</f>
        <v>244708.66999999704</v>
      </c>
      <c r="K541" s="10">
        <f t="shared" si="657"/>
        <v>266949.86999999703</v>
      </c>
      <c r="L541" s="10">
        <f t="shared" si="657"/>
        <v>298575.3350000034</v>
      </c>
      <c r="M541" s="10">
        <f t="shared" si="657"/>
        <v>400596.8999999995</v>
      </c>
      <c r="N541" s="10">
        <f t="shared" si="657"/>
        <v>454781.59499999828</v>
      </c>
      <c r="O541" s="10">
        <f t="shared" si="657"/>
        <v>452422.27499993454</v>
      </c>
      <c r="P541" s="10">
        <f t="shared" si="642"/>
        <v>447059.05000000063</v>
      </c>
      <c r="Q541" s="10">
        <f t="shared" si="642"/>
        <v>387398.98000000033</v>
      </c>
      <c r="R541" s="10">
        <f t="shared" si="642"/>
        <v>388854.5800000006</v>
      </c>
      <c r="S541" s="10">
        <f t="shared" si="642"/>
        <v>345858.02500000031</v>
      </c>
      <c r="T541" s="10">
        <f t="shared" ref="T541" si="658">+($D$437*T330)</f>
        <v>284515.49500000005</v>
      </c>
    </row>
    <row r="542" spans="2:20" ht="15" customHeight="1">
      <c r="B542" s="11" t="s">
        <v>338</v>
      </c>
      <c r="C542" s="10">
        <f t="shared" si="596"/>
        <v>17941.432551553607</v>
      </c>
      <c r="D542" s="10">
        <f t="shared" si="644"/>
        <v>37121.615000000049</v>
      </c>
      <c r="E542" s="10">
        <f t="shared" si="644"/>
        <v>36510.019999999997</v>
      </c>
      <c r="F542" s="10">
        <f t="shared" si="644"/>
        <v>60727.764999999999</v>
      </c>
      <c r="G542" s="10">
        <f t="shared" si="644"/>
        <v>102028.88499999999</v>
      </c>
      <c r="H542" s="10">
        <f t="shared" si="644"/>
        <v>102028.88499999999</v>
      </c>
      <c r="I542" s="10">
        <f t="shared" si="644"/>
        <v>65108.794999998892</v>
      </c>
      <c r="J542" s="10">
        <f t="shared" ref="J542:O542" si="659">+($D$437*J331)</f>
        <v>3587.42</v>
      </c>
      <c r="K542" s="10">
        <f t="shared" si="659"/>
        <v>6098.6250000000009</v>
      </c>
      <c r="L542" s="10">
        <f t="shared" si="659"/>
        <v>4016.0549999999998</v>
      </c>
      <c r="M542" s="10">
        <f t="shared" si="659"/>
        <v>6638.1050000000005</v>
      </c>
      <c r="N542" s="10">
        <f t="shared" si="659"/>
        <v>14161.199999999999</v>
      </c>
      <c r="O542" s="10">
        <f t="shared" si="659"/>
        <v>31465.185000000081</v>
      </c>
      <c r="P542" s="10">
        <f t="shared" si="642"/>
        <v>185390.81000000006</v>
      </c>
      <c r="Q542" s="10">
        <f t="shared" si="642"/>
        <v>278847.4900000004</v>
      </c>
      <c r="R542" s="10">
        <f t="shared" si="642"/>
        <v>342352.54500000086</v>
      </c>
      <c r="S542" s="10">
        <f t="shared" si="642"/>
        <v>486606.16500000161</v>
      </c>
      <c r="T542" s="10">
        <f t="shared" ref="T542" si="660">+($D$437*T331)</f>
        <v>581347.98500000243</v>
      </c>
    </row>
    <row r="543" spans="2:20" ht="15" customHeight="1">
      <c r="B543" s="11" t="s">
        <v>339</v>
      </c>
      <c r="C543" s="10">
        <f t="shared" si="596"/>
        <v>9748.3422367006151</v>
      </c>
      <c r="D543" s="10">
        <f t="shared" si="644"/>
        <v>6521.53</v>
      </c>
      <c r="E543" s="10">
        <f t="shared" si="644"/>
        <v>3240.11</v>
      </c>
      <c r="F543" s="10">
        <f t="shared" si="644"/>
        <v>5857.11</v>
      </c>
      <c r="G543" s="10">
        <f t="shared" si="644"/>
        <v>7094.21</v>
      </c>
      <c r="H543" s="10">
        <f t="shared" si="644"/>
        <v>7094.21</v>
      </c>
      <c r="I543" s="10">
        <f t="shared" si="644"/>
        <v>5941.08</v>
      </c>
      <c r="J543" s="10">
        <f t="shared" ref="J543:O543" si="661">+($D$437*J332)</f>
        <v>1471.08</v>
      </c>
      <c r="K543" s="10">
        <f t="shared" si="661"/>
        <v>2758.2749999999996</v>
      </c>
      <c r="L543" s="10">
        <f t="shared" si="661"/>
        <v>1986.5349999999999</v>
      </c>
      <c r="M543" s="10">
        <f t="shared" si="661"/>
        <v>4294.8499999999995</v>
      </c>
      <c r="N543" s="10">
        <f t="shared" si="661"/>
        <v>4110.99</v>
      </c>
      <c r="O543" s="10">
        <f t="shared" si="661"/>
        <v>699.34</v>
      </c>
      <c r="P543" s="10">
        <f t="shared" si="642"/>
        <v>0</v>
      </c>
      <c r="Q543" s="10">
        <f t="shared" si="642"/>
        <v>140.22999999999999</v>
      </c>
      <c r="R543" s="10">
        <f t="shared" si="642"/>
        <v>0</v>
      </c>
      <c r="S543" s="10">
        <f t="shared" si="642"/>
        <v>1</v>
      </c>
      <c r="T543" s="10">
        <f t="shared" ref="T543" si="662">+($D$437*T332)</f>
        <v>0</v>
      </c>
    </row>
    <row r="544" spans="2:20" ht="15" customHeight="1">
      <c r="B544" s="11" t="s">
        <v>340</v>
      </c>
      <c r="C544" s="10">
        <f t="shared" si="596"/>
        <v>6376.0427409335898</v>
      </c>
      <c r="D544" s="10">
        <f t="shared" si="644"/>
        <v>7893.03</v>
      </c>
      <c r="E544" s="10">
        <f t="shared" si="644"/>
        <v>7263.51</v>
      </c>
      <c r="F544" s="10">
        <f t="shared" si="644"/>
        <v>13543.190000000101</v>
      </c>
      <c r="G544" s="10">
        <f t="shared" si="644"/>
        <v>13174.595000000099</v>
      </c>
      <c r="H544" s="10">
        <f t="shared" si="644"/>
        <v>13174.595000000099</v>
      </c>
      <c r="I544" s="10">
        <f t="shared" si="644"/>
        <v>16717.944999999039</v>
      </c>
      <c r="J544" s="10">
        <f t="shared" ref="J544:O544" si="663">+($D$437*J333)</f>
        <v>17699.880000000117</v>
      </c>
      <c r="K544" s="10">
        <f t="shared" si="663"/>
        <v>18243.100000000097</v>
      </c>
      <c r="L544" s="10">
        <f t="shared" si="663"/>
        <v>19250.98000000008</v>
      </c>
      <c r="M544" s="10">
        <f t="shared" si="663"/>
        <v>20172.935000000143</v>
      </c>
      <c r="N544" s="10">
        <f t="shared" si="663"/>
        <v>16040.700000000044</v>
      </c>
      <c r="O544" s="10">
        <f t="shared" si="663"/>
        <v>12179.609999999202</v>
      </c>
      <c r="P544" s="10">
        <f t="shared" si="642"/>
        <v>10068.499999999989</v>
      </c>
      <c r="Q544" s="10">
        <f t="shared" si="642"/>
        <v>7897.2000000000007</v>
      </c>
      <c r="R544" s="10">
        <f t="shared" si="642"/>
        <v>7053.95</v>
      </c>
      <c r="S544" s="10">
        <f t="shared" si="642"/>
        <v>6983.1500000000005</v>
      </c>
      <c r="T544" s="10">
        <f t="shared" ref="T544" si="664">+($D$437*T333)</f>
        <v>7686.0500000000011</v>
      </c>
    </row>
    <row r="545" spans="2:20" ht="15" customHeight="1">
      <c r="B545" s="11" t="s">
        <v>341</v>
      </c>
      <c r="C545" s="10">
        <f t="shared" si="596"/>
        <v>20806.57579202974</v>
      </c>
      <c r="D545" s="10">
        <f t="shared" ref="D545:I553" si="665">+($D$437*D334)</f>
        <v>21056.09</v>
      </c>
      <c r="E545" s="10">
        <f t="shared" si="665"/>
        <v>28484.505000000048</v>
      </c>
      <c r="F545" s="10">
        <f t="shared" si="665"/>
        <v>23558.23</v>
      </c>
      <c r="G545" s="10">
        <f t="shared" si="665"/>
        <v>20969.849999999999</v>
      </c>
      <c r="H545" s="10">
        <f t="shared" si="665"/>
        <v>20969.849999999999</v>
      </c>
      <c r="I545" s="10">
        <f t="shared" si="665"/>
        <v>26334.285000000047</v>
      </c>
      <c r="J545" s="10">
        <f t="shared" ref="J545:O545" si="666">+($D$437*J334)</f>
        <v>42502.325000000114</v>
      </c>
      <c r="K545" s="10">
        <f t="shared" si="666"/>
        <v>30527.915000000048</v>
      </c>
      <c r="L545" s="10">
        <f t="shared" si="666"/>
        <v>24108.469999999998</v>
      </c>
      <c r="M545" s="10">
        <f t="shared" si="666"/>
        <v>30159.019999999942</v>
      </c>
      <c r="N545" s="10">
        <f t="shared" si="666"/>
        <v>35361.909999999902</v>
      </c>
      <c r="O545" s="10">
        <f t="shared" si="666"/>
        <v>65918.394999997588</v>
      </c>
      <c r="P545" s="10">
        <f t="shared" si="642"/>
        <v>54198.604999999952</v>
      </c>
      <c r="Q545" s="10">
        <f t="shared" si="642"/>
        <v>53173.804999999935</v>
      </c>
      <c r="R545" s="10">
        <f t="shared" si="642"/>
        <v>59349.714999999916</v>
      </c>
      <c r="S545" s="10">
        <f t="shared" si="642"/>
        <v>67419.464999999953</v>
      </c>
      <c r="T545" s="10">
        <f t="shared" ref="T545" si="667">+($D$437*T334)</f>
        <v>67571.319999999963</v>
      </c>
    </row>
    <row r="546" spans="2:20" ht="15" customHeight="1">
      <c r="B546" s="11" t="s">
        <v>342</v>
      </c>
      <c r="C546" s="10">
        <f t="shared" si="596"/>
        <v>130972.03022544415</v>
      </c>
      <c r="D546" s="10">
        <f t="shared" si="665"/>
        <v>87287.014999999505</v>
      </c>
      <c r="E546" s="10">
        <f t="shared" si="665"/>
        <v>89080.339999999502</v>
      </c>
      <c r="F546" s="10">
        <f t="shared" si="665"/>
        <v>63114.62</v>
      </c>
      <c r="G546" s="10">
        <f t="shared" si="665"/>
        <v>128484.02000000002</v>
      </c>
      <c r="H546" s="10">
        <f t="shared" si="665"/>
        <v>128484.02000000002</v>
      </c>
      <c r="I546" s="10">
        <f t="shared" si="665"/>
        <v>299973.35000000196</v>
      </c>
      <c r="J546" s="10">
        <f t="shared" ref="J546:O546" si="668">+($D$437*J335)</f>
        <v>389920.99000000296</v>
      </c>
      <c r="K546" s="10">
        <f t="shared" si="668"/>
        <v>404422.39000000304</v>
      </c>
      <c r="L546" s="10">
        <f t="shared" si="668"/>
        <v>453805.05500000191</v>
      </c>
      <c r="M546" s="10">
        <f t="shared" si="668"/>
        <v>599921.24499999627</v>
      </c>
      <c r="N546" s="10">
        <f t="shared" si="668"/>
        <v>793605.08499999938</v>
      </c>
      <c r="O546" s="10">
        <f t="shared" si="668"/>
        <v>860298.00000000256</v>
      </c>
      <c r="P546" s="10">
        <f t="shared" si="642"/>
        <v>745204.44000000018</v>
      </c>
      <c r="Q546" s="10">
        <f t="shared" si="642"/>
        <v>650104.19000000053</v>
      </c>
      <c r="R546" s="10">
        <f t="shared" si="642"/>
        <v>682556.08999999973</v>
      </c>
      <c r="S546" s="10">
        <f t="shared" si="642"/>
        <v>581813.77000000048</v>
      </c>
      <c r="T546" s="10">
        <f t="shared" ref="T546" si="669">+($D$437*T335)</f>
        <v>521795.94499999972</v>
      </c>
    </row>
    <row r="547" spans="2:20" ht="15" customHeight="1">
      <c r="B547" s="11" t="s">
        <v>343</v>
      </c>
      <c r="C547" s="10">
        <f t="shared" si="596"/>
        <v>63016.962711339176</v>
      </c>
      <c r="D547" s="10">
        <f t="shared" si="665"/>
        <v>114523.1699999995</v>
      </c>
      <c r="E547" s="10">
        <f t="shared" si="665"/>
        <v>107057.0549999995</v>
      </c>
      <c r="F547" s="10">
        <f t="shared" si="665"/>
        <v>129303.23499999949</v>
      </c>
      <c r="G547" s="10">
        <f t="shared" si="665"/>
        <v>185271.8650000015</v>
      </c>
      <c r="H547" s="10">
        <f t="shared" si="665"/>
        <v>185271.8650000015</v>
      </c>
      <c r="I547" s="10">
        <f t="shared" si="665"/>
        <v>156201.59500000198</v>
      </c>
      <c r="J547" s="10">
        <f t="shared" ref="J547:O547" si="670">+($D$437*J336)</f>
        <v>25766.105</v>
      </c>
      <c r="K547" s="10">
        <f t="shared" si="670"/>
        <v>30923.270000000004</v>
      </c>
      <c r="L547" s="10">
        <f t="shared" si="670"/>
        <v>27025.52</v>
      </c>
      <c r="M547" s="10">
        <f t="shared" si="670"/>
        <v>46688.260000000053</v>
      </c>
      <c r="N547" s="10">
        <f t="shared" si="670"/>
        <v>55124.53500000004</v>
      </c>
      <c r="O547" s="10">
        <f t="shared" si="670"/>
        <v>96736.600000000835</v>
      </c>
      <c r="P547" s="10">
        <f t="shared" si="642"/>
        <v>303655.02000000019</v>
      </c>
      <c r="Q547" s="10">
        <f t="shared" si="642"/>
        <v>410102.53000000055</v>
      </c>
      <c r="R547" s="10">
        <f t="shared" si="642"/>
        <v>441267.97000000067</v>
      </c>
      <c r="S547" s="10">
        <f t="shared" si="642"/>
        <v>652764.3750000021</v>
      </c>
      <c r="T547" s="10">
        <f t="shared" ref="T547" si="671">+($D$437*T336)</f>
        <v>777315.84000000183</v>
      </c>
    </row>
    <row r="548" spans="2:20" ht="15" customHeight="1">
      <c r="B548" s="11" t="s">
        <v>344</v>
      </c>
      <c r="C548" s="10">
        <f t="shared" si="596"/>
        <v>11514.91953449098</v>
      </c>
      <c r="D548" s="10">
        <f t="shared" si="665"/>
        <v>6466.04</v>
      </c>
      <c r="E548" s="10">
        <f t="shared" si="665"/>
        <v>2435.71</v>
      </c>
      <c r="F548" s="10">
        <f t="shared" si="665"/>
        <v>13287.375</v>
      </c>
      <c r="G548" s="10">
        <f t="shared" si="665"/>
        <v>5536.0150000000003</v>
      </c>
      <c r="H548" s="10">
        <f t="shared" si="665"/>
        <v>5536.0150000000003</v>
      </c>
      <c r="I548" s="10">
        <f t="shared" si="665"/>
        <v>2336.67</v>
      </c>
      <c r="J548" s="10">
        <f t="shared" ref="J548:O548" si="672">+($D$437*J337)</f>
        <v>1923.4449999999999</v>
      </c>
      <c r="K548" s="10">
        <f t="shared" si="672"/>
        <v>3361.9400000000005</v>
      </c>
      <c r="L548" s="10">
        <f t="shared" si="672"/>
        <v>2416.3900000000003</v>
      </c>
      <c r="M548" s="10">
        <f t="shared" si="672"/>
        <v>4583.57</v>
      </c>
      <c r="N548" s="10">
        <f t="shared" si="672"/>
        <v>2217.79</v>
      </c>
      <c r="O548" s="10">
        <f t="shared" si="672"/>
        <v>456.85500000000002</v>
      </c>
      <c r="P548" s="10">
        <f t="shared" si="642"/>
        <v>0.25</v>
      </c>
      <c r="Q548" s="10">
        <f t="shared" si="642"/>
        <v>1</v>
      </c>
      <c r="R548" s="10">
        <f t="shared" si="642"/>
        <v>-0.25</v>
      </c>
      <c r="S548" s="10">
        <f t="shared" si="642"/>
        <v>0</v>
      </c>
      <c r="T548" s="10">
        <f t="shared" ref="T548" si="673">+($D$437*T337)</f>
        <v>1.75</v>
      </c>
    </row>
    <row r="549" spans="2:20" ht="15" customHeight="1">
      <c r="B549" s="11" t="s">
        <v>345</v>
      </c>
      <c r="C549" s="10">
        <f t="shared" si="596"/>
        <v>1020.5694804415115</v>
      </c>
      <c r="D549" s="10">
        <f t="shared" si="665"/>
        <v>941.34500000000003</v>
      </c>
      <c r="E549" s="10">
        <f t="shared" si="665"/>
        <v>1130.645</v>
      </c>
      <c r="F549" s="10">
        <f t="shared" si="665"/>
        <v>2430.5050000000001</v>
      </c>
      <c r="G549" s="10">
        <f t="shared" si="665"/>
        <v>2590.3150000000001</v>
      </c>
      <c r="H549" s="10">
        <f t="shared" si="665"/>
        <v>2590.3150000000001</v>
      </c>
      <c r="I549" s="10">
        <f t="shared" si="665"/>
        <v>3072.43</v>
      </c>
      <c r="J549" s="10">
        <f t="shared" ref="J549:O549" si="674">+($D$437*J338)</f>
        <v>3748.720000000003</v>
      </c>
      <c r="K549" s="10">
        <f t="shared" si="674"/>
        <v>3144.6699999999996</v>
      </c>
      <c r="L549" s="10">
        <f t="shared" si="674"/>
        <v>4371.1550000000061</v>
      </c>
      <c r="M549" s="10">
        <f t="shared" si="674"/>
        <v>3597.7500000000023</v>
      </c>
      <c r="N549" s="10">
        <f t="shared" si="674"/>
        <v>1875.8399999999988</v>
      </c>
      <c r="O549" s="10">
        <f t="shared" si="674"/>
        <v>496.57000000000136</v>
      </c>
      <c r="P549" s="10">
        <f t="shared" si="642"/>
        <v>566.95000000000027</v>
      </c>
      <c r="Q549" s="10">
        <f t="shared" si="642"/>
        <v>493.17</v>
      </c>
      <c r="R549" s="10">
        <f t="shared" si="642"/>
        <v>390.99999999999994</v>
      </c>
      <c r="S549" s="10">
        <f t="shared" si="642"/>
        <v>454.30999999999995</v>
      </c>
      <c r="T549" s="10">
        <f t="shared" ref="T549" si="675">+($D$437*T338)</f>
        <v>437.92000000000019</v>
      </c>
    </row>
    <row r="550" spans="2:20" ht="15" customHeight="1">
      <c r="B550" s="11" t="s">
        <v>346</v>
      </c>
      <c r="C550" s="10">
        <f t="shared" si="596"/>
        <v>1344.3186568181977</v>
      </c>
      <c r="D550" s="10">
        <f t="shared" si="665"/>
        <v>1364.19</v>
      </c>
      <c r="E550" s="10">
        <f t="shared" si="665"/>
        <v>1404.96</v>
      </c>
      <c r="F550" s="10">
        <f t="shared" si="665"/>
        <v>2908.6</v>
      </c>
      <c r="G550" s="10">
        <f t="shared" si="665"/>
        <v>1550.0150000000001</v>
      </c>
      <c r="H550" s="10">
        <f t="shared" si="665"/>
        <v>1550.0150000000001</v>
      </c>
      <c r="I550" s="10">
        <f t="shared" si="665"/>
        <v>2098.9250000000052</v>
      </c>
      <c r="J550" s="10">
        <f t="shared" ref="J550:O550" si="676">+($D$437*J339)</f>
        <v>2259.4250000000002</v>
      </c>
      <c r="K550" s="10">
        <f t="shared" si="676"/>
        <v>1709.355</v>
      </c>
      <c r="L550" s="10">
        <f t="shared" si="676"/>
        <v>405.73999999999995</v>
      </c>
      <c r="M550" s="10">
        <f t="shared" si="676"/>
        <v>567.005</v>
      </c>
      <c r="N550" s="10">
        <f t="shared" si="676"/>
        <v>430.84000000000003</v>
      </c>
      <c r="O550" s="10">
        <f t="shared" si="676"/>
        <v>6682.1699999999983</v>
      </c>
      <c r="P550" s="10">
        <f t="shared" si="642"/>
        <v>8973.16</v>
      </c>
      <c r="Q550" s="10">
        <f t="shared" si="642"/>
        <v>9251.76</v>
      </c>
      <c r="R550" s="10">
        <f t="shared" si="642"/>
        <v>10472.240000000003</v>
      </c>
      <c r="S550" s="10">
        <f t="shared" si="642"/>
        <v>6500.8400000000083</v>
      </c>
      <c r="T550" s="10">
        <f t="shared" ref="T550" si="677">+($D$437*T339)</f>
        <v>9904.4650000000111</v>
      </c>
    </row>
    <row r="551" spans="2:20" ht="15" customHeight="1">
      <c r="B551" s="11" t="s">
        <v>347</v>
      </c>
      <c r="C551" s="10">
        <f t="shared" si="596"/>
        <v>11069.425521112234</v>
      </c>
      <c r="D551" s="10">
        <f t="shared" si="665"/>
        <v>6761.9250000000002</v>
      </c>
      <c r="E551" s="10">
        <f t="shared" si="665"/>
        <v>7873.7349999999997</v>
      </c>
      <c r="F551" s="10">
        <f t="shared" si="665"/>
        <v>14142.12</v>
      </c>
      <c r="G551" s="10">
        <f t="shared" si="665"/>
        <v>21403.57</v>
      </c>
      <c r="H551" s="10">
        <f t="shared" si="665"/>
        <v>21403.57</v>
      </c>
      <c r="I551" s="10">
        <f t="shared" si="665"/>
        <v>86430.884999999689</v>
      </c>
      <c r="J551" s="10">
        <f t="shared" ref="J551:O551" si="678">+($D$437*J340)</f>
        <v>174373.79999999874</v>
      </c>
      <c r="K551" s="10">
        <f t="shared" si="678"/>
        <v>263947.17999999714</v>
      </c>
      <c r="L551" s="10">
        <f t="shared" si="678"/>
        <v>297591.46500000369</v>
      </c>
      <c r="M551" s="10">
        <f t="shared" si="678"/>
        <v>371365.5199999988</v>
      </c>
      <c r="N551" s="10">
        <f t="shared" si="678"/>
        <v>323763.50499999925</v>
      </c>
      <c r="O551" s="10">
        <f t="shared" si="678"/>
        <v>314277.6299999677</v>
      </c>
      <c r="P551" s="10">
        <f t="shared" si="642"/>
        <v>324210.12500000058</v>
      </c>
      <c r="Q551" s="10">
        <f t="shared" si="642"/>
        <v>279603.64500000031</v>
      </c>
      <c r="R551" s="10">
        <f t="shared" si="642"/>
        <v>304277.69500000024</v>
      </c>
      <c r="S551" s="10">
        <f t="shared" si="642"/>
        <v>291738.24500000029</v>
      </c>
      <c r="T551" s="10">
        <f t="shared" ref="T551" si="679">+($D$437*T340)</f>
        <v>248668.13000000003</v>
      </c>
    </row>
    <row r="552" spans="2:20" ht="15" customHeight="1">
      <c r="B552" s="11" t="s">
        <v>348</v>
      </c>
      <c r="C552" s="10">
        <f t="shared" si="596"/>
        <v>9194.2391019161078</v>
      </c>
      <c r="D552" s="10">
        <f t="shared" si="665"/>
        <v>11377.73</v>
      </c>
      <c r="E552" s="10">
        <f t="shared" si="665"/>
        <v>18143.264999999999</v>
      </c>
      <c r="F552" s="10">
        <f t="shared" si="665"/>
        <v>29259.125</v>
      </c>
      <c r="G552" s="10">
        <f t="shared" si="665"/>
        <v>66249.09</v>
      </c>
      <c r="H552" s="10">
        <f t="shared" si="665"/>
        <v>66249.09</v>
      </c>
      <c r="I552" s="10">
        <f t="shared" si="665"/>
        <v>47005.789999999346</v>
      </c>
      <c r="J552" s="10">
        <f t="shared" ref="J552:O552" si="680">+($D$437*J341)</f>
        <v>1347.365</v>
      </c>
      <c r="K552" s="10">
        <f t="shared" si="680"/>
        <v>9905.9850000000006</v>
      </c>
      <c r="L552" s="10">
        <f t="shared" si="680"/>
        <v>9021.4750000000022</v>
      </c>
      <c r="M552" s="10">
        <f t="shared" si="680"/>
        <v>7547.2649999999994</v>
      </c>
      <c r="N552" s="10">
        <f t="shared" si="680"/>
        <v>5936.8949999999995</v>
      </c>
      <c r="O552" s="10">
        <f t="shared" si="680"/>
        <v>20516.345000000059</v>
      </c>
      <c r="P552" s="10">
        <f t="shared" si="642"/>
        <v>137366.44</v>
      </c>
      <c r="Q552" s="10">
        <f t="shared" si="642"/>
        <v>220148.34000000017</v>
      </c>
      <c r="R552" s="10">
        <f t="shared" si="642"/>
        <v>327390.16000000044</v>
      </c>
      <c r="S552" s="10">
        <f t="shared" si="642"/>
        <v>425262.72000000125</v>
      </c>
      <c r="T552" s="10">
        <f t="shared" ref="T552" si="681">+($D$437*T341)</f>
        <v>491554.43500000145</v>
      </c>
    </row>
    <row r="553" spans="2:20" ht="15" customHeight="1">
      <c r="B553" s="11" t="s">
        <v>349</v>
      </c>
      <c r="C553" s="10">
        <f t="shared" si="596"/>
        <v>4235.8733680988153</v>
      </c>
      <c r="D553" s="10">
        <f t="shared" si="665"/>
        <v>3581.52</v>
      </c>
      <c r="E553" s="10">
        <f t="shared" si="665"/>
        <v>3971.66</v>
      </c>
      <c r="F553" s="10">
        <f t="shared" si="665"/>
        <v>2450.08</v>
      </c>
      <c r="G553" s="10">
        <f t="shared" si="665"/>
        <v>3791.48</v>
      </c>
      <c r="H553" s="10">
        <f t="shared" si="665"/>
        <v>3791.48</v>
      </c>
      <c r="I553" s="10">
        <f t="shared" si="665"/>
        <v>8702.6550000000007</v>
      </c>
      <c r="J553" s="10">
        <f t="shared" ref="J553:O553" si="682">+($D$437*J342)</f>
        <v>6068.2049999999999</v>
      </c>
      <c r="K553" s="10">
        <f t="shared" si="682"/>
        <v>9931.9750000000004</v>
      </c>
      <c r="L553" s="10">
        <f t="shared" si="682"/>
        <v>7046.79</v>
      </c>
      <c r="M553" s="10">
        <f t="shared" si="682"/>
        <v>7606.0199999999995</v>
      </c>
      <c r="N553" s="10">
        <f t="shared" si="682"/>
        <v>6463.7649999999994</v>
      </c>
      <c r="O553" s="10">
        <f t="shared" si="682"/>
        <v>174.83500000000001</v>
      </c>
      <c r="P553" s="10">
        <f t="shared" si="642"/>
        <v>0</v>
      </c>
      <c r="Q553" s="10">
        <f t="shared" si="642"/>
        <v>0</v>
      </c>
      <c r="R553" s="10">
        <f t="shared" si="642"/>
        <v>0</v>
      </c>
      <c r="S553" s="10">
        <f t="shared" si="642"/>
        <v>1.25</v>
      </c>
      <c r="T553" s="10">
        <f t="shared" ref="T553" si="683">+($D$437*T342)</f>
        <v>0</v>
      </c>
    </row>
    <row r="554" spans="2:20" ht="15" customHeight="1">
      <c r="B554" s="11" t="s">
        <v>305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2:20" ht="15" customHeight="1">
      <c r="B555" s="11" t="s">
        <v>306</v>
      </c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2:20" ht="15" customHeight="1">
      <c r="B556" s="11" t="s">
        <v>60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2:20" ht="15" customHeight="1">
      <c r="B557" s="11" t="s">
        <v>58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2:20" ht="15" customHeight="1">
      <c r="B558" s="11" t="s">
        <v>56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2:20" ht="15" customHeight="1">
      <c r="B559" s="11" t="s">
        <v>63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2:20" ht="15" customHeight="1">
      <c r="B560" s="11" t="s">
        <v>57</v>
      </c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2:20" ht="15" customHeight="1">
      <c r="B561" s="11" t="s">
        <v>53</v>
      </c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2:20" ht="15" customHeight="1">
      <c r="B562" s="11" t="s">
        <v>240</v>
      </c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</row>
    <row r="563" spans="2:20" ht="15" customHeight="1">
      <c r="B563" s="11" t="s">
        <v>241</v>
      </c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</row>
    <row r="564" spans="2:20" ht="15" customHeight="1">
      <c r="B564" s="11" t="s">
        <v>242</v>
      </c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</row>
    <row r="565" spans="2:20" ht="15" customHeight="1">
      <c r="B565" s="11" t="s">
        <v>243</v>
      </c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</row>
    <row r="566" spans="2:20" ht="15" customHeight="1">
      <c r="B566" s="11" t="s">
        <v>244</v>
      </c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</row>
    <row r="567" spans="2:20" ht="15" customHeight="1">
      <c r="B567" s="9" t="s">
        <v>27</v>
      </c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</row>
    <row r="568" spans="2:20" ht="15" customHeight="1">
      <c r="B568" s="9" t="s">
        <v>245</v>
      </c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</row>
    <row r="569" spans="2:20" ht="15" customHeight="1">
      <c r="B569" s="9" t="s">
        <v>247</v>
      </c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</row>
    <row r="570" spans="2:20" ht="15" customHeight="1">
      <c r="B570" s="9" t="s">
        <v>246</v>
      </c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</row>
    <row r="571" spans="2:20" ht="15" customHeight="1">
      <c r="B571" s="9" t="s">
        <v>350</v>
      </c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</row>
    <row r="572" spans="2:20" ht="15" customHeight="1">
      <c r="B572" s="9" t="s">
        <v>309</v>
      </c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</row>
    <row r="573" spans="2:20" ht="15" customHeight="1">
      <c r="B573" s="9" t="s">
        <v>308</v>
      </c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</row>
    <row r="574" spans="2:20" ht="15" customHeight="1">
      <c r="B574" s="9" t="s">
        <v>278</v>
      </c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</row>
    <row r="575" spans="2:20" ht="15" customHeight="1" thickBot="1">
      <c r="B575" s="12" t="s">
        <v>361</v>
      </c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2:20" ht="15" customHeight="1">
      <c r="E576" s="58"/>
    </row>
    <row r="577" spans="2:20" ht="15" customHeight="1">
      <c r="C577" s="33">
        <v>2001</v>
      </c>
      <c r="D577" s="33">
        <f t="shared" ref="D577:K577" si="684">C577+1</f>
        <v>2002</v>
      </c>
      <c r="E577" s="33">
        <f t="shared" si="684"/>
        <v>2003</v>
      </c>
      <c r="F577" s="33">
        <f t="shared" si="684"/>
        <v>2004</v>
      </c>
      <c r="G577" s="34">
        <f t="shared" si="684"/>
        <v>2005</v>
      </c>
      <c r="H577" s="33">
        <f>F577+1</f>
        <v>2005</v>
      </c>
      <c r="I577" s="33">
        <f>H577+1</f>
        <v>2006</v>
      </c>
      <c r="J577" s="33">
        <f t="shared" si="684"/>
        <v>2007</v>
      </c>
      <c r="K577" s="33">
        <f t="shared" si="684"/>
        <v>2008</v>
      </c>
      <c r="L577" s="33">
        <f>K577+1</f>
        <v>2009</v>
      </c>
      <c r="M577" s="33">
        <f>L577+1</f>
        <v>2010</v>
      </c>
      <c r="N577" s="33">
        <f>M577+1</f>
        <v>2011</v>
      </c>
      <c r="O577" s="33">
        <f>N577+1</f>
        <v>2012</v>
      </c>
      <c r="P577" s="33">
        <f t="shared" ref="P577:T577" si="685">O577+1</f>
        <v>2013</v>
      </c>
      <c r="Q577" s="33">
        <f t="shared" si="685"/>
        <v>2014</v>
      </c>
      <c r="R577" s="33">
        <f t="shared" si="685"/>
        <v>2015</v>
      </c>
      <c r="S577" s="33">
        <f t="shared" si="685"/>
        <v>2016</v>
      </c>
      <c r="T577" s="33">
        <f t="shared" si="685"/>
        <v>2017</v>
      </c>
    </row>
    <row r="578" spans="2:20" ht="15" customHeight="1">
      <c r="B578" s="55" t="s">
        <v>0</v>
      </c>
      <c r="C578" s="56">
        <f t="shared" ref="C578:I578" si="686">SUM(C579:C643)</f>
        <v>21600706.044731792</v>
      </c>
      <c r="D578" s="56">
        <f t="shared" si="686"/>
        <v>24543000</v>
      </c>
      <c r="E578" s="56">
        <f t="shared" si="686"/>
        <v>26559000</v>
      </c>
      <c r="F578" s="56">
        <f t="shared" si="686"/>
        <v>28506000</v>
      </c>
      <c r="G578" s="56">
        <f t="shared" si="686"/>
        <v>33509997.223122999</v>
      </c>
      <c r="H578" s="56">
        <f t="shared" si="686"/>
        <v>34362000</v>
      </c>
      <c r="I578" s="56">
        <f t="shared" si="686"/>
        <v>38751000</v>
      </c>
      <c r="J578" s="56">
        <f t="shared" ref="J578:O578" si="687">SUM(J579:J643)</f>
        <v>47311000</v>
      </c>
      <c r="K578" s="56">
        <f t="shared" si="687"/>
        <v>54038000</v>
      </c>
      <c r="L578" s="56">
        <f t="shared" si="687"/>
        <v>60760000</v>
      </c>
      <c r="M578" s="56">
        <f t="shared" si="687"/>
        <v>68911000</v>
      </c>
      <c r="N578" s="56">
        <f t="shared" si="687"/>
        <v>81807000</v>
      </c>
      <c r="O578" s="56">
        <f t="shared" si="687"/>
        <v>93671000</v>
      </c>
      <c r="P578" s="56">
        <f t="shared" ref="P578:T578" si="688">SUM(P579:P643)</f>
        <v>104460000</v>
      </c>
      <c r="Q578" s="56">
        <f t="shared" si="688"/>
        <v>110786000</v>
      </c>
      <c r="R578" s="56">
        <f t="shared" si="688"/>
        <v>119266000</v>
      </c>
      <c r="S578" s="56">
        <f t="shared" si="688"/>
        <v>129279000</v>
      </c>
      <c r="T578" s="56">
        <f t="shared" si="688"/>
        <v>142175000</v>
      </c>
    </row>
    <row r="579" spans="2:20" ht="15" customHeight="1">
      <c r="B579" s="9" t="s">
        <v>61</v>
      </c>
      <c r="C579" s="10">
        <f t="shared" ref="C579:I579" si="689">+(C300-($C$437*C300))*$C$438</f>
        <v>8567413.4510676581</v>
      </c>
      <c r="D579" s="10">
        <f t="shared" si="689"/>
        <v>9006949.7124443203</v>
      </c>
      <c r="E579" s="10">
        <f t="shared" si="689"/>
        <v>10214679.350199681</v>
      </c>
      <c r="F579" s="10">
        <f t="shared" si="689"/>
        <v>11418850.1783252</v>
      </c>
      <c r="G579" s="10">
        <f t="shared" si="689"/>
        <v>12828082.755289041</v>
      </c>
      <c r="H579" s="10">
        <f t="shared" si="689"/>
        <v>12828082.755289041</v>
      </c>
      <c r="I579" s="10">
        <f t="shared" si="689"/>
        <v>14131600.223612161</v>
      </c>
      <c r="J579" s="10">
        <f t="shared" ref="J579:O579" si="690">+(J300-($C$437*J300))*$C$438</f>
        <v>17025834.564874556</v>
      </c>
      <c r="K579" s="10">
        <f t="shared" si="690"/>
        <v>18667108.709801685</v>
      </c>
      <c r="L579" s="10">
        <f t="shared" si="690"/>
        <v>19708170.989060502</v>
      </c>
      <c r="M579" s="10">
        <f t="shared" si="690"/>
        <v>20613373.153657515</v>
      </c>
      <c r="N579" s="10">
        <f t="shared" si="690"/>
        <v>22839371.597054299</v>
      </c>
      <c r="O579" s="10">
        <f t="shared" si="690"/>
        <v>25081262.259003595</v>
      </c>
      <c r="P579" s="10">
        <f>+(P300-($C$437*P300))*$C$438</f>
        <v>27837457.465529837</v>
      </c>
      <c r="Q579" s="10">
        <f>+(Q300-($C$437*Q300))*$C$438</f>
        <v>28315119.549097676</v>
      </c>
      <c r="R579" s="10">
        <f>+(R300-($C$437*R300))*$C$438</f>
        <v>30247712.472694486</v>
      </c>
      <c r="S579" s="10">
        <f>+(S300-($C$437*S300))*$C$438</f>
        <v>32700869.389977839</v>
      </c>
      <c r="T579" s="10">
        <f t="shared" ref="T579" si="691">+(T300-($C$437*T300))*$C$438</f>
        <v>35161868.172037095</v>
      </c>
    </row>
    <row r="580" spans="2:20" ht="15" customHeight="1">
      <c r="B580" s="11" t="s">
        <v>62</v>
      </c>
      <c r="C580" s="10">
        <f t="shared" ref="C580:I581" si="692">(C301*$C$438)</f>
        <v>1348751.5381688729</v>
      </c>
      <c r="D580" s="10">
        <f t="shared" si="692"/>
        <v>1495211.9818076</v>
      </c>
      <c r="E580" s="10">
        <f t="shared" si="692"/>
        <v>1929714.2229249002</v>
      </c>
      <c r="F580" s="10">
        <f t="shared" si="692"/>
        <v>2153584.5076120002</v>
      </c>
      <c r="G580" s="10">
        <f t="shared" si="692"/>
        <v>2322584.2400383004</v>
      </c>
      <c r="H580" s="10">
        <f t="shared" si="692"/>
        <v>2322584.2400383004</v>
      </c>
      <c r="I580" s="10">
        <f t="shared" si="692"/>
        <v>3102540.6639728001</v>
      </c>
      <c r="J580" s="10">
        <f t="shared" ref="J580:O581" si="693">(J301*$C$438)</f>
        <v>4034289.6805401002</v>
      </c>
      <c r="K580" s="10">
        <f t="shared" si="693"/>
        <v>4433205.6385063035</v>
      </c>
      <c r="L580" s="10">
        <f t="shared" si="693"/>
        <v>4573526.9296035292</v>
      </c>
      <c r="M580" s="10">
        <f t="shared" si="693"/>
        <v>6797264.6066876268</v>
      </c>
      <c r="N580" s="10">
        <f t="shared" si="693"/>
        <v>8670394.2216652408</v>
      </c>
      <c r="O580" s="10">
        <f t="shared" si="693"/>
        <v>11939949.012734555</v>
      </c>
      <c r="P580" s="10">
        <f t="shared" ref="P580:S581" si="694">(P301*$C$438)</f>
        <v>14794526.139549226</v>
      </c>
      <c r="Q580" s="10">
        <f t="shared" si="694"/>
        <v>16885130.405801699</v>
      </c>
      <c r="R580" s="10">
        <f t="shared" si="694"/>
        <v>20011745.423836105</v>
      </c>
      <c r="S580" s="10">
        <f t="shared" si="694"/>
        <v>22121115.7653202</v>
      </c>
      <c r="T580" s="10">
        <f t="shared" ref="T580:T581" si="695">(T301*$C$438)</f>
        <v>24652506.879608572</v>
      </c>
    </row>
    <row r="581" spans="2:20" ht="15" customHeight="1">
      <c r="B581" s="11" t="s">
        <v>588</v>
      </c>
      <c r="C581" s="10">
        <f t="shared" si="692"/>
        <v>0</v>
      </c>
      <c r="D581" s="10">
        <f t="shared" si="692"/>
        <v>0</v>
      </c>
      <c r="E581" s="10">
        <f t="shared" si="692"/>
        <v>0</v>
      </c>
      <c r="F581" s="10">
        <f t="shared" si="692"/>
        <v>0</v>
      </c>
      <c r="G581" s="10">
        <f t="shared" si="692"/>
        <v>0</v>
      </c>
      <c r="H581" s="10">
        <f t="shared" si="692"/>
        <v>0</v>
      </c>
      <c r="I581" s="10">
        <f t="shared" si="692"/>
        <v>0</v>
      </c>
      <c r="J581" s="10">
        <f t="shared" si="693"/>
        <v>0</v>
      </c>
      <c r="K581" s="10">
        <f t="shared" si="693"/>
        <v>0</v>
      </c>
      <c r="L581" s="10">
        <f t="shared" si="693"/>
        <v>0</v>
      </c>
      <c r="M581" s="10">
        <f t="shared" si="693"/>
        <v>0</v>
      </c>
      <c r="N581" s="10">
        <f t="shared" si="693"/>
        <v>0</v>
      </c>
      <c r="O581" s="10">
        <f t="shared" si="693"/>
        <v>0</v>
      </c>
      <c r="P581" s="10">
        <f t="shared" si="694"/>
        <v>0</v>
      </c>
      <c r="Q581" s="10">
        <f t="shared" si="694"/>
        <v>0</v>
      </c>
      <c r="R581" s="10">
        <f t="shared" si="694"/>
        <v>0</v>
      </c>
      <c r="S581" s="10">
        <f t="shared" si="694"/>
        <v>0</v>
      </c>
      <c r="T581" s="10">
        <f t="shared" si="695"/>
        <v>0</v>
      </c>
    </row>
    <row r="582" spans="2:20" ht="15" customHeight="1">
      <c r="B582" s="11" t="s">
        <v>310</v>
      </c>
      <c r="C582" s="10">
        <f t="shared" ref="C582:C621" si="696">+((C303-($D$437*C303))*$D$438)</f>
        <v>1221.05190573871</v>
      </c>
      <c r="D582" s="10">
        <f t="shared" ref="D582:I582" si="697">+((D303-($D$437*D303))*$D$438)</f>
        <v>977.5402914</v>
      </c>
      <c r="E582" s="10">
        <f t="shared" si="697"/>
        <v>1079.6621685499999</v>
      </c>
      <c r="F582" s="10">
        <f t="shared" si="697"/>
        <v>1073.9529433000002</v>
      </c>
      <c r="G582" s="10">
        <f t="shared" si="697"/>
        <v>1086.1527786000001</v>
      </c>
      <c r="H582" s="10">
        <f t="shared" si="697"/>
        <v>1086.1527786000001</v>
      </c>
      <c r="I582" s="10">
        <f t="shared" si="697"/>
        <v>1203.0628282</v>
      </c>
      <c r="J582" s="10">
        <f t="shared" ref="J582:S582" si="698">+((J303-($D$437*J303))*$D$438)</f>
        <v>1518.11904</v>
      </c>
      <c r="K582" s="10">
        <f t="shared" si="698"/>
        <v>1830.4404050000001</v>
      </c>
      <c r="L582" s="10">
        <f t="shared" si="698"/>
        <v>2018.9773946000005</v>
      </c>
      <c r="M582" s="10">
        <f t="shared" si="698"/>
        <v>2238.8372171499996</v>
      </c>
      <c r="N582" s="10">
        <f t="shared" si="698"/>
        <v>2037.6724910499997</v>
      </c>
      <c r="O582" s="10">
        <f t="shared" si="698"/>
        <v>2306.4060723999919</v>
      </c>
      <c r="P582" s="10">
        <f t="shared" si="698"/>
        <v>1787.5758674000022</v>
      </c>
      <c r="Q582" s="10">
        <f t="shared" si="698"/>
        <v>2242.6697235500001</v>
      </c>
      <c r="R582" s="10">
        <f t="shared" si="698"/>
        <v>1685.0772511500011</v>
      </c>
      <c r="S582" s="10">
        <f t="shared" si="698"/>
        <v>1512.8795758500016</v>
      </c>
      <c r="T582" s="10">
        <f t="shared" ref="T582" si="699">+((T303-($D$437*T303))*$D$438)</f>
        <v>1645.2684862500016</v>
      </c>
    </row>
    <row r="583" spans="2:20" ht="15" customHeight="1">
      <c r="B583" s="11" t="s">
        <v>311</v>
      </c>
      <c r="C583" s="10">
        <f t="shared" si="696"/>
        <v>2274.9767876643327</v>
      </c>
      <c r="D583" s="10">
        <f t="shared" ref="D583:I592" si="700">+((D304-($D$437*D304))*$D$438)</f>
        <v>3405.06798445</v>
      </c>
      <c r="E583" s="10">
        <f t="shared" si="700"/>
        <v>3014.1500061000002</v>
      </c>
      <c r="F583" s="10">
        <f t="shared" si="700"/>
        <v>2489.9361528500003</v>
      </c>
      <c r="G583" s="10">
        <f t="shared" si="700"/>
        <v>1829.8799474500001</v>
      </c>
      <c r="H583" s="10">
        <f t="shared" si="700"/>
        <v>1829.8799474500001</v>
      </c>
      <c r="I583" s="10">
        <f t="shared" si="700"/>
        <v>1557.38130065</v>
      </c>
      <c r="J583" s="10">
        <f t="shared" ref="J583:S583" si="701">+((J304-($D$437*J304))*$D$438)</f>
        <v>1916.2183167500002</v>
      </c>
      <c r="K583" s="10">
        <f t="shared" si="701"/>
        <v>2209.9097007</v>
      </c>
      <c r="L583" s="10">
        <f t="shared" si="701"/>
        <v>1862.0330017500003</v>
      </c>
      <c r="M583" s="10">
        <f t="shared" si="701"/>
        <v>2870.2914831000007</v>
      </c>
      <c r="N583" s="10">
        <f t="shared" si="701"/>
        <v>2827.9432176</v>
      </c>
      <c r="O583" s="10">
        <f t="shared" si="701"/>
        <v>3563.0728280999979</v>
      </c>
      <c r="P583" s="10">
        <f t="shared" si="701"/>
        <v>3566.38673685</v>
      </c>
      <c r="Q583" s="10">
        <f t="shared" si="701"/>
        <v>3747.4935941999984</v>
      </c>
      <c r="R583" s="10">
        <f t="shared" si="701"/>
        <v>3574.1633760499999</v>
      </c>
      <c r="S583" s="10">
        <f t="shared" si="701"/>
        <v>3849.2991965499991</v>
      </c>
      <c r="T583" s="10">
        <f t="shared" ref="T583" si="702">+((T304-($D$437*T304))*$D$438)</f>
        <v>2977.0458558499981</v>
      </c>
    </row>
    <row r="584" spans="2:20" ht="15" customHeight="1">
      <c r="B584" s="11" t="s">
        <v>312</v>
      </c>
      <c r="C584" s="10">
        <f t="shared" si="696"/>
        <v>12332.375836297704</v>
      </c>
      <c r="D584" s="10">
        <f t="shared" si="700"/>
        <v>10787.65203915</v>
      </c>
      <c r="E584" s="10">
        <f t="shared" si="700"/>
        <v>9348.0435671499999</v>
      </c>
      <c r="F584" s="10">
        <f t="shared" si="700"/>
        <v>7054.49778625</v>
      </c>
      <c r="G584" s="10">
        <f t="shared" si="700"/>
        <v>1965.5502088999999</v>
      </c>
      <c r="H584" s="10">
        <f t="shared" si="700"/>
        <v>1965.5502088999999</v>
      </c>
      <c r="I584" s="10">
        <f t="shared" si="700"/>
        <v>12922.683680949976</v>
      </c>
      <c r="J584" s="10">
        <f t="shared" ref="J584:S584" si="703">+((J305-($D$437*J305))*$D$438)</f>
        <v>32678.979758050005</v>
      </c>
      <c r="K584" s="10">
        <f t="shared" si="703"/>
        <v>51452.126317150018</v>
      </c>
      <c r="L584" s="10">
        <f t="shared" si="703"/>
        <v>86563.001151149932</v>
      </c>
      <c r="M584" s="10">
        <f t="shared" si="703"/>
        <v>79818.464296649923</v>
      </c>
      <c r="N584" s="10">
        <f t="shared" si="703"/>
        <v>136109.61133265027</v>
      </c>
      <c r="O584" s="10">
        <f t="shared" si="703"/>
        <v>144611.32213940093</v>
      </c>
      <c r="P584" s="10">
        <f t="shared" si="703"/>
        <v>134349.60951160002</v>
      </c>
      <c r="Q584" s="10">
        <f t="shared" si="703"/>
        <v>122221.23836310004</v>
      </c>
      <c r="R584" s="10">
        <f t="shared" si="703"/>
        <v>129778.01774055012</v>
      </c>
      <c r="S584" s="10">
        <f t="shared" si="703"/>
        <v>161158.33130990001</v>
      </c>
      <c r="T584" s="10">
        <f t="shared" ref="T584" si="704">+((T305-($D$437*T305))*$D$438)</f>
        <v>150791.78056254998</v>
      </c>
    </row>
    <row r="585" spans="2:20" ht="15" customHeight="1">
      <c r="B585" s="11" t="s">
        <v>313</v>
      </c>
      <c r="C585" s="10">
        <f t="shared" si="696"/>
        <v>189362.30412232681</v>
      </c>
      <c r="D585" s="10">
        <f t="shared" si="700"/>
        <v>138232.63383424978</v>
      </c>
      <c r="E585" s="10">
        <f t="shared" si="700"/>
        <v>111510.89458259978</v>
      </c>
      <c r="F585" s="10">
        <f t="shared" si="700"/>
        <v>131570.2051736</v>
      </c>
      <c r="G585" s="10">
        <f t="shared" si="700"/>
        <v>120266.22057015024</v>
      </c>
      <c r="H585" s="10">
        <f t="shared" si="700"/>
        <v>120266.22057015024</v>
      </c>
      <c r="I585" s="10">
        <f t="shared" si="700"/>
        <v>110302.22252780157</v>
      </c>
      <c r="J585" s="10">
        <f t="shared" ref="J585:S585" si="705">+((J306-($D$437*J306))*$D$438)</f>
        <v>181670.0520723497</v>
      </c>
      <c r="K585" s="10">
        <f t="shared" si="705"/>
        <v>234918.90064504981</v>
      </c>
      <c r="L585" s="10">
        <f t="shared" si="705"/>
        <v>265495.15065079863</v>
      </c>
      <c r="M585" s="10">
        <f t="shared" si="705"/>
        <v>307567.95940440189</v>
      </c>
      <c r="N585" s="10">
        <f t="shared" si="705"/>
        <v>356961.09956475324</v>
      </c>
      <c r="O585" s="10">
        <f t="shared" si="705"/>
        <v>384822.43040842976</v>
      </c>
      <c r="P585" s="10">
        <f t="shared" si="705"/>
        <v>310753.64895514958</v>
      </c>
      <c r="Q585" s="10">
        <f t="shared" si="705"/>
        <v>348024.68764979939</v>
      </c>
      <c r="R585" s="10">
        <f t="shared" si="705"/>
        <v>341426.69997964939</v>
      </c>
      <c r="S585" s="10">
        <f t="shared" si="705"/>
        <v>367810.97169414943</v>
      </c>
      <c r="T585" s="10">
        <f t="shared" ref="T585" si="706">+((T306-($D$437*T306))*$D$438)</f>
        <v>486692.83653474954</v>
      </c>
    </row>
    <row r="586" spans="2:20" ht="15" customHeight="1">
      <c r="B586" s="11" t="s">
        <v>314</v>
      </c>
      <c r="C586" s="10">
        <f t="shared" si="696"/>
        <v>287874.69496514287</v>
      </c>
      <c r="D586" s="10">
        <f t="shared" si="700"/>
        <v>269229.90255654999</v>
      </c>
      <c r="E586" s="10">
        <f t="shared" si="700"/>
        <v>317380.89436984999</v>
      </c>
      <c r="F586" s="10">
        <f t="shared" si="700"/>
        <v>352061.18199360004</v>
      </c>
      <c r="G586" s="10">
        <f t="shared" si="700"/>
        <v>443371.15859460004</v>
      </c>
      <c r="H586" s="10">
        <f t="shared" si="700"/>
        <v>443371.15859460004</v>
      </c>
      <c r="I586" s="10">
        <f t="shared" si="700"/>
        <v>369113.87503495323</v>
      </c>
      <c r="J586" s="10">
        <f t="shared" ref="J586:S586" si="707">+((J307-($D$437*J307))*$D$438)</f>
        <v>426492.33529900003</v>
      </c>
      <c r="K586" s="10">
        <f t="shared" si="707"/>
        <v>508715.28573929996</v>
      </c>
      <c r="L586" s="10">
        <f t="shared" si="707"/>
        <v>492467.65159695008</v>
      </c>
      <c r="M586" s="10">
        <f t="shared" si="707"/>
        <v>552719.9521333999</v>
      </c>
      <c r="N586" s="10">
        <f t="shared" si="707"/>
        <v>578713.63609765051</v>
      </c>
      <c r="O586" s="10">
        <f t="shared" si="707"/>
        <v>692743.15714343393</v>
      </c>
      <c r="P586" s="10">
        <f t="shared" si="707"/>
        <v>810365.72968240036</v>
      </c>
      <c r="Q586" s="10">
        <f t="shared" si="707"/>
        <v>703216.6738886002</v>
      </c>
      <c r="R586" s="10">
        <f t="shared" si="707"/>
        <v>864539.37739805016</v>
      </c>
      <c r="S586" s="10">
        <f t="shared" si="707"/>
        <v>908650.60746980028</v>
      </c>
      <c r="T586" s="10">
        <f t="shared" ref="T586" si="708">+((T307-($D$437*T307))*$D$438)</f>
        <v>894890.09556479985</v>
      </c>
    </row>
    <row r="587" spans="2:20" ht="15" customHeight="1">
      <c r="B587" s="11" t="s">
        <v>315</v>
      </c>
      <c r="C587" s="10">
        <f t="shared" si="696"/>
        <v>321.93674862995226</v>
      </c>
      <c r="D587" s="10">
        <f t="shared" si="700"/>
        <v>399.55041994999999</v>
      </c>
      <c r="E587" s="10">
        <f t="shared" si="700"/>
        <v>312.28648175000001</v>
      </c>
      <c r="F587" s="10">
        <f t="shared" si="700"/>
        <v>419.14317870000002</v>
      </c>
      <c r="G587" s="10">
        <f t="shared" si="700"/>
        <v>349.84876535000001</v>
      </c>
      <c r="H587" s="10">
        <f t="shared" si="700"/>
        <v>349.84876535000001</v>
      </c>
      <c r="I587" s="10">
        <f t="shared" si="700"/>
        <v>309.47024070000009</v>
      </c>
      <c r="J587" s="10">
        <f t="shared" ref="J587:S587" si="709">+((J308-($D$437*J308))*$D$438)</f>
        <v>463.73792550000002</v>
      </c>
      <c r="K587" s="10">
        <f t="shared" si="709"/>
        <v>509.202428</v>
      </c>
      <c r="L587" s="10">
        <f t="shared" si="709"/>
        <v>370.14616574999997</v>
      </c>
      <c r="M587" s="10">
        <f t="shared" si="709"/>
        <v>514.03492090000009</v>
      </c>
      <c r="N587" s="10">
        <f t="shared" si="709"/>
        <v>560.95289214999991</v>
      </c>
      <c r="O587" s="10">
        <f t="shared" si="709"/>
        <v>560.95289214999968</v>
      </c>
      <c r="P587" s="10">
        <f t="shared" si="709"/>
        <v>570.38067184999966</v>
      </c>
      <c r="Q587" s="10">
        <f t="shared" si="709"/>
        <v>494.95843424999981</v>
      </c>
      <c r="R587" s="10">
        <f t="shared" si="709"/>
        <v>367.68340829999977</v>
      </c>
      <c r="S587" s="10">
        <f t="shared" si="709"/>
        <v>369.5019883999999</v>
      </c>
      <c r="T587" s="10">
        <f t="shared" ref="T587" si="710">+((T308-($D$437*T308))*$D$438)</f>
        <v>320.5445097999999</v>
      </c>
    </row>
    <row r="588" spans="2:20" ht="15" customHeight="1">
      <c r="B588" s="11" t="s">
        <v>316</v>
      </c>
      <c r="C588" s="10">
        <f t="shared" si="696"/>
        <v>1317.1670922512744</v>
      </c>
      <c r="D588" s="10">
        <f t="shared" si="700"/>
        <v>1377.9744203499999</v>
      </c>
      <c r="E588" s="10">
        <f t="shared" si="700"/>
        <v>2892.4074636</v>
      </c>
      <c r="F588" s="10">
        <f t="shared" si="700"/>
        <v>1815.61037265</v>
      </c>
      <c r="G588" s="10">
        <f t="shared" si="700"/>
        <v>827.2097627500001</v>
      </c>
      <c r="H588" s="10">
        <f t="shared" si="700"/>
        <v>827.2097627500001</v>
      </c>
      <c r="I588" s="10">
        <f t="shared" si="700"/>
        <v>1288.7314391000002</v>
      </c>
      <c r="J588" s="10">
        <f t="shared" ref="J588:S588" si="711">+((J309-($D$437*J309))*$D$438)</f>
        <v>1312.7357662000002</v>
      </c>
      <c r="K588" s="10">
        <f t="shared" si="711"/>
        <v>1561.4975241500001</v>
      </c>
      <c r="L588" s="10">
        <f t="shared" si="711"/>
        <v>1546.7163283500001</v>
      </c>
      <c r="M588" s="10">
        <f t="shared" si="711"/>
        <v>1829.0078662000005</v>
      </c>
      <c r="N588" s="10">
        <f t="shared" si="711"/>
        <v>2240.9534676500002</v>
      </c>
      <c r="O588" s="10">
        <f t="shared" si="711"/>
        <v>2735.3816765000001</v>
      </c>
      <c r="P588" s="10">
        <f t="shared" si="711"/>
        <v>3176.1408424499991</v>
      </c>
      <c r="Q588" s="10">
        <f t="shared" si="711"/>
        <v>3005.989651150001</v>
      </c>
      <c r="R588" s="10">
        <f t="shared" si="711"/>
        <v>3154.3899733000003</v>
      </c>
      <c r="S588" s="10">
        <f t="shared" si="711"/>
        <v>2428.8020944500004</v>
      </c>
      <c r="T588" s="10">
        <f t="shared" ref="T588" si="712">+((T309-($D$437*T309))*$D$438)</f>
        <v>2285.4668202000003</v>
      </c>
    </row>
    <row r="589" spans="2:20" ht="15" customHeight="1">
      <c r="B589" s="11" t="s">
        <v>317</v>
      </c>
      <c r="C589" s="10">
        <f t="shared" si="696"/>
        <v>15696.192850967474</v>
      </c>
      <c r="D589" s="10">
        <f t="shared" si="700"/>
        <v>27514.300644949999</v>
      </c>
      <c r="E589" s="10">
        <f t="shared" si="700"/>
        <v>11941.58064695</v>
      </c>
      <c r="F589" s="10">
        <f t="shared" si="700"/>
        <v>13303.115754349999</v>
      </c>
      <c r="G589" s="10">
        <f t="shared" si="700"/>
        <v>20065.140744850003</v>
      </c>
      <c r="H589" s="10">
        <f t="shared" si="700"/>
        <v>20065.140744850003</v>
      </c>
      <c r="I589" s="10">
        <f t="shared" si="700"/>
        <v>38948.464886299764</v>
      </c>
      <c r="J589" s="10">
        <f t="shared" ref="J589:S589" si="713">+((J310-($D$437*J310))*$D$438)</f>
        <v>81295.495519250006</v>
      </c>
      <c r="K589" s="10">
        <f t="shared" si="713"/>
        <v>80379.498583049994</v>
      </c>
      <c r="L589" s="10">
        <f t="shared" si="713"/>
        <v>109019.37473019988</v>
      </c>
      <c r="M589" s="10">
        <f t="shared" si="713"/>
        <v>71159.918397899935</v>
      </c>
      <c r="N589" s="10">
        <f t="shared" si="713"/>
        <v>126688.2013140996</v>
      </c>
      <c r="O589" s="10">
        <f t="shared" si="713"/>
        <v>146316.70609314891</v>
      </c>
      <c r="P589" s="10">
        <f t="shared" si="713"/>
        <v>132482.60448395004</v>
      </c>
      <c r="Q589" s="10">
        <f t="shared" si="713"/>
        <v>113546.18105935006</v>
      </c>
      <c r="R589" s="10">
        <f t="shared" si="713"/>
        <v>110953.67187265003</v>
      </c>
      <c r="S589" s="10">
        <f t="shared" si="713"/>
        <v>140729.83965639997</v>
      </c>
      <c r="T589" s="10">
        <f t="shared" ref="T589" si="714">+((T310-($D$437*T310))*$D$438)</f>
        <v>159865.72550450003</v>
      </c>
    </row>
    <row r="590" spans="2:20" ht="15" customHeight="1">
      <c r="B590" s="11" t="s">
        <v>318</v>
      </c>
      <c r="C590" s="10">
        <f t="shared" si="696"/>
        <v>126457.62244884831</v>
      </c>
      <c r="D590" s="10">
        <f t="shared" si="700"/>
        <v>158793.00975380046</v>
      </c>
      <c r="E590" s="10">
        <f t="shared" si="700"/>
        <v>166834.44537900024</v>
      </c>
      <c r="F590" s="10">
        <f t="shared" si="700"/>
        <v>188092.67466810023</v>
      </c>
      <c r="G590" s="10">
        <f t="shared" si="700"/>
        <v>213143.56205795001</v>
      </c>
      <c r="H590" s="10">
        <f t="shared" si="700"/>
        <v>213143.56205795001</v>
      </c>
      <c r="I590" s="10">
        <f t="shared" si="700"/>
        <v>207227.4023922988</v>
      </c>
      <c r="J590" s="10">
        <f t="shared" ref="J590:S590" si="715">+((J311-($D$437*J311))*$D$438)</f>
        <v>253333.52181175005</v>
      </c>
      <c r="K590" s="10">
        <f t="shared" si="715"/>
        <v>257521.05830250002</v>
      </c>
      <c r="L590" s="10">
        <f t="shared" si="715"/>
        <v>252347.27931225006</v>
      </c>
      <c r="M590" s="10">
        <f t="shared" si="715"/>
        <v>335070.67648479994</v>
      </c>
      <c r="N590" s="10">
        <f t="shared" si="715"/>
        <v>380258.14318995096</v>
      </c>
      <c r="O590" s="10">
        <f t="shared" si="715"/>
        <v>394751.74287257571</v>
      </c>
      <c r="P590" s="10">
        <f t="shared" si="715"/>
        <v>455284.41171699989</v>
      </c>
      <c r="Q590" s="10">
        <f t="shared" si="715"/>
        <v>577549.12158624979</v>
      </c>
      <c r="R590" s="10">
        <f t="shared" si="715"/>
        <v>642040.79279740027</v>
      </c>
      <c r="S590" s="10">
        <f t="shared" si="715"/>
        <v>668099.1200750001</v>
      </c>
      <c r="T590" s="10">
        <f t="shared" ref="T590" si="716">+((T311-($D$437*T311))*$D$438)</f>
        <v>739589.14796985034</v>
      </c>
    </row>
    <row r="591" spans="2:20" ht="15" customHeight="1">
      <c r="B591" s="11" t="s">
        <v>319</v>
      </c>
      <c r="C591" s="10">
        <f t="shared" si="696"/>
        <v>633529.7918519543</v>
      </c>
      <c r="D591" s="10">
        <f t="shared" si="700"/>
        <v>692689.2578711001</v>
      </c>
      <c r="E591" s="10">
        <f t="shared" si="700"/>
        <v>678825.86130855</v>
      </c>
      <c r="F591" s="10">
        <f t="shared" si="700"/>
        <v>783327.25749740005</v>
      </c>
      <c r="G591" s="10">
        <f t="shared" si="700"/>
        <v>899449.97819160006</v>
      </c>
      <c r="H591" s="10">
        <f t="shared" si="700"/>
        <v>899449.97819160006</v>
      </c>
      <c r="I591" s="10">
        <f t="shared" si="700"/>
        <v>922405.85432962351</v>
      </c>
      <c r="J591" s="10">
        <f t="shared" ref="J591:S591" si="717">+((J312-($D$437*J312))*$D$438)</f>
        <v>922511.33197539998</v>
      </c>
      <c r="K591" s="10">
        <f t="shared" si="717"/>
        <v>941089.66953654692</v>
      </c>
      <c r="L591" s="10">
        <f t="shared" si="717"/>
        <v>1056699.7250587961</v>
      </c>
      <c r="M591" s="10">
        <f t="shared" si="717"/>
        <v>1170862.600118252</v>
      </c>
      <c r="N591" s="10">
        <f t="shared" si="717"/>
        <v>1146830.9105969565</v>
      </c>
      <c r="O591" s="10">
        <f t="shared" si="717"/>
        <v>1165173.4513413054</v>
      </c>
      <c r="P591" s="10">
        <f t="shared" si="717"/>
        <v>1339211.5855157983</v>
      </c>
      <c r="Q591" s="10">
        <f t="shared" si="717"/>
        <v>1313875.7415077989</v>
      </c>
      <c r="R591" s="10">
        <f t="shared" si="717"/>
        <v>1303273.3567349494</v>
      </c>
      <c r="S591" s="10">
        <f t="shared" si="717"/>
        <v>1433040.9722903485</v>
      </c>
      <c r="T591" s="10">
        <f t="shared" ref="T591" si="718">+((T312-($D$437*T312))*$D$438)</f>
        <v>1366949.5203509489</v>
      </c>
    </row>
    <row r="592" spans="2:20" ht="15" customHeight="1">
      <c r="B592" s="11" t="s">
        <v>320</v>
      </c>
      <c r="C592" s="10">
        <f t="shared" si="696"/>
        <v>1421.3304988561895</v>
      </c>
      <c r="D592" s="10">
        <f t="shared" si="700"/>
        <v>1239.79954155</v>
      </c>
      <c r="E592" s="10">
        <f t="shared" si="700"/>
        <v>1251.2807819</v>
      </c>
      <c r="F592" s="10">
        <f t="shared" si="700"/>
        <v>1299.6289663999999</v>
      </c>
      <c r="G592" s="10">
        <f t="shared" si="700"/>
        <v>1243.5622814500002</v>
      </c>
      <c r="H592" s="10">
        <f t="shared" si="700"/>
        <v>1243.5622814500002</v>
      </c>
      <c r="I592" s="10">
        <f t="shared" si="700"/>
        <v>1377.1837333500002</v>
      </c>
      <c r="J592" s="10">
        <f t="shared" ref="J592:S592" si="719">+((J313-($D$437*J313))*$D$438)</f>
        <v>1751.371705</v>
      </c>
      <c r="K592" s="10">
        <f t="shared" si="719"/>
        <v>2067.6465050000002</v>
      </c>
      <c r="L592" s="10">
        <f t="shared" si="719"/>
        <v>2193.8494524000002</v>
      </c>
      <c r="M592" s="10">
        <f t="shared" si="719"/>
        <v>2494.7616690999998</v>
      </c>
      <c r="N592" s="10">
        <f t="shared" si="719"/>
        <v>2197.5703324000001</v>
      </c>
      <c r="O592" s="10">
        <f t="shared" si="719"/>
        <v>2504.0359624999828</v>
      </c>
      <c r="P592" s="10">
        <f t="shared" si="719"/>
        <v>2033.5725464000018</v>
      </c>
      <c r="Q592" s="10">
        <f t="shared" si="719"/>
        <v>2238.9186114000004</v>
      </c>
      <c r="R592" s="10">
        <f t="shared" si="719"/>
        <v>1908.7370224000015</v>
      </c>
      <c r="S592" s="10">
        <f t="shared" si="719"/>
        <v>1709.6769190500015</v>
      </c>
      <c r="T592" s="10">
        <f t="shared" ref="T592" si="720">+((T313-($D$437*T313))*$D$438)</f>
        <v>1869.8212687000014</v>
      </c>
    </row>
    <row r="593" spans="2:20" ht="15" customHeight="1">
      <c r="B593" s="11" t="s">
        <v>321</v>
      </c>
      <c r="C593" s="10">
        <f t="shared" si="696"/>
        <v>3231.1153982210976</v>
      </c>
      <c r="D593" s="10">
        <f t="shared" ref="D593:I602" si="721">+((D314-($D$437*D314))*$D$438)</f>
        <v>3980.6276561500003</v>
      </c>
      <c r="E593" s="10">
        <f t="shared" si="721"/>
        <v>4929.1590368500001</v>
      </c>
      <c r="F593" s="10">
        <f t="shared" si="721"/>
        <v>3571.1424866000002</v>
      </c>
      <c r="G593" s="10">
        <f t="shared" si="721"/>
        <v>2079.4091369000002</v>
      </c>
      <c r="H593" s="10">
        <f t="shared" si="721"/>
        <v>2079.4091369000002</v>
      </c>
      <c r="I593" s="10">
        <f t="shared" si="721"/>
        <v>1880.2234538499999</v>
      </c>
      <c r="J593" s="10">
        <f t="shared" ref="J593:S593" si="722">+((J314-($D$437*J314))*$D$438)</f>
        <v>2276.6739156500003</v>
      </c>
      <c r="K593" s="10">
        <f t="shared" si="722"/>
        <v>2850.9080238500001</v>
      </c>
      <c r="L593" s="10">
        <f t="shared" si="722"/>
        <v>2518.4380936499997</v>
      </c>
      <c r="M593" s="10">
        <f t="shared" si="722"/>
        <v>3429.8746263000007</v>
      </c>
      <c r="N593" s="10">
        <f t="shared" si="722"/>
        <v>3666.7179405000011</v>
      </c>
      <c r="O593" s="10">
        <f t="shared" si="722"/>
        <v>4502.1601502500052</v>
      </c>
      <c r="P593" s="10">
        <f t="shared" si="722"/>
        <v>4997.6185777500023</v>
      </c>
      <c r="Q593" s="10">
        <f t="shared" si="722"/>
        <v>5094.2079714500005</v>
      </c>
      <c r="R593" s="10">
        <f t="shared" si="722"/>
        <v>5058.8014726999982</v>
      </c>
      <c r="S593" s="10">
        <f t="shared" si="722"/>
        <v>4595.6960967999985</v>
      </c>
      <c r="T593" s="10">
        <f t="shared" ref="T593" si="723">+((T314-($D$437*T314))*$D$438)</f>
        <v>3923.9330727000001</v>
      </c>
    </row>
    <row r="594" spans="2:20" ht="15" customHeight="1">
      <c r="B594" s="11" t="s">
        <v>322</v>
      </c>
      <c r="C594" s="10">
        <f t="shared" si="696"/>
        <v>22022.573188022594</v>
      </c>
      <c r="D594" s="10">
        <f t="shared" si="721"/>
        <v>18281.657845450001</v>
      </c>
      <c r="E594" s="10">
        <f t="shared" si="721"/>
        <v>12559.300214600002</v>
      </c>
      <c r="F594" s="10">
        <f t="shared" si="721"/>
        <v>10542.836739550001</v>
      </c>
      <c r="G594" s="10">
        <f t="shared" si="721"/>
        <v>17482.691887450001</v>
      </c>
      <c r="H594" s="10">
        <f t="shared" si="721"/>
        <v>17482.691887450001</v>
      </c>
      <c r="I594" s="10">
        <f t="shared" si="721"/>
        <v>27595.336760249869</v>
      </c>
      <c r="J594" s="10">
        <f t="shared" ref="J594:S594" si="724">+((J315-($D$437*J315))*$D$438)</f>
        <v>53937.722993700001</v>
      </c>
      <c r="K594" s="10">
        <f t="shared" si="724"/>
        <v>65273.344379349997</v>
      </c>
      <c r="L594" s="10">
        <f t="shared" si="724"/>
        <v>106877.91294264983</v>
      </c>
      <c r="M594" s="10">
        <f t="shared" si="724"/>
        <v>73544.483880249929</v>
      </c>
      <c r="N594" s="10">
        <f t="shared" si="724"/>
        <v>127536.87125225013</v>
      </c>
      <c r="O594" s="10">
        <f t="shared" si="724"/>
        <v>170977.58712025659</v>
      </c>
      <c r="P594" s="10">
        <f t="shared" si="724"/>
        <v>121464.77880800008</v>
      </c>
      <c r="Q594" s="10">
        <f t="shared" si="724"/>
        <v>104810.65945560003</v>
      </c>
      <c r="R594" s="10">
        <f t="shared" si="724"/>
        <v>116543.18711085002</v>
      </c>
      <c r="S594" s="10">
        <f t="shared" si="724"/>
        <v>147308.02294275002</v>
      </c>
      <c r="T594" s="10">
        <f t="shared" ref="T594" si="725">+((T315-($D$437*T315))*$D$438)</f>
        <v>150320.27530004995</v>
      </c>
    </row>
    <row r="595" spans="2:20" ht="15" customHeight="1">
      <c r="B595" s="11" t="s">
        <v>323</v>
      </c>
      <c r="C595" s="10">
        <f t="shared" si="696"/>
        <v>183093.24120134895</v>
      </c>
      <c r="D595" s="10">
        <f t="shared" si="721"/>
        <v>178143.90897824976</v>
      </c>
      <c r="E595" s="10">
        <f t="shared" si="721"/>
        <v>161159.963846</v>
      </c>
      <c r="F595" s="10">
        <f t="shared" si="721"/>
        <v>181000.14948825023</v>
      </c>
      <c r="G595" s="10">
        <f t="shared" si="721"/>
        <v>202425.03234145022</v>
      </c>
      <c r="H595" s="10">
        <f t="shared" si="721"/>
        <v>202425.03234145022</v>
      </c>
      <c r="I595" s="10">
        <f t="shared" si="721"/>
        <v>172717.62409455216</v>
      </c>
      <c r="J595" s="10">
        <f t="shared" ref="J595:S595" si="726">+((J316-($D$437*J316))*$D$438)</f>
        <v>199037.98736949969</v>
      </c>
      <c r="K595" s="10">
        <f t="shared" si="726"/>
        <v>232865.05860484985</v>
      </c>
      <c r="L595" s="10">
        <f t="shared" si="726"/>
        <v>261952.44964069876</v>
      </c>
      <c r="M595" s="10">
        <f t="shared" si="726"/>
        <v>310932.05817450164</v>
      </c>
      <c r="N595" s="10">
        <f t="shared" si="726"/>
        <v>371731.92806285236</v>
      </c>
      <c r="O595" s="10">
        <f t="shared" si="726"/>
        <v>383648.22765573586</v>
      </c>
      <c r="P595" s="10">
        <f t="shared" si="726"/>
        <v>337247.33779714949</v>
      </c>
      <c r="Q595" s="10">
        <f t="shared" si="726"/>
        <v>436695.80917814921</v>
      </c>
      <c r="R595" s="10">
        <f t="shared" si="726"/>
        <v>480434.55358084908</v>
      </c>
      <c r="S595" s="10">
        <f t="shared" si="726"/>
        <v>521299.53212874907</v>
      </c>
      <c r="T595" s="10">
        <f t="shared" ref="T595" si="727">+((T316-($D$437*T316))*$D$438)</f>
        <v>570224.77860574902</v>
      </c>
    </row>
    <row r="596" spans="2:20" ht="15" customHeight="1">
      <c r="B596" s="11" t="s">
        <v>324</v>
      </c>
      <c r="C596" s="10">
        <f t="shared" si="696"/>
        <v>323075.98623384396</v>
      </c>
      <c r="D596" s="10">
        <f t="shared" si="721"/>
        <v>333249.11502970004</v>
      </c>
      <c r="E596" s="10">
        <f t="shared" si="721"/>
        <v>383115.11624820001</v>
      </c>
      <c r="F596" s="10">
        <f t="shared" si="721"/>
        <v>431611.79641790001</v>
      </c>
      <c r="G596" s="10">
        <f t="shared" si="721"/>
        <v>468546.4419795</v>
      </c>
      <c r="H596" s="10">
        <f t="shared" si="721"/>
        <v>468546.4419795</v>
      </c>
      <c r="I596" s="10">
        <f t="shared" si="721"/>
        <v>444626.55560000613</v>
      </c>
      <c r="J596" s="10">
        <f t="shared" ref="J596:S596" si="728">+((J317-($D$437*J317))*$D$438)</f>
        <v>487121.5563283501</v>
      </c>
      <c r="K596" s="10">
        <f t="shared" si="728"/>
        <v>500591.96284749993</v>
      </c>
      <c r="L596" s="10">
        <f t="shared" si="728"/>
        <v>503932.79216430016</v>
      </c>
      <c r="M596" s="10">
        <f t="shared" si="728"/>
        <v>586701.76779130031</v>
      </c>
      <c r="N596" s="10">
        <f t="shared" si="728"/>
        <v>582714.37743575068</v>
      </c>
      <c r="O596" s="10">
        <f t="shared" si="728"/>
        <v>724416.27373662393</v>
      </c>
      <c r="P596" s="10">
        <f t="shared" si="728"/>
        <v>836341.0348250001</v>
      </c>
      <c r="Q596" s="10">
        <f t="shared" si="728"/>
        <v>738149.6371709503</v>
      </c>
      <c r="R596" s="10">
        <f t="shared" si="728"/>
        <v>783880.04538350063</v>
      </c>
      <c r="S596" s="10">
        <f t="shared" si="728"/>
        <v>896154.42268220033</v>
      </c>
      <c r="T596" s="10">
        <f t="shared" ref="T596" si="729">+((T317-($D$437*T317))*$D$438)</f>
        <v>916941.68623640016</v>
      </c>
    </row>
    <row r="597" spans="2:20" ht="15" customHeight="1">
      <c r="B597" s="11" t="s">
        <v>325</v>
      </c>
      <c r="C597" s="10">
        <f t="shared" si="696"/>
        <v>145.1539793556237</v>
      </c>
      <c r="D597" s="10">
        <f t="shared" si="721"/>
        <v>93.919662300000013</v>
      </c>
      <c r="E597" s="10">
        <f t="shared" si="721"/>
        <v>110.43804395000001</v>
      </c>
      <c r="F597" s="10">
        <f t="shared" si="721"/>
        <v>142.43528640000002</v>
      </c>
      <c r="G597" s="10">
        <f t="shared" si="721"/>
        <v>151.53748910000002</v>
      </c>
      <c r="H597" s="10">
        <f t="shared" si="721"/>
        <v>151.53748910000002</v>
      </c>
      <c r="I597" s="10">
        <f t="shared" si="721"/>
        <v>104.64277335</v>
      </c>
      <c r="J597" s="10">
        <f t="shared" ref="J597:S597" si="730">+((J318-($D$437*J318))*$D$438)</f>
        <v>186.40446025</v>
      </c>
      <c r="K597" s="10">
        <f t="shared" si="730"/>
        <v>213.68316174999998</v>
      </c>
      <c r="L597" s="10">
        <f t="shared" si="730"/>
        <v>123.38205524999999</v>
      </c>
      <c r="M597" s="10">
        <f t="shared" si="730"/>
        <v>242.94788295000004</v>
      </c>
      <c r="N597" s="10">
        <f t="shared" si="730"/>
        <v>301.68895040000001</v>
      </c>
      <c r="O597" s="10">
        <f t="shared" si="730"/>
        <v>301.68895039999984</v>
      </c>
      <c r="P597" s="10">
        <f t="shared" si="730"/>
        <v>259.2639417499999</v>
      </c>
      <c r="Q597" s="10">
        <f t="shared" si="730"/>
        <v>461.96120529999985</v>
      </c>
      <c r="R597" s="10">
        <f t="shared" si="730"/>
        <v>136.70280564999996</v>
      </c>
      <c r="S597" s="10">
        <f t="shared" si="730"/>
        <v>146.13058534999999</v>
      </c>
      <c r="T597" s="10">
        <f t="shared" ref="T597" si="731">+((T318-($D$437*T318))*$D$438)</f>
        <v>142.79109554999997</v>
      </c>
    </row>
    <row r="598" spans="2:20" ht="15" customHeight="1">
      <c r="B598" s="11" t="s">
        <v>326</v>
      </c>
      <c r="C598" s="10">
        <f t="shared" si="696"/>
        <v>416.96612723272256</v>
      </c>
      <c r="D598" s="10">
        <f t="shared" si="721"/>
        <v>744.74110865</v>
      </c>
      <c r="E598" s="10">
        <f t="shared" si="721"/>
        <v>735.79006670000001</v>
      </c>
      <c r="F598" s="10">
        <f t="shared" si="721"/>
        <v>609.21270575000005</v>
      </c>
      <c r="G598" s="10">
        <f t="shared" si="721"/>
        <v>519.69065850000004</v>
      </c>
      <c r="H598" s="10">
        <f t="shared" si="721"/>
        <v>519.69065850000004</v>
      </c>
      <c r="I598" s="10">
        <f t="shared" si="721"/>
        <v>873.92541115000006</v>
      </c>
      <c r="J598" s="10">
        <f t="shared" ref="J598:S598" si="732">+((J319-($D$437*J319))*$D$438)</f>
        <v>918.50387910000006</v>
      </c>
      <c r="K598" s="10">
        <f t="shared" si="732"/>
        <v>792.02186570000003</v>
      </c>
      <c r="L598" s="10">
        <f t="shared" si="732"/>
        <v>804.07519135000018</v>
      </c>
      <c r="M598" s="10">
        <f t="shared" si="732"/>
        <v>1117.75932865</v>
      </c>
      <c r="N598" s="10">
        <f t="shared" si="732"/>
        <v>1257.0783780500003</v>
      </c>
      <c r="O598" s="10">
        <f t="shared" si="732"/>
        <v>1545.7465740000007</v>
      </c>
      <c r="P598" s="10">
        <f t="shared" si="732"/>
        <v>1576.9833616000003</v>
      </c>
      <c r="Q598" s="10">
        <f t="shared" si="732"/>
        <v>1356.5863370000004</v>
      </c>
      <c r="R598" s="10">
        <f t="shared" si="732"/>
        <v>1435.5503872499999</v>
      </c>
      <c r="S598" s="10">
        <f t="shared" si="732"/>
        <v>1495.6681803000004</v>
      </c>
      <c r="T598" s="10">
        <f t="shared" ref="T598" si="733">+((T319-($D$437*T319))*$D$438)</f>
        <v>1202.76748335</v>
      </c>
    </row>
    <row r="599" spans="2:20" ht="15" customHeight="1">
      <c r="B599" s="11" t="s">
        <v>327</v>
      </c>
      <c r="C599" s="10">
        <f t="shared" si="696"/>
        <v>4947.5525970874287</v>
      </c>
      <c r="D599" s="10">
        <f t="shared" si="721"/>
        <v>19443.402626799998</v>
      </c>
      <c r="E599" s="10">
        <f t="shared" si="721"/>
        <v>8068.2747977500012</v>
      </c>
      <c r="F599" s="10">
        <f t="shared" si="721"/>
        <v>9163.1437377500006</v>
      </c>
      <c r="G599" s="10">
        <f t="shared" si="721"/>
        <v>2033.7353349000002</v>
      </c>
      <c r="H599" s="10">
        <f t="shared" si="721"/>
        <v>2033.7353349000002</v>
      </c>
      <c r="I599" s="10">
        <f t="shared" si="721"/>
        <v>22086.736708750006</v>
      </c>
      <c r="J599" s="10">
        <f t="shared" ref="J599:S599" si="734">+((J320-($D$437*J320))*$D$438)</f>
        <v>56561.7433829</v>
      </c>
      <c r="K599" s="10">
        <f t="shared" si="734"/>
        <v>63907.334913750004</v>
      </c>
      <c r="L599" s="10">
        <f t="shared" si="734"/>
        <v>85868.661687649976</v>
      </c>
      <c r="M599" s="10">
        <f t="shared" si="734"/>
        <v>77938.850136899899</v>
      </c>
      <c r="N599" s="10">
        <f t="shared" si="734"/>
        <v>136706.87768804954</v>
      </c>
      <c r="O599" s="10">
        <f t="shared" si="734"/>
        <v>115491.23154500195</v>
      </c>
      <c r="P599" s="10">
        <f t="shared" si="734"/>
        <v>147658.69727835007</v>
      </c>
      <c r="Q599" s="10">
        <f t="shared" si="734"/>
        <v>133660.23044625006</v>
      </c>
      <c r="R599" s="10">
        <f t="shared" si="734"/>
        <v>126241.61664539993</v>
      </c>
      <c r="S599" s="10">
        <f t="shared" si="734"/>
        <v>156709.16579305008</v>
      </c>
      <c r="T599" s="10">
        <f t="shared" ref="T599" si="735">+((T320-($D$437*T320))*$D$438)</f>
        <v>160590.15060834997</v>
      </c>
    </row>
    <row r="600" spans="2:20" ht="15" customHeight="1">
      <c r="B600" s="11" t="s">
        <v>328</v>
      </c>
      <c r="C600" s="10">
        <f t="shared" si="696"/>
        <v>134552.60643405563</v>
      </c>
      <c r="D600" s="10">
        <f t="shared" si="721"/>
        <v>112628.46321615</v>
      </c>
      <c r="E600" s="10">
        <f t="shared" si="721"/>
        <v>109895.21872010001</v>
      </c>
      <c r="F600" s="10">
        <f t="shared" si="721"/>
        <v>130867.2658262</v>
      </c>
      <c r="G600" s="10">
        <f t="shared" si="721"/>
        <v>118598.34773790024</v>
      </c>
      <c r="H600" s="10">
        <f t="shared" si="721"/>
        <v>118598.34773790024</v>
      </c>
      <c r="I600" s="10">
        <f t="shared" si="721"/>
        <v>135504.85438070021</v>
      </c>
      <c r="J600" s="10">
        <f t="shared" ref="J600:S600" si="736">+((J321-($D$437*J321))*$D$438)</f>
        <v>234150.9040364</v>
      </c>
      <c r="K600" s="10">
        <f t="shared" si="736"/>
        <v>280881.61269820004</v>
      </c>
      <c r="L600" s="10">
        <f t="shared" si="736"/>
        <v>256949.39625260007</v>
      </c>
      <c r="M600" s="10">
        <f t="shared" si="736"/>
        <v>331272.01148839953</v>
      </c>
      <c r="N600" s="10">
        <f t="shared" si="736"/>
        <v>363536.41079684999</v>
      </c>
      <c r="O600" s="10">
        <f t="shared" si="736"/>
        <v>396290.23140502447</v>
      </c>
      <c r="P600" s="10">
        <f t="shared" si="736"/>
        <v>424482.62057004968</v>
      </c>
      <c r="Q600" s="10">
        <f t="shared" si="736"/>
        <v>475174.79435600009</v>
      </c>
      <c r="R600" s="10">
        <f t="shared" si="736"/>
        <v>482515.78827450017</v>
      </c>
      <c r="S600" s="10">
        <f t="shared" si="736"/>
        <v>491649.64636110002</v>
      </c>
      <c r="T600" s="10">
        <f t="shared" ref="T600" si="737">+((T321-($D$437*T321))*$D$438)</f>
        <v>643064.65106814995</v>
      </c>
    </row>
    <row r="601" spans="2:20" ht="15" customHeight="1">
      <c r="B601" s="11" t="s">
        <v>329</v>
      </c>
      <c r="C601" s="10">
        <f t="shared" si="696"/>
        <v>595007.89872339321</v>
      </c>
      <c r="D601" s="10">
        <f t="shared" si="721"/>
        <v>614484.57643925003</v>
      </c>
      <c r="E601" s="10">
        <f t="shared" si="721"/>
        <v>631824.79815705004</v>
      </c>
      <c r="F601" s="10">
        <f t="shared" si="721"/>
        <v>610956.49383645004</v>
      </c>
      <c r="G601" s="10">
        <f t="shared" si="721"/>
        <v>822459.37106720009</v>
      </c>
      <c r="H601" s="10">
        <f t="shared" si="721"/>
        <v>822459.37106720009</v>
      </c>
      <c r="I601" s="10">
        <f t="shared" si="721"/>
        <v>1003261.4743919163</v>
      </c>
      <c r="J601" s="10">
        <f t="shared" ref="J601:S601" si="738">+((J322-($D$437*J322))*$D$438)</f>
        <v>904632.78031584807</v>
      </c>
      <c r="K601" s="10">
        <f t="shared" si="738"/>
        <v>918480.93987479701</v>
      </c>
      <c r="L601" s="10">
        <f t="shared" si="738"/>
        <v>1038395.6326324964</v>
      </c>
      <c r="M601" s="10">
        <f t="shared" si="738"/>
        <v>1122145.5461794527</v>
      </c>
      <c r="N601" s="10">
        <f t="shared" si="738"/>
        <v>1137820.4810766056</v>
      </c>
      <c r="O601" s="10">
        <f t="shared" si="738"/>
        <v>1129201.8625457261</v>
      </c>
      <c r="P601" s="10">
        <f t="shared" si="738"/>
        <v>1310626.8225781003</v>
      </c>
      <c r="Q601" s="10">
        <f t="shared" si="738"/>
        <v>1275996.7784620984</v>
      </c>
      <c r="R601" s="10">
        <f t="shared" si="738"/>
        <v>1396498.28422795</v>
      </c>
      <c r="S601" s="10">
        <f t="shared" si="738"/>
        <v>1447355.4953207492</v>
      </c>
      <c r="T601" s="10">
        <f t="shared" ref="T601" si="739">+((T322-($D$437*T322))*$D$438)</f>
        <v>1341593.9556789489</v>
      </c>
    </row>
    <row r="602" spans="2:20" ht="15" customHeight="1">
      <c r="B602" s="11" t="s">
        <v>330</v>
      </c>
      <c r="C602" s="10">
        <f t="shared" si="696"/>
        <v>2845.2799093322778</v>
      </c>
      <c r="D602" s="10">
        <f t="shared" si="721"/>
        <v>3416.9864282000003</v>
      </c>
      <c r="E602" s="10">
        <f t="shared" si="721"/>
        <v>3178.9663857</v>
      </c>
      <c r="F602" s="10">
        <f t="shared" si="721"/>
        <v>6150.7192897500472</v>
      </c>
      <c r="G602" s="10">
        <f t="shared" si="721"/>
        <v>5716.4879426500465</v>
      </c>
      <c r="H602" s="10">
        <f t="shared" si="721"/>
        <v>5716.4879426500465</v>
      </c>
      <c r="I602" s="10">
        <f t="shared" si="721"/>
        <v>7433.0205830995819</v>
      </c>
      <c r="J602" s="10">
        <f t="shared" ref="J602:S602" si="740">+((J323-($D$437*J323))*$D$438)</f>
        <v>6962.0571737500495</v>
      </c>
      <c r="K602" s="10">
        <f t="shared" si="740"/>
        <v>8160.2386725000379</v>
      </c>
      <c r="L602" s="10">
        <f t="shared" si="740"/>
        <v>9156.4438282000447</v>
      </c>
      <c r="M602" s="10">
        <f t="shared" si="740"/>
        <v>9358.0504088000671</v>
      </c>
      <c r="N602" s="10">
        <f t="shared" si="740"/>
        <v>7047.2536980000095</v>
      </c>
      <c r="O602" s="10">
        <f t="shared" si="740"/>
        <v>4972.5607764997085</v>
      </c>
      <c r="P602" s="10">
        <f t="shared" si="740"/>
        <v>4222.5429948999981</v>
      </c>
      <c r="Q602" s="10">
        <f t="shared" si="740"/>
        <v>3313.5599175000002</v>
      </c>
      <c r="R602" s="10">
        <f t="shared" si="740"/>
        <v>2991.7037975000012</v>
      </c>
      <c r="S602" s="10">
        <f t="shared" si="740"/>
        <v>2998.0758045000011</v>
      </c>
      <c r="T602" s="10">
        <f t="shared" ref="T602" si="741">+((T323-($D$437*T323))*$D$438)</f>
        <v>3291.7927695000017</v>
      </c>
    </row>
    <row r="603" spans="2:20" ht="15" customHeight="1">
      <c r="B603" s="11" t="s">
        <v>331</v>
      </c>
      <c r="C603" s="10">
        <f t="shared" si="696"/>
        <v>8050.4077599477732</v>
      </c>
      <c r="D603" s="10">
        <f t="shared" ref="D603:I612" si="742">+((D324-($D$437*D324))*$D$438)</f>
        <v>8210.4589247499989</v>
      </c>
      <c r="E603" s="10">
        <f t="shared" si="742"/>
        <v>10912.4898887</v>
      </c>
      <c r="F603" s="10">
        <f t="shared" si="742"/>
        <v>9100.9120197499778</v>
      </c>
      <c r="G603" s="10">
        <f t="shared" si="742"/>
        <v>8357.8708881500006</v>
      </c>
      <c r="H603" s="10">
        <f t="shared" si="742"/>
        <v>8357.8708881500006</v>
      </c>
      <c r="I603" s="10">
        <f t="shared" si="742"/>
        <v>10451.503088850019</v>
      </c>
      <c r="J603" s="10">
        <f t="shared" ref="J603:S603" si="743">+((J324-($D$437*J324))*$D$438)</f>
        <v>17169.363559300044</v>
      </c>
      <c r="K603" s="10">
        <f t="shared" si="743"/>
        <v>12757.513817750016</v>
      </c>
      <c r="L603" s="10">
        <f t="shared" si="743"/>
        <v>9846.2531202999999</v>
      </c>
      <c r="M603" s="10">
        <f t="shared" si="743"/>
        <v>12016.579634449989</v>
      </c>
      <c r="N603" s="10">
        <f t="shared" si="743"/>
        <v>14077.219257299981</v>
      </c>
      <c r="O603" s="10">
        <f t="shared" si="743"/>
        <v>29253.598094348719</v>
      </c>
      <c r="P603" s="10">
        <f t="shared" si="743"/>
        <v>24984.858048699974</v>
      </c>
      <c r="Q603" s="10">
        <f t="shared" si="743"/>
        <v>24468.948734499972</v>
      </c>
      <c r="R603" s="10">
        <f t="shared" si="743"/>
        <v>27054.981264449943</v>
      </c>
      <c r="S603" s="10">
        <f t="shared" si="743"/>
        <v>28943.853438749997</v>
      </c>
      <c r="T603" s="10">
        <f t="shared" ref="T603" si="744">+((T324-($D$437*T324))*$D$438)</f>
        <v>28456.30653234999</v>
      </c>
    </row>
    <row r="604" spans="2:20" ht="15" customHeight="1">
      <c r="B604" s="11" t="s">
        <v>332</v>
      </c>
      <c r="C604" s="10">
        <f t="shared" si="696"/>
        <v>44361.204086737649</v>
      </c>
      <c r="D604" s="10">
        <f t="shared" si="742"/>
        <v>27998.5848047</v>
      </c>
      <c r="E604" s="10">
        <f t="shared" si="742"/>
        <v>29344.748026600002</v>
      </c>
      <c r="F604" s="10">
        <f t="shared" si="742"/>
        <v>23365.975252750002</v>
      </c>
      <c r="G604" s="10">
        <f t="shared" si="742"/>
        <v>50102.098031150002</v>
      </c>
      <c r="H604" s="10">
        <f t="shared" si="742"/>
        <v>50102.098031150002</v>
      </c>
      <c r="I604" s="10">
        <f t="shared" si="742"/>
        <v>96925.319397499508</v>
      </c>
      <c r="J604" s="10">
        <f t="shared" ref="J604:S604" si="745">+((J325-($D$437*J325))*$D$438)</f>
        <v>152837.34597030058</v>
      </c>
      <c r="K604" s="10">
        <f t="shared" si="745"/>
        <v>186912.06967625153</v>
      </c>
      <c r="L604" s="10">
        <f t="shared" si="745"/>
        <v>210772.47778895072</v>
      </c>
      <c r="M604" s="10">
        <f t="shared" si="745"/>
        <v>266294.59567209845</v>
      </c>
      <c r="N604" s="10">
        <f t="shared" si="745"/>
        <v>315088.08811384963</v>
      </c>
      <c r="O604" s="10">
        <f t="shared" si="745"/>
        <v>344805.68924639776</v>
      </c>
      <c r="P604" s="10">
        <f t="shared" si="745"/>
        <v>296039.26620665012</v>
      </c>
      <c r="Q604" s="10">
        <f t="shared" si="745"/>
        <v>258118.43395875013</v>
      </c>
      <c r="R604" s="10">
        <f t="shared" si="745"/>
        <v>282628.59376479988</v>
      </c>
      <c r="S604" s="10">
        <f t="shared" si="745"/>
        <v>248086.10893185026</v>
      </c>
      <c r="T604" s="10">
        <f t="shared" ref="T604" si="746">+((T325-($D$437*T325))*$D$438)</f>
        <v>226947.47337704981</v>
      </c>
    </row>
    <row r="605" spans="2:20" ht="15" customHeight="1">
      <c r="B605" s="11" t="s">
        <v>333</v>
      </c>
      <c r="C605" s="10">
        <f t="shared" si="696"/>
        <v>25865.03748083254</v>
      </c>
      <c r="D605" s="10">
        <f t="shared" si="742"/>
        <v>43312.340856900002</v>
      </c>
      <c r="E605" s="10">
        <f t="shared" si="742"/>
        <v>43515.542764799997</v>
      </c>
      <c r="F605" s="10">
        <f t="shared" si="742"/>
        <v>49762.032854649769</v>
      </c>
      <c r="G605" s="10">
        <f t="shared" si="742"/>
        <v>75311.953042350462</v>
      </c>
      <c r="H605" s="10">
        <f t="shared" si="742"/>
        <v>75311.953042350462</v>
      </c>
      <c r="I605" s="10">
        <f t="shared" si="742"/>
        <v>46855.093029100281</v>
      </c>
      <c r="J605" s="10">
        <f t="shared" ref="J605:S605" si="747">+((J326-($D$437*J326))*$D$438)</f>
        <v>11125.587011850001</v>
      </c>
      <c r="K605" s="10">
        <f t="shared" si="747"/>
        <v>15946.359139850005</v>
      </c>
      <c r="L605" s="10">
        <f t="shared" si="747"/>
        <v>14750.24505505</v>
      </c>
      <c r="M605" s="10">
        <f t="shared" si="747"/>
        <v>22083.485589850017</v>
      </c>
      <c r="N605" s="10">
        <f t="shared" si="747"/>
        <v>22404.344048900017</v>
      </c>
      <c r="O605" s="10">
        <f t="shared" si="747"/>
        <v>40489.130133550105</v>
      </c>
      <c r="P605" s="10">
        <f t="shared" si="747"/>
        <v>121783.60008525009</v>
      </c>
      <c r="Q605" s="10">
        <f t="shared" si="747"/>
        <v>166302.52465305018</v>
      </c>
      <c r="R605" s="10">
        <f t="shared" si="747"/>
        <v>198190.17323375016</v>
      </c>
      <c r="S605" s="10">
        <f t="shared" si="747"/>
        <v>277793.64043290098</v>
      </c>
      <c r="T605" s="10">
        <f t="shared" ref="T605" si="748">+((T326-($D$437*T326))*$D$438)</f>
        <v>322945.40994555096</v>
      </c>
    </row>
    <row r="606" spans="2:20" ht="15" customHeight="1">
      <c r="B606" s="11" t="s">
        <v>334</v>
      </c>
      <c r="C606" s="10">
        <f t="shared" si="696"/>
        <v>3535.3206664001027</v>
      </c>
      <c r="D606" s="10">
        <f t="shared" si="742"/>
        <v>1760.00182105</v>
      </c>
      <c r="E606" s="10">
        <f t="shared" si="742"/>
        <v>714.36710010000013</v>
      </c>
      <c r="F606" s="10">
        <f t="shared" si="742"/>
        <v>4701.2504857500007</v>
      </c>
      <c r="G606" s="10">
        <f t="shared" si="742"/>
        <v>754.82004234999999</v>
      </c>
      <c r="H606" s="10">
        <f t="shared" si="742"/>
        <v>754.82004234999999</v>
      </c>
      <c r="I606" s="10">
        <f t="shared" si="742"/>
        <v>788.88934985000003</v>
      </c>
      <c r="J606" s="10">
        <f t="shared" ref="J606:S606" si="749">+((J327-($D$437*J327))*$D$438)</f>
        <v>450.01485495000003</v>
      </c>
      <c r="K606" s="10">
        <f t="shared" si="749"/>
        <v>893.4507289500001</v>
      </c>
      <c r="L606" s="10">
        <f t="shared" si="749"/>
        <v>504.09086910000002</v>
      </c>
      <c r="M606" s="10">
        <f t="shared" si="749"/>
        <v>474.7610325</v>
      </c>
      <c r="N606" s="10">
        <f t="shared" si="749"/>
        <v>477.30053310000005</v>
      </c>
      <c r="O606" s="10">
        <f t="shared" si="749"/>
        <v>65.571207799999996</v>
      </c>
      <c r="P606" s="10">
        <f t="shared" si="749"/>
        <v>0.11627750000000001</v>
      </c>
      <c r="Q606" s="10">
        <f t="shared" si="749"/>
        <v>0.46511000000000002</v>
      </c>
      <c r="R606" s="10">
        <f t="shared" si="749"/>
        <v>0</v>
      </c>
      <c r="S606" s="10">
        <f t="shared" si="749"/>
        <v>0.11627750000000001</v>
      </c>
      <c r="T606" s="10">
        <f t="shared" ref="T606" si="750">+((T327-($D$437*T327))*$D$438)</f>
        <v>0.81394250000000001</v>
      </c>
    </row>
    <row r="607" spans="2:20" ht="15" customHeight="1">
      <c r="B607" s="11" t="s">
        <v>335</v>
      </c>
      <c r="C607" s="10">
        <f t="shared" si="696"/>
        <v>634.95056882067365</v>
      </c>
      <c r="D607" s="10">
        <f t="shared" si="742"/>
        <v>742.26207235000004</v>
      </c>
      <c r="E607" s="10">
        <f t="shared" si="742"/>
        <v>751.19450989999996</v>
      </c>
      <c r="F607" s="10">
        <f t="shared" si="742"/>
        <v>1307.0381687000001</v>
      </c>
      <c r="G607" s="10">
        <f t="shared" si="742"/>
        <v>1677.1843344500023</v>
      </c>
      <c r="H607" s="10">
        <f t="shared" si="742"/>
        <v>1677.1843344500023</v>
      </c>
      <c r="I607" s="10">
        <f t="shared" si="742"/>
        <v>1819.219626249987</v>
      </c>
      <c r="J607" s="10">
        <f t="shared" ref="J607:S607" si="751">+((J328-($D$437*J328))*$D$438)</f>
        <v>1861.7841679000016</v>
      </c>
      <c r="K607" s="10">
        <f t="shared" si="751"/>
        <v>1829.9566906000018</v>
      </c>
      <c r="L607" s="10">
        <f t="shared" si="751"/>
        <v>1800.9315010500025</v>
      </c>
      <c r="M607" s="10">
        <f t="shared" si="751"/>
        <v>1645.3336016500007</v>
      </c>
      <c r="N607" s="10">
        <f t="shared" si="751"/>
        <v>1323.0286504999997</v>
      </c>
      <c r="O607" s="10">
        <f t="shared" si="751"/>
        <v>734.70636040000409</v>
      </c>
      <c r="P607" s="10">
        <f t="shared" si="751"/>
        <v>761.98506189999955</v>
      </c>
      <c r="Q607" s="10">
        <f t="shared" si="751"/>
        <v>629.22871459999988</v>
      </c>
      <c r="R607" s="10">
        <f t="shared" si="751"/>
        <v>503.7466877</v>
      </c>
      <c r="S607" s="10">
        <f t="shared" si="751"/>
        <v>509.55126050000024</v>
      </c>
      <c r="T607" s="10">
        <f t="shared" ref="T607" si="752">+((T328-($D$437*T328))*$D$438)</f>
        <v>523.75106879999998</v>
      </c>
    </row>
    <row r="608" spans="2:20" ht="15" customHeight="1">
      <c r="B608" s="11" t="s">
        <v>336</v>
      </c>
      <c r="C608" s="10">
        <f t="shared" si="696"/>
        <v>2562.5522172914016</v>
      </c>
      <c r="D608" s="10">
        <f t="shared" si="742"/>
        <v>2511.0312168999999</v>
      </c>
      <c r="E608" s="10">
        <f t="shared" si="742"/>
        <v>3349.3733875000003</v>
      </c>
      <c r="F608" s="10">
        <f t="shared" si="742"/>
        <v>3483.8529673500002</v>
      </c>
      <c r="G608" s="10">
        <f t="shared" si="742"/>
        <v>2299.2154718000002</v>
      </c>
      <c r="H608" s="10">
        <f t="shared" si="742"/>
        <v>2299.2154718000002</v>
      </c>
      <c r="I608" s="10">
        <f t="shared" si="742"/>
        <v>3053.0238999000003</v>
      </c>
      <c r="J608" s="10">
        <f t="shared" ref="J608:S608" si="753">+((J329-($D$437*J329))*$D$438)</f>
        <v>4062.4312029499997</v>
      </c>
      <c r="K608" s="10">
        <f t="shared" si="753"/>
        <v>2411.8604627</v>
      </c>
      <c r="L608" s="10">
        <f t="shared" si="753"/>
        <v>1730.9882592500003</v>
      </c>
      <c r="M608" s="10">
        <f t="shared" si="753"/>
        <v>2556.0213072000006</v>
      </c>
      <c r="N608" s="10">
        <f t="shared" si="753"/>
        <v>2856.8637574000004</v>
      </c>
      <c r="O608" s="10">
        <f t="shared" si="753"/>
        <v>4992.527948800006</v>
      </c>
      <c r="P608" s="10">
        <f t="shared" si="753"/>
        <v>4354.4691208499989</v>
      </c>
      <c r="Q608" s="10">
        <f t="shared" si="753"/>
        <v>4515.0041628999998</v>
      </c>
      <c r="R608" s="10">
        <f t="shared" si="753"/>
        <v>5316.8328729500008</v>
      </c>
      <c r="S608" s="10">
        <f t="shared" si="753"/>
        <v>5641.5843027000019</v>
      </c>
      <c r="T608" s="10">
        <f t="shared" ref="T608" si="754">+((T329-($D$437*T329))*$D$438)</f>
        <v>7884.8051816000079</v>
      </c>
    </row>
    <row r="609" spans="2:20" ht="15" customHeight="1">
      <c r="B609" s="11" t="s">
        <v>337</v>
      </c>
      <c r="C609" s="10">
        <f t="shared" si="696"/>
        <v>24374.074750257518</v>
      </c>
      <c r="D609" s="10">
        <f t="shared" si="742"/>
        <v>17705.237720250003</v>
      </c>
      <c r="E609" s="10">
        <f t="shared" si="742"/>
        <v>17524.354115700004</v>
      </c>
      <c r="F609" s="10">
        <f t="shared" si="742"/>
        <v>13516.589616600002</v>
      </c>
      <c r="G609" s="10">
        <f t="shared" si="742"/>
        <v>21120.291616400002</v>
      </c>
      <c r="H609" s="10">
        <f t="shared" si="742"/>
        <v>21120.291616400002</v>
      </c>
      <c r="I609" s="10">
        <f t="shared" si="742"/>
        <v>67109.117270501243</v>
      </c>
      <c r="J609" s="10">
        <f t="shared" ref="J609:S609" si="755">+((J330-($D$437*J330))*$D$438)</f>
        <v>113816.44950369863</v>
      </c>
      <c r="K609" s="10">
        <f t="shared" si="755"/>
        <v>124161.05403569862</v>
      </c>
      <c r="L609" s="10">
        <f t="shared" si="755"/>
        <v>138870.37406185159</v>
      </c>
      <c r="M609" s="10">
        <f t="shared" si="755"/>
        <v>186321.62415899977</v>
      </c>
      <c r="N609" s="10">
        <f t="shared" si="755"/>
        <v>211523.46765044922</v>
      </c>
      <c r="O609" s="10">
        <f t="shared" si="755"/>
        <v>210426.12432521957</v>
      </c>
      <c r="P609" s="10">
        <f t="shared" si="755"/>
        <v>207931.63474550031</v>
      </c>
      <c r="Q609" s="10">
        <f t="shared" si="755"/>
        <v>180183.13958780016</v>
      </c>
      <c r="R609" s="10">
        <f t="shared" si="755"/>
        <v>180860.15370380029</v>
      </c>
      <c r="S609" s="10">
        <f t="shared" si="755"/>
        <v>160862.02600775016</v>
      </c>
      <c r="T609" s="10">
        <f t="shared" ref="T609" si="756">+((T330-($D$437*T330))*$D$438)</f>
        <v>132331.00187945002</v>
      </c>
    </row>
    <row r="610" spans="2:20" ht="15" customHeight="1">
      <c r="B610" s="11" t="s">
        <v>338</v>
      </c>
      <c r="C610" s="10">
        <f t="shared" si="696"/>
        <v>8344.739694053098</v>
      </c>
      <c r="D610" s="10">
        <f t="shared" si="742"/>
        <v>17265.634352650024</v>
      </c>
      <c r="E610" s="10">
        <f t="shared" si="742"/>
        <v>16981.175402199999</v>
      </c>
      <c r="F610" s="10">
        <f t="shared" si="742"/>
        <v>28245.090779149999</v>
      </c>
      <c r="G610" s="10">
        <f t="shared" si="742"/>
        <v>47454.654702350002</v>
      </c>
      <c r="H610" s="10">
        <f t="shared" si="742"/>
        <v>47454.654702350002</v>
      </c>
      <c r="I610" s="10">
        <f t="shared" si="742"/>
        <v>30282.751642449486</v>
      </c>
      <c r="J610" s="10">
        <f t="shared" ref="J610:S610" si="757">+((J331-($D$437*J331))*$D$438)</f>
        <v>1668.5449162000002</v>
      </c>
      <c r="K610" s="10">
        <f t="shared" si="757"/>
        <v>2836.5314737500007</v>
      </c>
      <c r="L610" s="10">
        <f t="shared" si="757"/>
        <v>1867.90734105</v>
      </c>
      <c r="M610" s="10">
        <f t="shared" si="757"/>
        <v>3087.4490165500006</v>
      </c>
      <c r="N610" s="10">
        <f t="shared" si="757"/>
        <v>6586.5157319999998</v>
      </c>
      <c r="O610" s="10">
        <f t="shared" si="757"/>
        <v>14634.772195350039</v>
      </c>
      <c r="P610" s="10">
        <f t="shared" si="757"/>
        <v>86227.119639100027</v>
      </c>
      <c r="Q610" s="10">
        <f t="shared" si="757"/>
        <v>129694.75607390019</v>
      </c>
      <c r="R610" s="10">
        <f t="shared" si="757"/>
        <v>159231.5922049504</v>
      </c>
      <c r="S610" s="10">
        <f t="shared" si="757"/>
        <v>226325.39340315075</v>
      </c>
      <c r="T610" s="10">
        <f t="shared" ref="T610" si="758">+((T331-($D$437*T331))*$D$438)</f>
        <v>270390.76130335114</v>
      </c>
    </row>
    <row r="611" spans="2:20" ht="15" customHeight="1">
      <c r="B611" s="11" t="s">
        <v>339</v>
      </c>
      <c r="C611" s="10">
        <f t="shared" si="696"/>
        <v>4534.0514577118229</v>
      </c>
      <c r="D611" s="10">
        <f t="shared" si="742"/>
        <v>3033.2288183000001</v>
      </c>
      <c r="E611" s="10">
        <f t="shared" si="742"/>
        <v>1507.0075621000001</v>
      </c>
      <c r="F611" s="10">
        <f t="shared" si="742"/>
        <v>2724.2004320999999</v>
      </c>
      <c r="G611" s="10">
        <f t="shared" si="742"/>
        <v>3299.5880131000004</v>
      </c>
      <c r="H611" s="10">
        <f t="shared" si="742"/>
        <v>3299.5880131000004</v>
      </c>
      <c r="I611" s="10">
        <f t="shared" si="742"/>
        <v>2763.2557188000001</v>
      </c>
      <c r="J611" s="10">
        <f t="shared" ref="J611:S611" si="759">+((J332-($D$437*J332))*$D$438)</f>
        <v>684.21401879999996</v>
      </c>
      <c r="K611" s="10">
        <f t="shared" si="759"/>
        <v>1282.90128525</v>
      </c>
      <c r="L611" s="10">
        <f t="shared" si="759"/>
        <v>923.95729384999993</v>
      </c>
      <c r="M611" s="10">
        <f t="shared" si="759"/>
        <v>1997.5776834999999</v>
      </c>
      <c r="N611" s="10">
        <f t="shared" si="759"/>
        <v>1912.0625588999999</v>
      </c>
      <c r="O611" s="10">
        <f t="shared" si="759"/>
        <v>325.2700274</v>
      </c>
      <c r="P611" s="10">
        <f t="shared" si="759"/>
        <v>0</v>
      </c>
      <c r="Q611" s="10">
        <f t="shared" si="759"/>
        <v>65.222375299999996</v>
      </c>
      <c r="R611" s="10">
        <f t="shared" si="759"/>
        <v>0</v>
      </c>
      <c r="S611" s="10">
        <f t="shared" si="759"/>
        <v>0.46511000000000002</v>
      </c>
      <c r="T611" s="10">
        <f t="shared" ref="T611" si="760">+((T332-($D$437*T332))*$D$438)</f>
        <v>0</v>
      </c>
    </row>
    <row r="612" spans="2:20" ht="15" customHeight="1">
      <c r="B612" s="11" t="s">
        <v>340</v>
      </c>
      <c r="C612" s="10">
        <f t="shared" si="696"/>
        <v>2965.561239235622</v>
      </c>
      <c r="D612" s="10">
        <f t="shared" si="742"/>
        <v>3671.1271833000001</v>
      </c>
      <c r="E612" s="10">
        <f t="shared" si="742"/>
        <v>3378.3311361000001</v>
      </c>
      <c r="F612" s="10">
        <f t="shared" si="742"/>
        <v>6299.0731009000474</v>
      </c>
      <c r="G612" s="10">
        <f t="shared" si="742"/>
        <v>6127.6358804500469</v>
      </c>
      <c r="H612" s="10">
        <f t="shared" si="742"/>
        <v>6127.6358804500469</v>
      </c>
      <c r="I612" s="10">
        <f t="shared" si="742"/>
        <v>7775.6833989495535</v>
      </c>
      <c r="J612" s="10">
        <f t="shared" ref="J612:S612" si="761">+((J333-($D$437*J333))*$D$438)</f>
        <v>8232.3911868000541</v>
      </c>
      <c r="K612" s="10">
        <f t="shared" si="761"/>
        <v>8485.0482410000459</v>
      </c>
      <c r="L612" s="10">
        <f t="shared" si="761"/>
        <v>8953.8233078000376</v>
      </c>
      <c r="M612" s="10">
        <f t="shared" si="761"/>
        <v>9382.6337978500669</v>
      </c>
      <c r="N612" s="10">
        <f t="shared" si="761"/>
        <v>7460.6899770000209</v>
      </c>
      <c r="O612" s="10">
        <f t="shared" si="761"/>
        <v>5664.8584070996294</v>
      </c>
      <c r="P612" s="10">
        <f t="shared" si="761"/>
        <v>4682.9600349999955</v>
      </c>
      <c r="Q612" s="10">
        <f t="shared" si="761"/>
        <v>3673.0666920000003</v>
      </c>
      <c r="R612" s="10">
        <f t="shared" si="761"/>
        <v>3280.8626844999999</v>
      </c>
      <c r="S612" s="10">
        <f t="shared" si="761"/>
        <v>3247.9328965000004</v>
      </c>
      <c r="T612" s="10">
        <f t="shared" ref="T612" si="762">+((T333-($D$437*T333))*$D$438)</f>
        <v>3574.8587155000005</v>
      </c>
    </row>
    <row r="613" spans="2:20" ht="15" customHeight="1">
      <c r="B613" s="11" t="s">
        <v>341</v>
      </c>
      <c r="C613" s="10">
        <f t="shared" si="696"/>
        <v>9677.3464666309537</v>
      </c>
      <c r="D613" s="10">
        <f t="shared" ref="D613:I621" si="763">+((D334-($D$437*D334))*$D$438)</f>
        <v>9793.3980198999998</v>
      </c>
      <c r="E613" s="10">
        <f t="shared" si="763"/>
        <v>13248.428120550023</v>
      </c>
      <c r="F613" s="10">
        <f t="shared" si="763"/>
        <v>10957.1683553</v>
      </c>
      <c r="G613" s="10">
        <f t="shared" si="763"/>
        <v>9753.2869334999996</v>
      </c>
      <c r="H613" s="10">
        <f t="shared" si="763"/>
        <v>9753.2869334999996</v>
      </c>
      <c r="I613" s="10">
        <f t="shared" si="763"/>
        <v>12248.339296350023</v>
      </c>
      <c r="J613" s="10">
        <f t="shared" ref="J613:S613" si="764">+((J334-($D$437*J334))*$D$438)</f>
        <v>19768.256380750056</v>
      </c>
      <c r="K613" s="10">
        <f t="shared" si="764"/>
        <v>14198.838545650024</v>
      </c>
      <c r="L613" s="10">
        <f t="shared" si="764"/>
        <v>11213.090481699999</v>
      </c>
      <c r="M613" s="10">
        <f t="shared" si="764"/>
        <v>14027.261792199974</v>
      </c>
      <c r="N613" s="10">
        <f t="shared" si="764"/>
        <v>16447.177960099954</v>
      </c>
      <c r="O613" s="10">
        <f t="shared" si="764"/>
        <v>30659.304698448879</v>
      </c>
      <c r="P613" s="10">
        <f t="shared" si="764"/>
        <v>25208.31317154998</v>
      </c>
      <c r="Q613" s="10">
        <f t="shared" si="764"/>
        <v>24731.66844354997</v>
      </c>
      <c r="R613" s="10">
        <f t="shared" si="764"/>
        <v>27604.145943649961</v>
      </c>
      <c r="S613" s="10">
        <f t="shared" si="764"/>
        <v>31357.46736614998</v>
      </c>
      <c r="T613" s="10">
        <f t="shared" ref="T613" si="765">+((T334-($D$437*T334))*$D$438)</f>
        <v>31428.096645199985</v>
      </c>
    </row>
    <row r="614" spans="2:20" ht="15" customHeight="1">
      <c r="B614" s="11" t="s">
        <v>342</v>
      </c>
      <c r="C614" s="10">
        <f t="shared" si="696"/>
        <v>60916.400978156329</v>
      </c>
      <c r="D614" s="10">
        <f t="shared" si="763"/>
        <v>40598.06354664977</v>
      </c>
      <c r="E614" s="10">
        <f t="shared" si="763"/>
        <v>41432.15693739977</v>
      </c>
      <c r="F614" s="10">
        <f t="shared" si="763"/>
        <v>29355.240908200001</v>
      </c>
      <c r="G614" s="10">
        <f t="shared" si="763"/>
        <v>59759.202542200015</v>
      </c>
      <c r="H614" s="10">
        <f t="shared" si="763"/>
        <v>59759.202542200015</v>
      </c>
      <c r="I614" s="10">
        <f t="shared" si="763"/>
        <v>139520.60481850093</v>
      </c>
      <c r="J614" s="10">
        <f t="shared" ref="J614:O614" si="766">+((J335-($D$437*J335))*$D$438)</f>
        <v>181356.15165890139</v>
      </c>
      <c r="K614" s="10">
        <f t="shared" si="766"/>
        <v>188100.89781290141</v>
      </c>
      <c r="L614" s="10">
        <f t="shared" si="766"/>
        <v>211069.26913105091</v>
      </c>
      <c r="M614" s="10">
        <f t="shared" si="766"/>
        <v>279029.37026194826</v>
      </c>
      <c r="N614" s="10">
        <f t="shared" si="766"/>
        <v>369113.66108434973</v>
      </c>
      <c r="O614" s="10">
        <f t="shared" si="766"/>
        <v>400133.20278000121</v>
      </c>
      <c r="P614" s="10">
        <f t="shared" ref="P614:S621" si="767">+((P335-($D$437*P335))*$D$438)</f>
        <v>346602.0370884001</v>
      </c>
      <c r="Q614" s="10">
        <f t="shared" si="767"/>
        <v>302369.95981090027</v>
      </c>
      <c r="R614" s="10">
        <f t="shared" si="767"/>
        <v>317463.66301989992</v>
      </c>
      <c r="S614" s="10">
        <f t="shared" si="767"/>
        <v>270607.40256470023</v>
      </c>
      <c r="T614" s="10">
        <f t="shared" ref="T614" si="768">+((T335-($D$437*T335))*$D$438)</f>
        <v>242692.51197894989</v>
      </c>
    </row>
    <row r="615" spans="2:20" ht="15" customHeight="1">
      <c r="B615" s="11" t="s">
        <v>343</v>
      </c>
      <c r="C615" s="10">
        <f t="shared" si="696"/>
        <v>29309.819526670966</v>
      </c>
      <c r="D615" s="10">
        <f t="shared" si="763"/>
        <v>53265.87159869977</v>
      </c>
      <c r="E615" s="10">
        <f t="shared" si="763"/>
        <v>49793.306851049769</v>
      </c>
      <c r="F615" s="10">
        <f t="shared" si="763"/>
        <v>60140.227630849768</v>
      </c>
      <c r="G615" s="10">
        <f t="shared" si="763"/>
        <v>86171.797130150706</v>
      </c>
      <c r="H615" s="10">
        <f t="shared" si="763"/>
        <v>86171.797130150706</v>
      </c>
      <c r="I615" s="10">
        <f t="shared" si="763"/>
        <v>72650.923850450927</v>
      </c>
      <c r="J615" s="10">
        <f t="shared" ref="J615:O615" si="769">+((J336-($D$437*J336))*$D$438)</f>
        <v>11984.073096550001</v>
      </c>
      <c r="K615" s="10">
        <f t="shared" si="769"/>
        <v>14382.722109700002</v>
      </c>
      <c r="L615" s="10">
        <f t="shared" si="769"/>
        <v>12569.839607200001</v>
      </c>
      <c r="M615" s="10">
        <f t="shared" si="769"/>
        <v>21715.176608600024</v>
      </c>
      <c r="N615" s="10">
        <f t="shared" si="769"/>
        <v>25638.972473850019</v>
      </c>
      <c r="O615" s="10">
        <f t="shared" si="769"/>
        <v>44993.160026000391</v>
      </c>
      <c r="P615" s="10">
        <f t="shared" si="767"/>
        <v>141232.9863522001</v>
      </c>
      <c r="Q615" s="10">
        <f t="shared" si="767"/>
        <v>190742.78772830026</v>
      </c>
      <c r="R615" s="10">
        <f t="shared" si="767"/>
        <v>205238.14552670033</v>
      </c>
      <c r="S615" s="10">
        <f t="shared" si="767"/>
        <v>303607.23845625098</v>
      </c>
      <c r="T615" s="10">
        <f t="shared" ref="T615" si="770">+((T336-($D$437*T336))*$D$438)</f>
        <v>361537.37034240086</v>
      </c>
    </row>
    <row r="616" spans="2:20" ht="15" customHeight="1">
      <c r="B616" s="11" t="s">
        <v>344</v>
      </c>
      <c r="C616" s="10">
        <f t="shared" si="696"/>
        <v>5355.7042246871006</v>
      </c>
      <c r="D616" s="10">
        <f t="shared" si="763"/>
        <v>3007.4198644000003</v>
      </c>
      <c r="E616" s="10">
        <f t="shared" si="763"/>
        <v>1132.8730781000002</v>
      </c>
      <c r="F616" s="10">
        <f t="shared" si="763"/>
        <v>6180.0909862500002</v>
      </c>
      <c r="G616" s="10">
        <f t="shared" si="763"/>
        <v>2574.8559366500003</v>
      </c>
      <c r="H616" s="10">
        <f t="shared" si="763"/>
        <v>2574.8559366500003</v>
      </c>
      <c r="I616" s="10">
        <f t="shared" si="763"/>
        <v>1086.8085837000001</v>
      </c>
      <c r="J616" s="10">
        <f t="shared" ref="J616:O616" si="771">+((J337-($D$437*J337))*$D$438)</f>
        <v>894.61350394999999</v>
      </c>
      <c r="K616" s="10">
        <f t="shared" si="771"/>
        <v>1563.6719134000002</v>
      </c>
      <c r="L616" s="10">
        <f t="shared" si="771"/>
        <v>1123.8871529000003</v>
      </c>
      <c r="M616" s="10">
        <f t="shared" si="771"/>
        <v>2131.8642427</v>
      </c>
      <c r="N616" s="10">
        <f t="shared" si="771"/>
        <v>1031.5163069</v>
      </c>
      <c r="O616" s="10">
        <f t="shared" si="771"/>
        <v>212.48782905000002</v>
      </c>
      <c r="P616" s="10">
        <f t="shared" si="767"/>
        <v>0.11627750000000001</v>
      </c>
      <c r="Q616" s="10">
        <f t="shared" si="767"/>
        <v>0.46511000000000002</v>
      </c>
      <c r="R616" s="10">
        <f t="shared" si="767"/>
        <v>-0.11627750000000001</v>
      </c>
      <c r="S616" s="10">
        <f t="shared" si="767"/>
        <v>0</v>
      </c>
      <c r="T616" s="10">
        <f t="shared" ref="T616" si="772">+((T337-($D$437*T337))*$D$438)</f>
        <v>0.81394250000000001</v>
      </c>
    </row>
    <row r="617" spans="2:20" ht="15" customHeight="1">
      <c r="B617" s="11" t="s">
        <v>345</v>
      </c>
      <c r="C617" s="10">
        <f t="shared" si="696"/>
        <v>474.67707104815145</v>
      </c>
      <c r="D617" s="10">
        <f t="shared" si="763"/>
        <v>437.82897295000004</v>
      </c>
      <c r="E617" s="10">
        <f t="shared" si="763"/>
        <v>525.87429595000003</v>
      </c>
      <c r="F617" s="10">
        <f t="shared" si="763"/>
        <v>1130.4521805500001</v>
      </c>
      <c r="G617" s="10">
        <f t="shared" si="763"/>
        <v>1204.7814096500001</v>
      </c>
      <c r="H617" s="10">
        <f t="shared" si="763"/>
        <v>1204.7814096500001</v>
      </c>
      <c r="I617" s="10">
        <f t="shared" si="763"/>
        <v>1429.0179172999999</v>
      </c>
      <c r="J617" s="10">
        <f t="shared" ref="J617:O617" si="773">+((J338-($D$437*J338))*$D$438)</f>
        <v>1743.5671592000015</v>
      </c>
      <c r="K617" s="10">
        <f t="shared" si="773"/>
        <v>1462.6174636999999</v>
      </c>
      <c r="L617" s="10">
        <f t="shared" si="773"/>
        <v>2033.0679020500029</v>
      </c>
      <c r="M617" s="10">
        <f t="shared" si="773"/>
        <v>1673.3495025000011</v>
      </c>
      <c r="N617" s="10">
        <f t="shared" si="773"/>
        <v>872.47194239999942</v>
      </c>
      <c r="O617" s="10">
        <f t="shared" si="773"/>
        <v>230.95967270000065</v>
      </c>
      <c r="P617" s="10">
        <f t="shared" si="767"/>
        <v>263.69411450000013</v>
      </c>
      <c r="Q617" s="10">
        <f t="shared" si="767"/>
        <v>229.37829870000002</v>
      </c>
      <c r="R617" s="10">
        <f t="shared" si="767"/>
        <v>181.85800999999998</v>
      </c>
      <c r="S617" s="10">
        <f t="shared" si="767"/>
        <v>211.3041241</v>
      </c>
      <c r="T617" s="10">
        <f t="shared" ref="T617" si="774">+((T338-($D$437*T338))*$D$438)</f>
        <v>203.6809712000001</v>
      </c>
    </row>
    <row r="618" spans="2:20" ht="15" customHeight="1">
      <c r="B618" s="11" t="s">
        <v>346</v>
      </c>
      <c r="C618" s="10">
        <f t="shared" si="696"/>
        <v>625.25605047271199</v>
      </c>
      <c r="D618" s="10">
        <f t="shared" si="763"/>
        <v>634.49841090000007</v>
      </c>
      <c r="E618" s="10">
        <f t="shared" si="763"/>
        <v>653.46094560000006</v>
      </c>
      <c r="F618" s="10">
        <f t="shared" si="763"/>
        <v>1352.8189460000001</v>
      </c>
      <c r="G618" s="10">
        <f t="shared" si="763"/>
        <v>720.92747665000013</v>
      </c>
      <c r="H618" s="10">
        <f t="shared" si="763"/>
        <v>720.92747665000013</v>
      </c>
      <c r="I618" s="10">
        <f t="shared" si="763"/>
        <v>976.23100675000251</v>
      </c>
      <c r="J618" s="10">
        <f t="shared" ref="J618:O618" si="775">+((J339-($D$437*J339))*$D$438)</f>
        <v>1050.88116175</v>
      </c>
      <c r="K618" s="10">
        <f t="shared" si="775"/>
        <v>795.03810405000002</v>
      </c>
      <c r="L618" s="10">
        <f t="shared" si="775"/>
        <v>188.7137314</v>
      </c>
      <c r="M618" s="10">
        <f t="shared" si="775"/>
        <v>263.71969554999998</v>
      </c>
      <c r="N618" s="10">
        <f t="shared" si="775"/>
        <v>200.38799240000003</v>
      </c>
      <c r="O618" s="10">
        <f t="shared" si="775"/>
        <v>3107.9440886999992</v>
      </c>
      <c r="P618" s="10">
        <f t="shared" si="767"/>
        <v>4173.5064475999998</v>
      </c>
      <c r="Q618" s="10">
        <f t="shared" si="767"/>
        <v>4303.0860935999999</v>
      </c>
      <c r="R618" s="10">
        <f t="shared" si="767"/>
        <v>4870.7435464000018</v>
      </c>
      <c r="S618" s="10">
        <f t="shared" si="767"/>
        <v>3023.605692400004</v>
      </c>
      <c r="T618" s="10">
        <f t="shared" ref="T618" si="776">+((T339-($D$437*T339))*$D$438)</f>
        <v>4606.6657161500052</v>
      </c>
    </row>
    <row r="619" spans="2:20" ht="15" customHeight="1">
      <c r="B619" s="11" t="s">
        <v>347</v>
      </c>
      <c r="C619" s="10">
        <f t="shared" si="696"/>
        <v>5148.5005041245113</v>
      </c>
      <c r="D619" s="10">
        <f t="shared" si="763"/>
        <v>3145.0389367500002</v>
      </c>
      <c r="E619" s="10">
        <f t="shared" si="763"/>
        <v>3662.1528858500001</v>
      </c>
      <c r="F619" s="10">
        <f t="shared" si="763"/>
        <v>6577.6414332000004</v>
      </c>
      <c r="G619" s="10">
        <f t="shared" si="763"/>
        <v>9955.0144426999996</v>
      </c>
      <c r="H619" s="10">
        <f t="shared" si="763"/>
        <v>9955.0144426999996</v>
      </c>
      <c r="I619" s="10">
        <f t="shared" si="763"/>
        <v>40199.868922349859</v>
      </c>
      <c r="J619" s="10">
        <f t="shared" ref="J619:O619" si="777">+((J340-($D$437*J340))*$D$438)</f>
        <v>81102.998117999421</v>
      </c>
      <c r="K619" s="10">
        <f t="shared" si="777"/>
        <v>122764.47288979868</v>
      </c>
      <c r="L619" s="10">
        <f t="shared" si="777"/>
        <v>138412.76628615172</v>
      </c>
      <c r="M619" s="10">
        <f t="shared" si="777"/>
        <v>172725.81700719945</v>
      </c>
      <c r="N619" s="10">
        <f t="shared" si="777"/>
        <v>150585.64381054966</v>
      </c>
      <c r="O619" s="10">
        <f t="shared" si="777"/>
        <v>146173.66848928499</v>
      </c>
      <c r="P619" s="10">
        <f t="shared" si="767"/>
        <v>150793.37123875029</v>
      </c>
      <c r="Q619" s="10">
        <f t="shared" si="767"/>
        <v>130046.45132595015</v>
      </c>
      <c r="R619" s="10">
        <f t="shared" si="767"/>
        <v>141522.59872145011</v>
      </c>
      <c r="S619" s="10">
        <f t="shared" si="767"/>
        <v>135690.37513195013</v>
      </c>
      <c r="T619" s="10">
        <f t="shared" ref="T619" si="778">+((T340-($D$437*T340))*$D$438)</f>
        <v>115658.03394430003</v>
      </c>
    </row>
    <row r="620" spans="2:20" ht="15" customHeight="1">
      <c r="B620" s="11" t="s">
        <v>348</v>
      </c>
      <c r="C620" s="10">
        <f t="shared" si="696"/>
        <v>4276.3325486922013</v>
      </c>
      <c r="D620" s="10">
        <f t="shared" si="763"/>
        <v>5291.8960003000002</v>
      </c>
      <c r="E620" s="10">
        <f t="shared" si="763"/>
        <v>8438.6139841500008</v>
      </c>
      <c r="F620" s="10">
        <f t="shared" si="763"/>
        <v>13608.711628750001</v>
      </c>
      <c r="G620" s="10">
        <f t="shared" si="763"/>
        <v>30813.114249900002</v>
      </c>
      <c r="H620" s="10">
        <f t="shared" si="763"/>
        <v>30813.114249900002</v>
      </c>
      <c r="I620" s="10">
        <f t="shared" si="763"/>
        <v>21862.862986899698</v>
      </c>
      <c r="J620" s="10">
        <f t="shared" ref="J620:O620" si="779">+((J341-($D$437*J341))*$D$438)</f>
        <v>626.67293515000006</v>
      </c>
      <c r="K620" s="10">
        <f t="shared" si="779"/>
        <v>4607.3726833500004</v>
      </c>
      <c r="L620" s="10">
        <f t="shared" si="779"/>
        <v>4195.9782372500013</v>
      </c>
      <c r="M620" s="10">
        <f t="shared" si="779"/>
        <v>3510.3084241500001</v>
      </c>
      <c r="N620" s="10">
        <f t="shared" si="779"/>
        <v>2761.3092334499997</v>
      </c>
      <c r="O620" s="10">
        <f t="shared" si="779"/>
        <v>9542.3572229500278</v>
      </c>
      <c r="P620" s="10">
        <f t="shared" si="767"/>
        <v>63890.504908400006</v>
      </c>
      <c r="Q620" s="10">
        <f t="shared" si="767"/>
        <v>102393.19441740008</v>
      </c>
      <c r="R620" s="10">
        <f t="shared" si="767"/>
        <v>152272.43731760021</v>
      </c>
      <c r="S620" s="10">
        <f t="shared" si="767"/>
        <v>197793.94369920058</v>
      </c>
      <c r="T620" s="10">
        <f t="shared" ref="T620" si="780">+((T341-($D$437*T341))*$D$438)</f>
        <v>228626.88326285069</v>
      </c>
    </row>
    <row r="621" spans="2:20" ht="15" customHeight="1">
      <c r="B621" s="11" t="s">
        <v>349</v>
      </c>
      <c r="C621" s="10">
        <f t="shared" si="696"/>
        <v>1970.14706223644</v>
      </c>
      <c r="D621" s="10">
        <f t="shared" si="763"/>
        <v>1665.8007672000001</v>
      </c>
      <c r="E621" s="10">
        <f t="shared" si="763"/>
        <v>1847.2587826000001</v>
      </c>
      <c r="F621" s="10">
        <f t="shared" si="763"/>
        <v>1139.5567088</v>
      </c>
      <c r="G621" s="10">
        <f t="shared" si="763"/>
        <v>1763.4552628000001</v>
      </c>
      <c r="H621" s="10">
        <f t="shared" si="763"/>
        <v>1763.4552628000001</v>
      </c>
      <c r="I621" s="10">
        <f t="shared" si="763"/>
        <v>4047.6918670500004</v>
      </c>
      <c r="J621" s="10">
        <f t="shared" ref="J621:O621" si="781">+((J342-($D$437*J342))*$D$438)</f>
        <v>2822.38282755</v>
      </c>
      <c r="K621" s="10">
        <f t="shared" si="781"/>
        <v>4619.4608922500001</v>
      </c>
      <c r="L621" s="10">
        <f t="shared" si="781"/>
        <v>3277.5324969000003</v>
      </c>
      <c r="M621" s="10">
        <f t="shared" si="781"/>
        <v>3537.6359622</v>
      </c>
      <c r="N621" s="10">
        <f t="shared" si="781"/>
        <v>3006.3617391499997</v>
      </c>
      <c r="O621" s="10">
        <f t="shared" si="781"/>
        <v>81.317506850000001</v>
      </c>
      <c r="P621" s="10">
        <f t="shared" si="767"/>
        <v>0</v>
      </c>
      <c r="Q621" s="10">
        <f t="shared" si="767"/>
        <v>0</v>
      </c>
      <c r="R621" s="10">
        <f t="shared" si="767"/>
        <v>0</v>
      </c>
      <c r="S621" s="10">
        <f t="shared" si="767"/>
        <v>0.58138750000000006</v>
      </c>
      <c r="T621" s="10">
        <f t="shared" ref="T621" si="782">+((T342-($D$437*T342))*$D$438)</f>
        <v>0</v>
      </c>
    </row>
    <row r="622" spans="2:20" ht="15" customHeight="1">
      <c r="B622" s="11" t="s">
        <v>305</v>
      </c>
      <c r="C622" s="10">
        <f>+(C343*$D$438)</f>
        <v>327549.28971567715</v>
      </c>
      <c r="D622" s="10">
        <f t="shared" ref="D622:I622" si="783">+(D343*$D$438)</f>
        <v>375085.94092260004</v>
      </c>
      <c r="E622" s="10">
        <f t="shared" si="783"/>
        <v>343560.53396320005</v>
      </c>
      <c r="F622" s="10">
        <f t="shared" si="783"/>
        <v>418412.38391470007</v>
      </c>
      <c r="G622" s="10">
        <f t="shared" si="783"/>
        <v>493338.68402390002</v>
      </c>
      <c r="H622" s="10">
        <f t="shared" si="783"/>
        <v>493338.68402390002</v>
      </c>
      <c r="I622" s="10">
        <f t="shared" si="783"/>
        <v>533563.71772279998</v>
      </c>
      <c r="J622" s="10">
        <f t="shared" ref="J622:O622" si="784">+(J343*$D$438)</f>
        <v>619989.65793360001</v>
      </c>
      <c r="K622" s="10">
        <f t="shared" si="784"/>
        <v>679356.21926489996</v>
      </c>
      <c r="L622" s="10">
        <f t="shared" si="784"/>
        <v>739318.71208590001</v>
      </c>
      <c r="M622" s="10">
        <f t="shared" si="784"/>
        <v>831298.95405680011</v>
      </c>
      <c r="N622" s="10">
        <f t="shared" si="784"/>
        <v>908723.54136889987</v>
      </c>
      <c r="O622" s="10">
        <f t="shared" si="784"/>
        <v>1042180.2047959003</v>
      </c>
      <c r="P622" s="10">
        <f t="shared" ref="P622:S628" si="785">+(P343*$D$438)</f>
        <v>1202720.8095615006</v>
      </c>
      <c r="Q622" s="10">
        <f t="shared" si="785"/>
        <v>1212495.5566703991</v>
      </c>
      <c r="R622" s="10">
        <f t="shared" si="785"/>
        <v>1279042.5745525993</v>
      </c>
      <c r="S622" s="10">
        <f t="shared" si="785"/>
        <v>1409374.6196973992</v>
      </c>
      <c r="T622" s="10">
        <f t="shared" ref="T622" si="786">+(T343*$D$438)</f>
        <v>1504645.8497974996</v>
      </c>
    </row>
    <row r="623" spans="2:20" ht="15" customHeight="1">
      <c r="B623" s="11" t="s">
        <v>306</v>
      </c>
      <c r="C623" s="10">
        <f>+(C344*$D$438)</f>
        <v>83115.96478033725</v>
      </c>
      <c r="D623" s="10">
        <f t="shared" ref="D623:I624" si="787">+(D344*$D$438)</f>
        <v>109135.99176050001</v>
      </c>
      <c r="E623" s="10">
        <f t="shared" si="787"/>
        <v>69281.613522799991</v>
      </c>
      <c r="F623" s="10">
        <f t="shared" si="787"/>
        <v>58117.582843900003</v>
      </c>
      <c r="G623" s="10">
        <f t="shared" si="787"/>
        <v>57631.840564300008</v>
      </c>
      <c r="H623" s="10">
        <f t="shared" si="787"/>
        <v>57631.840564300008</v>
      </c>
      <c r="I623" s="10">
        <f t="shared" si="787"/>
        <v>69245.032621299993</v>
      </c>
      <c r="J623" s="10">
        <f t="shared" ref="J623:O623" si="788">+(J344*$D$438)</f>
        <v>72290.944989300013</v>
      </c>
      <c r="K623" s="10">
        <f t="shared" si="788"/>
        <v>57268.454772400015</v>
      </c>
      <c r="L623" s="10">
        <f t="shared" si="788"/>
        <v>62539.276638600008</v>
      </c>
      <c r="M623" s="10">
        <f t="shared" si="788"/>
        <v>85115.441623699997</v>
      </c>
      <c r="N623" s="10">
        <f t="shared" si="788"/>
        <v>129036.36496230002</v>
      </c>
      <c r="O623" s="10">
        <f t="shared" si="788"/>
        <v>127003.28543250007</v>
      </c>
      <c r="P623" s="10">
        <f t="shared" si="785"/>
        <v>135444.67379780015</v>
      </c>
      <c r="Q623" s="10">
        <f t="shared" si="785"/>
        <v>151606.73932790011</v>
      </c>
      <c r="R623" s="10">
        <f t="shared" si="785"/>
        <v>173506.00647450003</v>
      </c>
      <c r="S623" s="10">
        <f t="shared" si="785"/>
        <v>204101.32366469994</v>
      </c>
      <c r="T623" s="10">
        <f t="shared" ref="T623" si="789">+(T344*$D$438)</f>
        <v>227884.52816850017</v>
      </c>
    </row>
    <row r="624" spans="2:20" ht="15" customHeight="1">
      <c r="B624" s="11" t="s">
        <v>60</v>
      </c>
      <c r="C624" s="10">
        <f>+(C345*$D$438)</f>
        <v>0</v>
      </c>
      <c r="D624" s="10">
        <f t="shared" si="787"/>
        <v>0</v>
      </c>
      <c r="E624" s="10">
        <f t="shared" si="787"/>
        <v>0</v>
      </c>
      <c r="F624" s="10">
        <f t="shared" si="787"/>
        <v>0</v>
      </c>
      <c r="G624" s="10">
        <f t="shared" si="787"/>
        <v>0</v>
      </c>
      <c r="H624" s="10">
        <f t="shared" si="787"/>
        <v>852002.776877</v>
      </c>
      <c r="I624" s="10">
        <f t="shared" si="787"/>
        <v>1027049.5113886003</v>
      </c>
      <c r="J624" s="10">
        <f t="shared" ref="J624:O624" si="790">+(J345*$D$438)</f>
        <v>1210674.5254407001</v>
      </c>
      <c r="K624" s="10">
        <f t="shared" si="790"/>
        <v>1428090.9205123</v>
      </c>
      <c r="L624" s="10">
        <f t="shared" si="790"/>
        <v>3086466.9739938001</v>
      </c>
      <c r="M624" s="10">
        <f t="shared" si="790"/>
        <v>2722209.5827212115</v>
      </c>
      <c r="N624" s="10">
        <f t="shared" si="790"/>
        <v>3651296.1068371008</v>
      </c>
      <c r="O624" s="10">
        <f t="shared" si="790"/>
        <v>4714718.3457919005</v>
      </c>
      <c r="P624" s="10">
        <f t="shared" si="785"/>
        <v>5518281.3440565998</v>
      </c>
      <c r="Q624" s="10">
        <f t="shared" si="785"/>
        <v>5988961.8037380995</v>
      </c>
      <c r="R624" s="10">
        <f t="shared" si="785"/>
        <v>6260210.6302016005</v>
      </c>
      <c r="S624" s="10">
        <f t="shared" si="785"/>
        <v>6990903.333158805</v>
      </c>
      <c r="T624" s="10">
        <f t="shared" ref="T624" si="791">+(T345*$D$438)</f>
        <v>7782617.5937092071</v>
      </c>
    </row>
    <row r="625" spans="2:20" ht="15" customHeight="1">
      <c r="B625" s="11" t="s">
        <v>58</v>
      </c>
      <c r="C625" s="10">
        <f t="shared" ref="C625:I625" si="792">+(C346*$D$438)</f>
        <v>531394.7546847061</v>
      </c>
      <c r="D625" s="10">
        <f t="shared" si="792"/>
        <v>1141378.1074666001</v>
      </c>
      <c r="E625" s="10">
        <f t="shared" si="792"/>
        <v>1491411.270048134</v>
      </c>
      <c r="F625" s="10">
        <f t="shared" si="792"/>
        <v>1384607.6284749</v>
      </c>
      <c r="G625" s="10">
        <f t="shared" si="792"/>
        <v>1481935.295929</v>
      </c>
      <c r="H625" s="10">
        <f t="shared" si="792"/>
        <v>1481935.295929</v>
      </c>
      <c r="I625" s="10">
        <f t="shared" si="792"/>
        <v>1712695.1438848102</v>
      </c>
      <c r="J625" s="10">
        <f t="shared" ref="J625:O625" si="793">+(J346*$D$438)</f>
        <v>2009576.6052332998</v>
      </c>
      <c r="K625" s="10">
        <f t="shared" si="793"/>
        <v>2190355.4995689997</v>
      </c>
      <c r="L625" s="10">
        <f t="shared" si="793"/>
        <v>2158607.9839802003</v>
      </c>
      <c r="M625" s="10">
        <f t="shared" si="793"/>
        <v>2591884.5579232997</v>
      </c>
      <c r="N625" s="10">
        <f t="shared" si="793"/>
        <v>2783708.5217532008</v>
      </c>
      <c r="O625" s="10">
        <f t="shared" si="793"/>
        <v>2965394.0503608007</v>
      </c>
      <c r="P625" s="10">
        <f t="shared" si="785"/>
        <v>3064896.9024030003</v>
      </c>
      <c r="Q625" s="10">
        <f t="shared" si="785"/>
        <v>3161307.5264233998</v>
      </c>
      <c r="R625" s="10">
        <f t="shared" si="785"/>
        <v>3183187.6496424</v>
      </c>
      <c r="S625" s="10">
        <f t="shared" si="785"/>
        <v>3060106.8135817004</v>
      </c>
      <c r="T625" s="10">
        <f t="shared" ref="T625" si="794">+(T346*$D$438)</f>
        <v>3063590.3386465004</v>
      </c>
    </row>
    <row r="626" spans="2:20" ht="15" customHeight="1">
      <c r="B626" s="11" t="s">
        <v>56</v>
      </c>
      <c r="C626" s="10">
        <f t="shared" ref="C626:I626" si="795">+(C347*$D$438)</f>
        <v>525735.6692500572</v>
      </c>
      <c r="D626" s="10">
        <f t="shared" si="795"/>
        <v>557228.11452820012</v>
      </c>
      <c r="E626" s="10">
        <f t="shared" si="795"/>
        <v>687896.08537049999</v>
      </c>
      <c r="F626" s="10">
        <f t="shared" si="795"/>
        <v>901964.13029660005</v>
      </c>
      <c r="G626" s="10">
        <f t="shared" si="795"/>
        <v>1208012.5939354</v>
      </c>
      <c r="H626" s="10">
        <f t="shared" si="795"/>
        <v>1208012.5939354</v>
      </c>
      <c r="I626" s="10">
        <f t="shared" si="795"/>
        <v>1228530.9169343</v>
      </c>
      <c r="J626" s="10">
        <f t="shared" ref="J626:O626" si="796">+(J347*$D$438)</f>
        <v>1496810.3183693001</v>
      </c>
      <c r="K626" s="10">
        <f t="shared" si="796"/>
        <v>1688883.9625494001</v>
      </c>
      <c r="L626" s="10">
        <f t="shared" si="796"/>
        <v>1810656.3697625</v>
      </c>
      <c r="M626" s="10">
        <f t="shared" si="796"/>
        <v>2038815.9872405005</v>
      </c>
      <c r="N626" s="10">
        <f t="shared" si="796"/>
        <v>2327714.7940306999</v>
      </c>
      <c r="O626" s="10">
        <f t="shared" si="796"/>
        <v>2554277.4005105007</v>
      </c>
      <c r="P626" s="10">
        <f t="shared" si="785"/>
        <v>2776844.2841891004</v>
      </c>
      <c r="Q626" s="10">
        <f t="shared" si="785"/>
        <v>2851849.4483499005</v>
      </c>
      <c r="R626" s="10">
        <f t="shared" si="785"/>
        <v>4418350.5793689005</v>
      </c>
      <c r="S626" s="10">
        <f t="shared" si="785"/>
        <v>4597553.8763707997</v>
      </c>
      <c r="T626" s="10">
        <f t="shared" ref="T626" si="797">+(T347*$D$438)</f>
        <v>4825459.1623986</v>
      </c>
    </row>
    <row r="627" spans="2:20" ht="15" customHeight="1">
      <c r="B627" s="11" t="s">
        <v>63</v>
      </c>
      <c r="C627" s="10">
        <f t="shared" ref="C627:I627" si="798">+(C348*$D$438)</f>
        <v>298082.38114914292</v>
      </c>
      <c r="D627" s="10">
        <f t="shared" si="798"/>
        <v>286963.56780000002</v>
      </c>
      <c r="E627" s="10">
        <f t="shared" si="798"/>
        <v>337503.02429882408</v>
      </c>
      <c r="F627" s="10">
        <f t="shared" si="798"/>
        <v>417747.65335380001</v>
      </c>
      <c r="G627" s="10">
        <f t="shared" si="798"/>
        <v>489586.91141770006</v>
      </c>
      <c r="H627" s="10">
        <f t="shared" si="798"/>
        <v>489586.91141770006</v>
      </c>
      <c r="I627" s="10">
        <f t="shared" si="798"/>
        <v>497557.52939430007</v>
      </c>
      <c r="J627" s="10">
        <f t="shared" ref="J627:O627" si="799">+(J348*$D$438)</f>
        <v>662569.05101100996</v>
      </c>
      <c r="K627" s="10">
        <f t="shared" si="799"/>
        <v>734620.9569018</v>
      </c>
      <c r="L627" s="10">
        <f t="shared" si="799"/>
        <v>900725.10516320006</v>
      </c>
      <c r="M627" s="10">
        <f t="shared" si="799"/>
        <v>1024835.9412721999</v>
      </c>
      <c r="N627" s="10">
        <f t="shared" si="799"/>
        <v>1191095.9432435003</v>
      </c>
      <c r="O627" s="10">
        <f t="shared" si="799"/>
        <v>1321778.0720342002</v>
      </c>
      <c r="P627" s="10">
        <f t="shared" si="785"/>
        <v>1510419.7020820004</v>
      </c>
      <c r="Q627" s="10">
        <f t="shared" si="785"/>
        <v>1565734.3413708</v>
      </c>
      <c r="R627" s="10">
        <f t="shared" si="785"/>
        <v>1613117.3621565001</v>
      </c>
      <c r="S627" s="10">
        <f t="shared" si="785"/>
        <v>1725874.2166626002</v>
      </c>
      <c r="T627" s="10">
        <f t="shared" ref="T627" si="800">+(T348*$D$438)</f>
        <v>1689896.9814315999</v>
      </c>
    </row>
    <row r="628" spans="2:20" ht="15" customHeight="1">
      <c r="B628" s="11" t="s">
        <v>57</v>
      </c>
      <c r="C628" s="10">
        <f t="shared" ref="C628:I628" si="801">+(C349*$D$438)</f>
        <v>2494000.5636879578</v>
      </c>
      <c r="D628" s="10">
        <f t="shared" si="801"/>
        <v>3149945.1635383</v>
      </c>
      <c r="E628" s="10">
        <f t="shared" si="801"/>
        <v>3260694.8963036998</v>
      </c>
      <c r="F628" s="10">
        <f t="shared" si="801"/>
        <v>3497794.4535559998</v>
      </c>
      <c r="G628" s="10">
        <f t="shared" si="801"/>
        <v>4369430.2863133997</v>
      </c>
      <c r="H628" s="10">
        <f t="shared" si="801"/>
        <v>4369430.2863133997</v>
      </c>
      <c r="I628" s="10">
        <f t="shared" si="801"/>
        <v>4533255.4467369011</v>
      </c>
      <c r="J628" s="10">
        <f t="shared" ref="J628:O628" si="802">+(J349*$D$438)</f>
        <v>5375099.0258812001</v>
      </c>
      <c r="K628" s="10">
        <f t="shared" si="802"/>
        <v>6519791.0002378998</v>
      </c>
      <c r="L628" s="10">
        <f t="shared" si="802"/>
        <v>6724435.3537809001</v>
      </c>
      <c r="M628" s="10">
        <f t="shared" si="802"/>
        <v>7322167.8842828004</v>
      </c>
      <c r="N628" s="10">
        <f t="shared" si="802"/>
        <v>8552706.7182959002</v>
      </c>
      <c r="O628" s="10">
        <f t="shared" si="802"/>
        <v>9181714.5289014019</v>
      </c>
      <c r="P628" s="10">
        <f t="shared" si="785"/>
        <v>9387675.0507223997</v>
      </c>
      <c r="Q628" s="10">
        <f t="shared" si="785"/>
        <v>10074846.8528476</v>
      </c>
      <c r="R628" s="10">
        <f t="shared" si="785"/>
        <v>10599292.7541277</v>
      </c>
      <c r="S628" s="10">
        <f t="shared" si="785"/>
        <v>11747828.160318302</v>
      </c>
      <c r="T628" s="10">
        <f>+(T349*$D$438)</f>
        <v>12354746.152861301</v>
      </c>
    </row>
    <row r="629" spans="2:20" s="618" customFormat="1" ht="15" customHeight="1">
      <c r="B629" s="793" t="s">
        <v>53</v>
      </c>
      <c r="C629" s="794">
        <v>965592.76897280011</v>
      </c>
      <c r="D629" s="794">
        <v>848657.86264790013</v>
      </c>
      <c r="E629" s="794">
        <v>796188.42340420012</v>
      </c>
      <c r="F629" s="794">
        <v>840263.8562848001</v>
      </c>
      <c r="G629" s="794">
        <v>968714.24365400011</v>
      </c>
      <c r="H629" s="794">
        <v>968714.24365400011</v>
      </c>
      <c r="I629" s="794">
        <v>1125802.1130942001</v>
      </c>
      <c r="J629" s="794">
        <v>1435673.5530290999</v>
      </c>
      <c r="K629" s="794">
        <v>1620616.1353402999</v>
      </c>
      <c r="L629" s="794">
        <v>1739771.9592731001</v>
      </c>
      <c r="M629" s="794">
        <v>2274461.7083059</v>
      </c>
      <c r="N629" s="794">
        <v>2723954.9237865005</v>
      </c>
      <c r="O629" s="794">
        <v>3114635.4448770997</v>
      </c>
      <c r="P629" s="795">
        <v>3544022.2713325</v>
      </c>
      <c r="Q629" s="795">
        <v>3960414.4778688001</v>
      </c>
      <c r="R629" s="795">
        <f t="shared" ref="R629:S642" si="803">+(R350*$D$438)</f>
        <v>3865788.8344020001</v>
      </c>
      <c r="S629" s="795">
        <f t="shared" si="803"/>
        <v>4075095.3250053003</v>
      </c>
      <c r="T629" s="795">
        <f t="shared" ref="T629" si="804">+(T350*$D$438)</f>
        <v>4251862.7014041999</v>
      </c>
    </row>
    <row r="630" spans="2:20" ht="15" customHeight="1">
      <c r="B630" s="59" t="s">
        <v>240</v>
      </c>
      <c r="C630" s="60">
        <f t="shared" ref="C630:I630" si="805">+(C351*$D$438)</f>
        <v>105928.63282787199</v>
      </c>
      <c r="D630" s="60">
        <f t="shared" si="805"/>
        <v>122522.01923273601</v>
      </c>
      <c r="E630" s="60">
        <f t="shared" si="805"/>
        <v>111168.23409229999</v>
      </c>
      <c r="F630" s="60">
        <f t="shared" si="805"/>
        <v>107105.16708397996</v>
      </c>
      <c r="G630" s="60">
        <f t="shared" si="805"/>
        <v>98057.466904000001</v>
      </c>
      <c r="H630" s="60">
        <f t="shared" si="805"/>
        <v>98057.466904000001</v>
      </c>
      <c r="I630" s="60">
        <f t="shared" si="805"/>
        <v>91377.989636300015</v>
      </c>
      <c r="J630" s="60">
        <f t="shared" ref="J630:O630" si="806">+(J351*$D$438)</f>
        <v>120329.53832000004</v>
      </c>
      <c r="K630" s="60">
        <f t="shared" si="806"/>
        <v>135936.64855140002</v>
      </c>
      <c r="L630" s="60">
        <f>+(L351*$D$438)</f>
        <v>124629.43841010002</v>
      </c>
      <c r="M630" s="60">
        <f t="shared" si="806"/>
        <v>192992.20852349998</v>
      </c>
      <c r="N630" s="60">
        <f t="shared" si="806"/>
        <v>249908.8075809</v>
      </c>
      <c r="O630" s="60">
        <f t="shared" si="806"/>
        <v>265321.79020050005</v>
      </c>
      <c r="P630" s="60">
        <f t="shared" ref="P630:Q642" si="807">+(P351*$D$438)</f>
        <v>254028.0729003</v>
      </c>
      <c r="Q630" s="60">
        <f t="shared" si="807"/>
        <v>235381.31533260006</v>
      </c>
      <c r="R630" s="60">
        <f t="shared" si="803"/>
        <v>250471.86509580002</v>
      </c>
      <c r="S630" s="60">
        <f t="shared" si="803"/>
        <v>261043.2758682</v>
      </c>
      <c r="T630" s="60">
        <f t="shared" ref="T630" si="808">+(T351*$D$438)</f>
        <v>213928.77238770001</v>
      </c>
    </row>
    <row r="631" spans="2:20" ht="15" customHeight="1">
      <c r="B631" s="11" t="s">
        <v>241</v>
      </c>
      <c r="C631" s="10">
        <f t="shared" ref="C631:I631" si="809">+(C352*$D$438)</f>
        <v>254136.59085057027</v>
      </c>
      <c r="D631" s="10">
        <f t="shared" si="809"/>
        <v>239995.28574083341</v>
      </c>
      <c r="E631" s="10">
        <f t="shared" si="809"/>
        <v>196480.61842963003</v>
      </c>
      <c r="F631" s="10">
        <f t="shared" si="809"/>
        <v>177655.09753078234</v>
      </c>
      <c r="G631" s="10">
        <f t="shared" si="809"/>
        <v>192525.63831065473</v>
      </c>
      <c r="H631" s="10">
        <f t="shared" si="809"/>
        <v>192525.63831065473</v>
      </c>
      <c r="I631" s="10">
        <f t="shared" si="809"/>
        <v>214318.1206198</v>
      </c>
      <c r="J631" s="10">
        <f t="shared" ref="J631:O631" si="810">+(J352*$D$438)</f>
        <v>296578.8612476</v>
      </c>
      <c r="K631" s="10">
        <f t="shared" si="810"/>
        <v>454545.19844070001</v>
      </c>
      <c r="L631" s="10">
        <f t="shared" si="810"/>
        <v>619264.74678980024</v>
      </c>
      <c r="M631" s="10">
        <f t="shared" si="810"/>
        <v>539959.14301130001</v>
      </c>
      <c r="N631" s="10">
        <f t="shared" si="810"/>
        <v>542753.51924020005</v>
      </c>
      <c r="O631" s="10">
        <f t="shared" si="810"/>
        <v>555139.71946609998</v>
      </c>
      <c r="P631" s="10">
        <f t="shared" si="807"/>
        <v>616505.86310499988</v>
      </c>
      <c r="Q631" s="10">
        <f t="shared" si="807"/>
        <v>613607.93478569994</v>
      </c>
      <c r="R631" s="10">
        <f t="shared" si="803"/>
        <v>660326.88081560016</v>
      </c>
      <c r="S631" s="10">
        <f t="shared" si="803"/>
        <v>711769.33517029998</v>
      </c>
      <c r="T631" s="10">
        <f t="shared" ref="T631" si="811">+(T352*$D$438)</f>
        <v>680289.56015300017</v>
      </c>
    </row>
    <row r="632" spans="2:20" ht="15" customHeight="1">
      <c r="B632" s="11" t="s">
        <v>242</v>
      </c>
      <c r="C632" s="10">
        <f t="shared" ref="C632:I632" si="812">+(C353*$D$438)</f>
        <v>56575.512632228572</v>
      </c>
      <c r="D632" s="10">
        <f t="shared" si="812"/>
        <v>56517.390493300001</v>
      </c>
      <c r="E632" s="10">
        <f t="shared" si="812"/>
        <v>61218.224705599998</v>
      </c>
      <c r="F632" s="10">
        <f t="shared" si="812"/>
        <v>57190.260479200006</v>
      </c>
      <c r="G632" s="10">
        <f t="shared" si="812"/>
        <v>32621.243700288003</v>
      </c>
      <c r="H632" s="10">
        <f t="shared" si="812"/>
        <v>32621.243700288003</v>
      </c>
      <c r="I632" s="10">
        <f t="shared" si="812"/>
        <v>25865.230256538005</v>
      </c>
      <c r="J632" s="10">
        <f t="shared" ref="J632:O632" si="813">+(J353*$D$438)</f>
        <v>26514.060660000003</v>
      </c>
      <c r="K632" s="10">
        <f t="shared" si="813"/>
        <v>17930.841651300001</v>
      </c>
      <c r="L632" s="10">
        <f t="shared" si="813"/>
        <v>13836.482972400001</v>
      </c>
      <c r="M632" s="10">
        <f t="shared" si="813"/>
        <v>15653.081703800002</v>
      </c>
      <c r="N632" s="10">
        <f t="shared" si="813"/>
        <v>14521.9806948</v>
      </c>
      <c r="O632" s="10">
        <f t="shared" si="813"/>
        <v>29179.480490300004</v>
      </c>
      <c r="P632" s="10">
        <f t="shared" si="807"/>
        <v>5017.0252924999995</v>
      </c>
      <c r="Q632" s="10">
        <f t="shared" si="807"/>
        <v>7137.8943347999975</v>
      </c>
      <c r="R632" s="10">
        <f t="shared" si="803"/>
        <v>7137.8943347999975</v>
      </c>
      <c r="S632" s="10">
        <f t="shared" si="803"/>
        <v>7137.8943347999975</v>
      </c>
      <c r="T632" s="10">
        <f t="shared" ref="T632" si="814">+(T353*$D$438)</f>
        <v>3640.7741047</v>
      </c>
    </row>
    <row r="633" spans="2:20" ht="15" customHeight="1">
      <c r="B633" s="11" t="s">
        <v>243</v>
      </c>
      <c r="C633" s="10">
        <f t="shared" ref="C633:I633" si="815">+(C354*$D$438)</f>
        <v>45832.181363510848</v>
      </c>
      <c r="D633" s="10">
        <f t="shared" si="815"/>
        <v>50494.174133399982</v>
      </c>
      <c r="E633" s="10">
        <f t="shared" si="815"/>
        <v>51096.798556000009</v>
      </c>
      <c r="F633" s="10">
        <f t="shared" si="815"/>
        <v>44323.988455287021</v>
      </c>
      <c r="G633" s="10">
        <f t="shared" si="815"/>
        <v>32496.445013000004</v>
      </c>
      <c r="H633" s="10">
        <f t="shared" si="815"/>
        <v>32496.445013000004</v>
      </c>
      <c r="I633" s="10">
        <f t="shared" si="815"/>
        <v>30531.160800509006</v>
      </c>
      <c r="J633" s="10">
        <f t="shared" ref="J633:O633" si="816">+(J354*$D$438)</f>
        <v>33275.081012900009</v>
      </c>
      <c r="K633" s="10">
        <f t="shared" si="816"/>
        <v>35373.638728500002</v>
      </c>
      <c r="L633" s="10">
        <f t="shared" si="816"/>
        <v>37876.23285</v>
      </c>
      <c r="M633" s="10">
        <f t="shared" si="816"/>
        <v>31218.169246699996</v>
      </c>
      <c r="N633" s="10">
        <f t="shared" si="816"/>
        <v>31958.419718300007</v>
      </c>
      <c r="O633" s="10">
        <f t="shared" si="816"/>
        <v>23148.654930799996</v>
      </c>
      <c r="P633" s="10">
        <f t="shared" si="807"/>
        <v>28680.347693799999</v>
      </c>
      <c r="Q633" s="10">
        <f t="shared" si="807"/>
        <v>37795.657193599996</v>
      </c>
      <c r="R633" s="10">
        <f t="shared" si="803"/>
        <v>41061.654962500004</v>
      </c>
      <c r="S633" s="10">
        <f t="shared" si="803"/>
        <v>41420.510583000003</v>
      </c>
      <c r="T633" s="10">
        <f t="shared" ref="T633" si="817">+(T354*$D$438)</f>
        <v>41232.820093600007</v>
      </c>
    </row>
    <row r="634" spans="2:20" ht="15" customHeight="1">
      <c r="B634" s="11" t="s">
        <v>244</v>
      </c>
      <c r="C634" s="10">
        <f t="shared" ref="C634:I634" si="818">+(C355*$D$438)</f>
        <v>44306.198031009131</v>
      </c>
      <c r="D634" s="10">
        <f t="shared" si="818"/>
        <v>44888.995804328981</v>
      </c>
      <c r="E634" s="10">
        <f t="shared" si="818"/>
        <v>35330.392800699999</v>
      </c>
      <c r="F634" s="10">
        <f t="shared" si="818"/>
        <v>34330.871410699998</v>
      </c>
      <c r="G634" s="10">
        <f t="shared" si="818"/>
        <v>34566.979851099997</v>
      </c>
      <c r="H634" s="10">
        <f t="shared" si="818"/>
        <v>34566.979851099997</v>
      </c>
      <c r="I634" s="10">
        <f t="shared" si="818"/>
        <v>32719.4327003</v>
      </c>
      <c r="J634" s="10">
        <f t="shared" ref="J634:O634" si="819">+(J355*$D$438)</f>
        <v>29904.712560000004</v>
      </c>
      <c r="K634" s="10">
        <f t="shared" si="819"/>
        <v>13532.556842900001</v>
      </c>
      <c r="L634" s="10">
        <f t="shared" si="819"/>
        <v>8486.117994000002</v>
      </c>
      <c r="M634" s="10">
        <f t="shared" si="819"/>
        <v>7729.7979719000004</v>
      </c>
      <c r="N634" s="10">
        <f t="shared" si="819"/>
        <v>6798.8710047000022</v>
      </c>
      <c r="O634" s="10">
        <f t="shared" si="819"/>
        <v>1430.8271952</v>
      </c>
      <c r="P634" s="10">
        <f t="shared" si="807"/>
        <v>1215.0812705999999</v>
      </c>
      <c r="Q634" s="10">
        <f t="shared" si="807"/>
        <v>1727.9766719999998</v>
      </c>
      <c r="R634" s="10">
        <f t="shared" si="803"/>
        <v>7137.8943347999975</v>
      </c>
      <c r="S634" s="10">
        <f t="shared" si="803"/>
        <v>1727.9766719999998</v>
      </c>
      <c r="T634" s="10">
        <f t="shared" ref="T634" si="820">+(T355*$D$438)</f>
        <v>1089.7201722999998</v>
      </c>
    </row>
    <row r="635" spans="2:20" ht="15" customHeight="1">
      <c r="B635" s="9" t="s">
        <v>27</v>
      </c>
      <c r="C635" s="10">
        <f t="shared" ref="C635:I635" si="821">+(C356*$D$438)</f>
        <v>231182.52683428573</v>
      </c>
      <c r="D635" s="10">
        <f t="shared" si="821"/>
        <v>227852.27279000002</v>
      </c>
      <c r="E635" s="10">
        <f t="shared" si="821"/>
        <v>232145.70320000002</v>
      </c>
      <c r="F635" s="10">
        <f t="shared" si="821"/>
        <v>214678.96226</v>
      </c>
      <c r="G635" s="10">
        <f t="shared" si="821"/>
        <v>128726.83890839995</v>
      </c>
      <c r="H635" s="10">
        <f t="shared" si="821"/>
        <v>128726.83890839995</v>
      </c>
      <c r="I635" s="10">
        <f t="shared" si="821"/>
        <v>110558.56325320003</v>
      </c>
      <c r="J635" s="10">
        <f t="shared" ref="J635:O635" si="822">+(J356*$D$438)</f>
        <v>102020.62735409998</v>
      </c>
      <c r="K635" s="10">
        <f t="shared" si="822"/>
        <v>29494.425075699994</v>
      </c>
      <c r="L635" s="10">
        <f t="shared" si="822"/>
        <v>61455.584291899992</v>
      </c>
      <c r="M635" s="10">
        <f t="shared" si="822"/>
        <v>66852.827707199976</v>
      </c>
      <c r="N635" s="10">
        <f t="shared" si="822"/>
        <v>61957.893789700014</v>
      </c>
      <c r="O635" s="10">
        <f t="shared" si="822"/>
        <v>46038.085454200009</v>
      </c>
      <c r="P635" s="10">
        <f t="shared" si="807"/>
        <v>29787.002521200007</v>
      </c>
      <c r="Q635" s="10">
        <f t="shared" si="807"/>
        <v>34211.9288304</v>
      </c>
      <c r="R635" s="10">
        <f t="shared" si="803"/>
        <v>41235.908423999994</v>
      </c>
      <c r="S635" s="10">
        <f t="shared" si="803"/>
        <v>32340.63316300001</v>
      </c>
      <c r="T635" s="10">
        <f t="shared" ref="T635" si="823">+(T356*$D$438)</f>
        <v>28006.319583999997</v>
      </c>
    </row>
    <row r="636" spans="2:20" ht="15" customHeight="1">
      <c r="B636" s="9" t="s">
        <v>245</v>
      </c>
      <c r="C636" s="10">
        <f t="shared" ref="C636:I636" si="824">+(C357*$D$438)</f>
        <v>27950.314727083067</v>
      </c>
      <c r="D636" s="10">
        <f t="shared" si="824"/>
        <v>31865.616320000001</v>
      </c>
      <c r="E636" s="10">
        <f t="shared" si="824"/>
        <v>36712.434608000003</v>
      </c>
      <c r="F636" s="10">
        <f t="shared" si="824"/>
        <v>37376.239600000001</v>
      </c>
      <c r="G636" s="10">
        <f t="shared" si="824"/>
        <v>53971.508584100011</v>
      </c>
      <c r="H636" s="10">
        <f t="shared" si="824"/>
        <v>53971.508584100011</v>
      </c>
      <c r="I636" s="10">
        <f t="shared" si="824"/>
        <v>100482.63881490001</v>
      </c>
      <c r="J636" s="10">
        <f t="shared" ref="J636:O636" si="825">+(J357*$D$438)</f>
        <v>117253.47752180001</v>
      </c>
      <c r="K636" s="10">
        <f t="shared" si="825"/>
        <v>137049.51724840002</v>
      </c>
      <c r="L636" s="10">
        <f t="shared" si="825"/>
        <v>138885.334325</v>
      </c>
      <c r="M636" s="10">
        <f t="shared" si="825"/>
        <v>153451.24465930002</v>
      </c>
      <c r="N636" s="10">
        <f t="shared" si="825"/>
        <v>199964.42137410003</v>
      </c>
      <c r="O636" s="10">
        <f t="shared" si="825"/>
        <v>290283.15554309997</v>
      </c>
      <c r="P636" s="10">
        <f t="shared" si="807"/>
        <v>382252.0627833</v>
      </c>
      <c r="Q636" s="10">
        <f t="shared" si="807"/>
        <v>557675.67592790001</v>
      </c>
      <c r="R636" s="10">
        <f t="shared" si="803"/>
        <v>532422.69126639934</v>
      </c>
      <c r="S636" s="10">
        <f t="shared" si="803"/>
        <v>550592.3110895002</v>
      </c>
      <c r="T636" s="10">
        <f t="shared" ref="T636" si="826">+(T357*$D$438)</f>
        <v>578275.69084719999</v>
      </c>
    </row>
    <row r="637" spans="2:20" ht="15" customHeight="1">
      <c r="B637" s="9" t="s">
        <v>247</v>
      </c>
      <c r="C637" s="10">
        <f t="shared" ref="C637:I637" si="827">+(C358*$D$438)</f>
        <v>1141238.985634709</v>
      </c>
      <c r="D637" s="10">
        <f t="shared" si="827"/>
        <v>1439579.2464647465</v>
      </c>
      <c r="E637" s="10">
        <f t="shared" si="827"/>
        <v>1449687.6377663349</v>
      </c>
      <c r="F637" s="10">
        <f t="shared" si="827"/>
        <v>1218030.8838494511</v>
      </c>
      <c r="G637" s="10">
        <f t="shared" si="827"/>
        <v>1835319.6734080573</v>
      </c>
      <c r="H637" s="10">
        <f t="shared" si="827"/>
        <v>1835319.6734080573</v>
      </c>
      <c r="I637" s="10">
        <f t="shared" si="827"/>
        <v>2407412.1470786538</v>
      </c>
      <c r="J637" s="10">
        <f t="shared" ref="J637:O637" si="828">+(J358*$D$438)</f>
        <v>3361338.8771265009</v>
      </c>
      <c r="K637" s="10">
        <f t="shared" si="828"/>
        <v>4408549.9628417995</v>
      </c>
      <c r="L637" s="10">
        <f t="shared" si="828"/>
        <v>5731880.0976438001</v>
      </c>
      <c r="M637" s="10">
        <f t="shared" si="828"/>
        <v>6558616.9784056991</v>
      </c>
      <c r="N637" s="10">
        <f t="shared" si="828"/>
        <v>8856072.4693145994</v>
      </c>
      <c r="O637" s="10">
        <f t="shared" si="828"/>
        <v>9776006.0686480012</v>
      </c>
      <c r="P637" s="10">
        <f t="shared" si="807"/>
        <v>10565306.729224298</v>
      </c>
      <c r="Q637" s="10">
        <f t="shared" si="807"/>
        <v>11740629.494710898</v>
      </c>
      <c r="R637" s="10">
        <f t="shared" si="803"/>
        <v>12111655.057891201</v>
      </c>
      <c r="S637" s="10">
        <f t="shared" si="803"/>
        <v>11761206.314594503</v>
      </c>
      <c r="T637" s="10">
        <f t="shared" ref="T637" si="829">+(T358*$D$438)</f>
        <v>13572841.513003103</v>
      </c>
    </row>
    <row r="638" spans="2:20" ht="15" customHeight="1">
      <c r="B638" s="9" t="s">
        <v>246</v>
      </c>
      <c r="C638" s="10">
        <f t="shared" ref="C638:I638" si="830">+(C359*$D$438)</f>
        <v>21082.326695282653</v>
      </c>
      <c r="D638" s="10">
        <f t="shared" si="830"/>
        <v>71607.412542694001</v>
      </c>
      <c r="E638" s="10">
        <f t="shared" si="830"/>
        <v>69722.565011734987</v>
      </c>
      <c r="F638" s="10">
        <f t="shared" si="830"/>
        <v>64138.817835200003</v>
      </c>
      <c r="G638" s="10">
        <f t="shared" si="830"/>
        <v>13957.5743609</v>
      </c>
      <c r="H638" s="10">
        <f t="shared" si="830"/>
        <v>13957.5743609</v>
      </c>
      <c r="I638" s="10">
        <f t="shared" si="830"/>
        <v>47924.934400000006</v>
      </c>
      <c r="J638" s="10">
        <f t="shared" ref="J638:O638" si="831">+(J359*$D$438)</f>
        <v>51878.369400000003</v>
      </c>
      <c r="K638" s="10">
        <f t="shared" si="831"/>
        <v>52576.034400000004</v>
      </c>
      <c r="L638" s="10">
        <f t="shared" si="831"/>
        <v>52576.034400000004</v>
      </c>
      <c r="M638" s="10">
        <f t="shared" si="831"/>
        <v>40018.064400000003</v>
      </c>
      <c r="N638" s="10">
        <f t="shared" si="831"/>
        <v>27460.094400000002</v>
      </c>
      <c r="O638" s="10">
        <f t="shared" si="831"/>
        <v>69543.247199999998</v>
      </c>
      <c r="P638" s="10">
        <f t="shared" si="807"/>
        <v>117207.72</v>
      </c>
      <c r="Q638" s="10">
        <f t="shared" si="807"/>
        <v>123068.106</v>
      </c>
      <c r="R638" s="10">
        <f t="shared" si="803"/>
        <v>129224.30196000001</v>
      </c>
      <c r="S638" s="10">
        <f t="shared" si="803"/>
        <v>135681.88920000001</v>
      </c>
      <c r="T638" s="10">
        <f t="shared" ref="T638" si="832">+(T359*$D$438)</f>
        <v>142468.77432</v>
      </c>
    </row>
    <row r="639" spans="2:20" ht="15" customHeight="1">
      <c r="B639" s="9" t="s">
        <v>350</v>
      </c>
      <c r="C639" s="10">
        <f t="shared" ref="C639:I639" si="833">+(C360*$D$438)</f>
        <v>921598.39813259174</v>
      </c>
      <c r="D639" s="10">
        <f t="shared" si="833"/>
        <v>1467271.3962199001</v>
      </c>
      <c r="E639" s="10">
        <f t="shared" si="833"/>
        <v>1584680.699545</v>
      </c>
      <c r="F639" s="10">
        <f t="shared" si="833"/>
        <v>1574422.6380306999</v>
      </c>
      <c r="G639" s="10">
        <f t="shared" si="833"/>
        <v>1718054.852458</v>
      </c>
      <c r="H639" s="10">
        <f t="shared" si="833"/>
        <v>1718054.852458</v>
      </c>
      <c r="I639" s="10">
        <f t="shared" si="833"/>
        <v>1911489.8317481999</v>
      </c>
      <c r="J639" s="10">
        <f t="shared" ref="J639:O639" si="834">+(J360*$D$438)</f>
        <v>2471951.9119195994</v>
      </c>
      <c r="K639" s="10">
        <f t="shared" si="834"/>
        <v>2821817.8770374004</v>
      </c>
      <c r="L639" s="10">
        <f t="shared" si="834"/>
        <v>3480249.9927350008</v>
      </c>
      <c r="M639" s="10">
        <f t="shared" si="834"/>
        <v>4336659.8449994009</v>
      </c>
      <c r="N639" s="10">
        <f t="shared" si="834"/>
        <v>5818470.1658714004</v>
      </c>
      <c r="O639" s="10">
        <f t="shared" si="834"/>
        <v>6691070.2925873995</v>
      </c>
      <c r="P639" s="10">
        <f t="shared" si="807"/>
        <v>6817217.7384110996</v>
      </c>
      <c r="Q639" s="10">
        <f t="shared" si="807"/>
        <v>6819680.2493527997</v>
      </c>
      <c r="R639" s="10">
        <f t="shared" si="803"/>
        <v>6646725.5238079997</v>
      </c>
      <c r="S639" s="10">
        <f t="shared" si="803"/>
        <v>8158811.7708331989</v>
      </c>
      <c r="T639" s="10">
        <f t="shared" ref="T639" si="835">+(T360*$D$438)</f>
        <v>10553183.167313201</v>
      </c>
    </row>
    <row r="640" spans="2:20" ht="15" customHeight="1">
      <c r="B640" s="9" t="s">
        <v>309</v>
      </c>
      <c r="C640" s="10">
        <f t="shared" ref="C640:I640" si="836">+(C361*$D$438)</f>
        <v>170375.50057088834</v>
      </c>
      <c r="D640" s="10">
        <f t="shared" si="836"/>
        <v>284810.96895349998</v>
      </c>
      <c r="E640" s="10">
        <f t="shared" si="836"/>
        <v>305204.37270860001</v>
      </c>
      <c r="F640" s="10">
        <f t="shared" si="836"/>
        <v>349764.72462409997</v>
      </c>
      <c r="G640" s="10">
        <f t="shared" si="836"/>
        <v>612016.49580530007</v>
      </c>
      <c r="H640" s="10">
        <f t="shared" si="836"/>
        <v>612016.49580530007</v>
      </c>
      <c r="I640" s="10">
        <f t="shared" si="836"/>
        <v>752624.56501260004</v>
      </c>
      <c r="J640" s="10">
        <f t="shared" ref="J640:O640" si="837">+(J361*$D$438)</f>
        <v>1055887.5267213001</v>
      </c>
      <c r="K640" s="10">
        <f t="shared" si="837"/>
        <v>1286950.6352342002</v>
      </c>
      <c r="L640" s="10">
        <f t="shared" si="837"/>
        <v>1380734.3365789999</v>
      </c>
      <c r="M640" s="10">
        <f t="shared" si="837"/>
        <v>1899195.1512169999</v>
      </c>
      <c r="N640" s="10">
        <f t="shared" si="837"/>
        <v>2405242.8776199995</v>
      </c>
      <c r="O640" s="10">
        <f t="shared" si="837"/>
        <v>2851974.4141047006</v>
      </c>
      <c r="P640" s="10">
        <f t="shared" si="807"/>
        <v>3390704.9225400002</v>
      </c>
      <c r="Q640" s="10">
        <f t="shared" si="807"/>
        <v>3510665.3170063002</v>
      </c>
      <c r="R640" s="10">
        <f t="shared" si="803"/>
        <v>3693836.2302120999</v>
      </c>
      <c r="S640" s="10">
        <f t="shared" si="803"/>
        <v>3827755.5246028006</v>
      </c>
      <c r="T640" s="10">
        <f t="shared" ref="T640" si="838">+(T361*$D$438)</f>
        <v>5065071.1089889994</v>
      </c>
    </row>
    <row r="641" spans="2:20" ht="15" customHeight="1">
      <c r="B641" s="9" t="s">
        <v>308</v>
      </c>
      <c r="C641" s="10">
        <f t="shared" ref="C641:I641" si="839">+(C362*$D$438)</f>
        <v>138670.49838282578</v>
      </c>
      <c r="D641" s="10">
        <f t="shared" si="839"/>
        <v>221795.90338930002</v>
      </c>
      <c r="E641" s="10">
        <f t="shared" si="839"/>
        <v>210127.88881660003</v>
      </c>
      <c r="F641" s="10">
        <f t="shared" si="839"/>
        <v>194121.66304309998</v>
      </c>
      <c r="G641" s="10">
        <f t="shared" si="839"/>
        <v>203644.76703759999</v>
      </c>
      <c r="H641" s="10">
        <f t="shared" si="839"/>
        <v>203644.76703759999</v>
      </c>
      <c r="I641" s="10">
        <f t="shared" si="839"/>
        <v>220408.1918911</v>
      </c>
      <c r="J641" s="10">
        <f t="shared" ref="J641:O641" si="840">+(J362*$D$438)</f>
        <v>260008.77355510002</v>
      </c>
      <c r="K641" s="10">
        <f t="shared" si="840"/>
        <v>383461.19529700006</v>
      </c>
      <c r="L641" s="10">
        <f t="shared" si="840"/>
        <v>423129.43651269999</v>
      </c>
      <c r="M641" s="10">
        <f t="shared" si="840"/>
        <v>508493.61431329994</v>
      </c>
      <c r="N641" s="10">
        <f t="shared" si="840"/>
        <v>673673.58900470007</v>
      </c>
      <c r="O641" s="10">
        <f t="shared" si="840"/>
        <v>765649.75196090003</v>
      </c>
      <c r="P641" s="10">
        <f t="shared" si="807"/>
        <v>926306.03888570005</v>
      </c>
      <c r="Q641" s="10">
        <f t="shared" si="807"/>
        <v>1060393.6147255001</v>
      </c>
      <c r="R641" s="10">
        <f t="shared" si="803"/>
        <v>1104522.0003796001</v>
      </c>
      <c r="S641" s="10">
        <f t="shared" si="803"/>
        <v>1393967.3811863002</v>
      </c>
      <c r="T641" s="10">
        <f t="shared" ref="T641" si="841">+(T362*$D$438)</f>
        <v>1672233.6570989997</v>
      </c>
    </row>
    <row r="642" spans="2:20" ht="15" customHeight="1">
      <c r="B642" s="9" t="s">
        <v>278</v>
      </c>
      <c r="C642" s="10">
        <f t="shared" ref="C642:I642" si="842">+(C363*$D$438)</f>
        <v>13102.809161353849</v>
      </c>
      <c r="D642" s="10">
        <f t="shared" si="842"/>
        <v>153437.71771013335</v>
      </c>
      <c r="E642" s="10">
        <f t="shared" si="842"/>
        <v>121735.6077099</v>
      </c>
      <c r="F642" s="10">
        <f t="shared" si="842"/>
        <v>177717.96821690002</v>
      </c>
      <c r="G642" s="10">
        <f t="shared" si="842"/>
        <v>239888.49634529997</v>
      </c>
      <c r="H642" s="10">
        <f t="shared" si="842"/>
        <v>239888.49634529997</v>
      </c>
      <c r="I642" s="10">
        <f t="shared" si="842"/>
        <v>285915.23311549996</v>
      </c>
      <c r="J642" s="10">
        <f t="shared" ref="J642:O642" si="843">+(J363*$D$438)</f>
        <v>266917.43842640007</v>
      </c>
      <c r="K642" s="10">
        <f t="shared" si="843"/>
        <v>576711.55847490008</v>
      </c>
      <c r="L642" s="10">
        <f t="shared" si="843"/>
        <v>766536.3120852001</v>
      </c>
      <c r="M642" s="10">
        <f t="shared" si="843"/>
        <v>918463.274997</v>
      </c>
      <c r="N642" s="10">
        <f t="shared" si="843"/>
        <v>1007998.5964863999</v>
      </c>
      <c r="O642" s="10">
        <f t="shared" si="843"/>
        <v>1195480.7724196</v>
      </c>
      <c r="P642" s="10">
        <f t="shared" si="807"/>
        <v>1221801.6310367</v>
      </c>
      <c r="Q642" s="10">
        <f t="shared" si="807"/>
        <v>1255020.9360584002</v>
      </c>
      <c r="R642" s="10">
        <f t="shared" si="803"/>
        <v>1374820.8164125998</v>
      </c>
      <c r="S642" s="10">
        <f t="shared" si="803"/>
        <v>1748294.8395615004</v>
      </c>
      <c r="T642" s="10">
        <f t="shared" ref="T642" si="844">+(T363*$D$438)</f>
        <v>1952843.6409060999</v>
      </c>
    </row>
    <row r="643" spans="2:20" s="618" customFormat="1" ht="15" customHeight="1" thickBot="1">
      <c r="B643" s="796" t="s">
        <v>361</v>
      </c>
      <c r="C643" s="797">
        <f>'INPUT MAT'!D28*1000-SUM(C579:C642)</f>
        <v>502959.28415578976</v>
      </c>
      <c r="D643" s="797">
        <f>'INPUT MAT'!E28*1000-SUM(D579:D642)</f>
        <v>326641.34505179897</v>
      </c>
      <c r="E643" s="797">
        <f>'INPUT MAT'!F28*1000-SUM(E579:E642)</f>
        <v>94078.159965805709</v>
      </c>
      <c r="F643" s="797">
        <f>'INPUT MAT'!G28*1000-SUM(F579:F642)</f>
        <v>23730.018161304295</v>
      </c>
      <c r="G643" s="797">
        <f>'INPUT MAT'!H28*1000-SUM(G579:G642)</f>
        <v>331999.63438529894</v>
      </c>
      <c r="H643" s="797">
        <f>'INPUT MAT'!I28*1000-SUM(H579:H642)</f>
        <v>331999.63438530266</v>
      </c>
      <c r="I643" s="797">
        <f>'INPUT MAT'!J28*1000-SUM(I579:I642)</f>
        <v>512944.72908716649</v>
      </c>
      <c r="J643" s="797">
        <f>'INPUT MAT'!K28*1000-SUM(J579:J642)</f>
        <v>710344.86059329659</v>
      </c>
      <c r="K643" s="797">
        <f>'INPUT MAT'!L28*1000-SUM(K579:K642)</f>
        <v>798488.23402452469</v>
      </c>
      <c r="L643" s="797">
        <f>'INPUT MAT'!M28*1000-SUM(L579:L642)</f>
        <v>1104971.9161121696</v>
      </c>
      <c r="M643" s="797">
        <f>'INPUT MAT'!N28*1000-SUM(M579:M642)</f>
        <v>1291964.3621912897</v>
      </c>
      <c r="N643" s="797">
        <f>'INPUT MAT'!O28*1000-SUM(N579:N642)</f>
        <v>1511102.09830378</v>
      </c>
      <c r="O643" s="797">
        <f>'INPUT MAT'!P28*1000-SUM(O579:O642)</f>
        <v>1909858.2552069277</v>
      </c>
      <c r="P643" s="797">
        <f>'INPUT MAT'!Q28*1000-SUM(P579:P642)</f>
        <v>2470291.2350287139</v>
      </c>
      <c r="Q643" s="797">
        <f>'INPUT MAT'!R28*1000-SUM(Q579:Q642)</f>
        <v>2734191.5177118778</v>
      </c>
      <c r="R643" s="797">
        <f>'INPUT MAT'!S28*1000-SUM(R579:R642)</f>
        <v>2508808.3791801184</v>
      </c>
      <c r="S643" s="797">
        <f>'INPUT MAT'!T28*1000-SUM(S579:S642)</f>
        <v>2761653.0707339197</v>
      </c>
      <c r="T643" s="797">
        <f>'INPUT MAT'!U28*1000-SUM(T579:T642)</f>
        <v>2577832.8468673229</v>
      </c>
    </row>
    <row r="644" spans="2:20" ht="15" customHeight="1">
      <c r="C644" s="3"/>
      <c r="D644" s="3"/>
      <c r="E644" s="3"/>
      <c r="F644" s="3"/>
      <c r="G644" s="3"/>
      <c r="H644" s="3"/>
      <c r="I644" s="3"/>
      <c r="J644" s="3"/>
      <c r="M644" s="29"/>
      <c r="N644" s="29"/>
      <c r="O644" s="29"/>
      <c r="P644" s="680"/>
    </row>
    <row r="645" spans="2:20" ht="15" customHeight="1">
      <c r="C645" s="33">
        <v>2001</v>
      </c>
      <c r="D645" s="33">
        <f t="shared" ref="D645:K645" si="845">C645+1</f>
        <v>2002</v>
      </c>
      <c r="E645" s="33">
        <f t="shared" si="845"/>
        <v>2003</v>
      </c>
      <c r="F645" s="33">
        <f t="shared" si="845"/>
        <v>2004</v>
      </c>
      <c r="G645" s="34">
        <f t="shared" si="845"/>
        <v>2005</v>
      </c>
      <c r="H645" s="33">
        <f>F645+1</f>
        <v>2005</v>
      </c>
      <c r="I645" s="33">
        <f>H645+1</f>
        <v>2006</v>
      </c>
      <c r="J645" s="33">
        <f t="shared" si="845"/>
        <v>2007</v>
      </c>
      <c r="K645" s="33">
        <f t="shared" si="845"/>
        <v>2008</v>
      </c>
      <c r="L645" s="33">
        <f>K645+1</f>
        <v>2009</v>
      </c>
      <c r="M645" s="33">
        <f>L645+1</f>
        <v>2010</v>
      </c>
      <c r="N645" s="33">
        <f>M645+1</f>
        <v>2011</v>
      </c>
      <c r="O645" s="33">
        <f>N645+1</f>
        <v>2012</v>
      </c>
      <c r="P645" s="33">
        <f t="shared" ref="P645:T645" si="846">O645+1</f>
        <v>2013</v>
      </c>
      <c r="Q645" s="33">
        <f t="shared" si="846"/>
        <v>2014</v>
      </c>
      <c r="R645" s="33">
        <f t="shared" si="846"/>
        <v>2015</v>
      </c>
      <c r="S645" s="33">
        <f t="shared" si="846"/>
        <v>2016</v>
      </c>
      <c r="T645" s="33">
        <f t="shared" si="846"/>
        <v>2017</v>
      </c>
    </row>
    <row r="646" spans="2:20" ht="15" customHeight="1">
      <c r="B646" s="55" t="s">
        <v>251</v>
      </c>
      <c r="C646" s="56">
        <f t="shared" ref="C646:I646" si="847">SUM(C647:C711)</f>
        <v>562285.71428571432</v>
      </c>
      <c r="D646" s="56">
        <f t="shared" si="847"/>
        <v>644000</v>
      </c>
      <c r="E646" s="56">
        <f t="shared" si="847"/>
        <v>692000</v>
      </c>
      <c r="F646" s="56">
        <f t="shared" si="847"/>
        <v>774000</v>
      </c>
      <c r="G646" s="56">
        <f t="shared" si="847"/>
        <v>893681.69299999997</v>
      </c>
      <c r="H646" s="56">
        <f t="shared" si="847"/>
        <v>912000</v>
      </c>
      <c r="I646" s="56">
        <f t="shared" si="847"/>
        <v>998000</v>
      </c>
      <c r="J646" s="56">
        <f t="shared" ref="J646:O646" si="848">SUM(J647:J711)</f>
        <v>1204000</v>
      </c>
      <c r="K646" s="56">
        <f t="shared" si="848"/>
        <v>1373000</v>
      </c>
      <c r="L646" s="56">
        <f t="shared" si="848"/>
        <v>1543000</v>
      </c>
      <c r="M646" s="56">
        <f t="shared" si="848"/>
        <v>1746000</v>
      </c>
      <c r="N646" s="56">
        <f t="shared" si="848"/>
        <v>2032000</v>
      </c>
      <c r="O646" s="56">
        <f t="shared" si="848"/>
        <v>2312181.11</v>
      </c>
      <c r="P646" s="56">
        <f t="shared" ref="P646:T646" si="849">SUM(P647:P711)</f>
        <v>2583000</v>
      </c>
      <c r="Q646" s="56">
        <f t="shared" si="849"/>
        <v>2743000</v>
      </c>
      <c r="R646" s="56">
        <f t="shared" si="849"/>
        <v>2909228.58</v>
      </c>
      <c r="S646" s="56">
        <f t="shared" si="849"/>
        <v>3131000</v>
      </c>
      <c r="T646" s="56">
        <f t="shared" si="849"/>
        <v>3492000</v>
      </c>
    </row>
    <row r="647" spans="2:20" ht="15" customHeight="1">
      <c r="B647" s="9" t="s">
        <v>61</v>
      </c>
      <c r="C647" s="10">
        <f>(C300*$C$439)</f>
        <v>230252.34490409947</v>
      </c>
      <c r="D647" s="10">
        <f t="shared" ref="D647:I647" si="850">(D300*$C$439)</f>
        <v>242065.04140000002</v>
      </c>
      <c r="E647" s="10">
        <f t="shared" si="850"/>
        <v>274523.21360000002</v>
      </c>
      <c r="F647" s="10">
        <f t="shared" si="850"/>
        <v>306885.7415</v>
      </c>
      <c r="G647" s="10">
        <f t="shared" si="850"/>
        <v>344759.37829999998</v>
      </c>
      <c r="H647" s="10">
        <f t="shared" si="850"/>
        <v>344759.37829999998</v>
      </c>
      <c r="I647" s="10">
        <f t="shared" si="850"/>
        <v>379791.88319999998</v>
      </c>
      <c r="J647" s="10">
        <f t="shared" ref="J647:O647" si="851">(J300*$C$439)</f>
        <v>457575.48119999992</v>
      </c>
      <c r="K647" s="10">
        <f t="shared" si="851"/>
        <v>501685.31932773115</v>
      </c>
      <c r="L647" s="10">
        <f t="shared" si="851"/>
        <v>529664.24579831935</v>
      </c>
      <c r="M647" s="10">
        <f t="shared" si="851"/>
        <v>553991.88239495805</v>
      </c>
      <c r="N647" s="10">
        <f t="shared" si="851"/>
        <v>613816.39819220989</v>
      </c>
      <c r="O647" s="10">
        <f t="shared" si="851"/>
        <v>674068.02312903386</v>
      </c>
      <c r="P647" s="10">
        <f t="shared" ref="P647:S649" si="852">(P300*$C$439)</f>
        <v>748141.76929999993</v>
      </c>
      <c r="Q647" s="10">
        <f t="shared" si="852"/>
        <v>760979.11109999986</v>
      </c>
      <c r="R647" s="10">
        <f t="shared" si="852"/>
        <v>812918.24710000015</v>
      </c>
      <c r="S647" s="10">
        <f t="shared" si="852"/>
        <v>878847.72929999989</v>
      </c>
      <c r="T647" s="10">
        <f t="shared" ref="T647" si="853">(T300*$C$439)</f>
        <v>944987.96446101693</v>
      </c>
    </row>
    <row r="648" spans="2:20" ht="15" customHeight="1">
      <c r="B648" s="11" t="s">
        <v>62</v>
      </c>
      <c r="C648" s="10">
        <f>(C301*$C$439)</f>
        <v>28998.549551049706</v>
      </c>
      <c r="D648" s="10">
        <f t="shared" ref="D648:I649" si="854">(D301*$C$439)</f>
        <v>32147.491599999998</v>
      </c>
      <c r="E648" s="10">
        <f t="shared" si="854"/>
        <v>41489.415900000007</v>
      </c>
      <c r="F648" s="10">
        <f t="shared" si="854"/>
        <v>46302.692000000003</v>
      </c>
      <c r="G648" s="10">
        <f t="shared" si="854"/>
        <v>49936.2353</v>
      </c>
      <c r="H648" s="10">
        <f t="shared" si="854"/>
        <v>49936.2353</v>
      </c>
      <c r="I648" s="10">
        <f t="shared" si="854"/>
        <v>66705.524799999999</v>
      </c>
      <c r="J648" s="10">
        <f t="shared" ref="J648:O649" si="855">(J301*$C$439)</f>
        <v>86738.39910000001</v>
      </c>
      <c r="K648" s="10">
        <f t="shared" si="855"/>
        <v>95315.207983193293</v>
      </c>
      <c r="L648" s="10">
        <f t="shared" si="855"/>
        <v>98332.156470588219</v>
      </c>
      <c r="M648" s="10">
        <f t="shared" si="855"/>
        <v>146143.16197647064</v>
      </c>
      <c r="N648" s="10">
        <f t="shared" si="855"/>
        <v>186415.99238169982</v>
      </c>
      <c r="O648" s="10">
        <f t="shared" si="855"/>
        <v>256712.3693907797</v>
      </c>
      <c r="P648" s="10">
        <f t="shared" si="852"/>
        <v>318086.60616949166</v>
      </c>
      <c r="Q648" s="10">
        <f t="shared" si="852"/>
        <v>363035.2047</v>
      </c>
      <c r="R648" s="10">
        <f t="shared" si="852"/>
        <v>430258.33510000008</v>
      </c>
      <c r="S648" s="10">
        <f t="shared" si="852"/>
        <v>475610.40969491517</v>
      </c>
      <c r="T648" s="10">
        <f t="shared" ref="T648:T649" si="856">(T301*$C$439)</f>
        <v>530036.05339830508</v>
      </c>
    </row>
    <row r="649" spans="2:20" ht="15" customHeight="1">
      <c r="B649" s="11" t="s">
        <v>588</v>
      </c>
      <c r="C649" s="10">
        <f>(C302*$C$439)</f>
        <v>0</v>
      </c>
      <c r="D649" s="10">
        <f t="shared" si="854"/>
        <v>0</v>
      </c>
      <c r="E649" s="10">
        <f t="shared" si="854"/>
        <v>0</v>
      </c>
      <c r="F649" s="10">
        <f t="shared" si="854"/>
        <v>0</v>
      </c>
      <c r="G649" s="10">
        <f t="shared" si="854"/>
        <v>0</v>
      </c>
      <c r="H649" s="10">
        <f t="shared" si="854"/>
        <v>0</v>
      </c>
      <c r="I649" s="10">
        <f t="shared" si="854"/>
        <v>0</v>
      </c>
      <c r="J649" s="10">
        <f t="shared" si="855"/>
        <v>0</v>
      </c>
      <c r="K649" s="10">
        <f t="shared" si="855"/>
        <v>0</v>
      </c>
      <c r="L649" s="10">
        <f t="shared" si="855"/>
        <v>0</v>
      </c>
      <c r="M649" s="10">
        <f t="shared" si="855"/>
        <v>0</v>
      </c>
      <c r="N649" s="10">
        <f t="shared" si="855"/>
        <v>0</v>
      </c>
      <c r="O649" s="10">
        <f t="shared" si="855"/>
        <v>0</v>
      </c>
      <c r="P649" s="10">
        <f t="shared" si="852"/>
        <v>0</v>
      </c>
      <c r="Q649" s="10">
        <f t="shared" si="852"/>
        <v>0</v>
      </c>
      <c r="R649" s="10">
        <f t="shared" si="852"/>
        <v>0</v>
      </c>
      <c r="S649" s="10">
        <f t="shared" si="852"/>
        <v>0</v>
      </c>
      <c r="T649" s="10">
        <f t="shared" si="856"/>
        <v>0</v>
      </c>
    </row>
    <row r="650" spans="2:20" ht="15" customHeight="1">
      <c r="B650" s="11" t="s">
        <v>310</v>
      </c>
      <c r="C650" s="10">
        <f t="shared" ref="C650:C685" si="857">(C303*$C$439)</f>
        <v>52.505940776965019</v>
      </c>
      <c r="D650" s="10">
        <f t="shared" ref="D650:I659" si="858">(D303*$C$439)</f>
        <v>42.034799999999997</v>
      </c>
      <c r="E650" s="10">
        <f t="shared" si="858"/>
        <v>46.426099999999998</v>
      </c>
      <c r="F650" s="10">
        <f t="shared" si="858"/>
        <v>46.180600000000005</v>
      </c>
      <c r="G650" s="10">
        <f t="shared" si="858"/>
        <v>46.705200000000005</v>
      </c>
      <c r="H650" s="10">
        <f t="shared" si="858"/>
        <v>46.705200000000005</v>
      </c>
      <c r="I650" s="10">
        <f t="shared" si="858"/>
        <v>51.732399999999998</v>
      </c>
      <c r="J650" s="10">
        <f t="shared" ref="J650:O650" si="859">(J303*$C$439)</f>
        <v>65.28</v>
      </c>
      <c r="K650" s="10">
        <f t="shared" si="859"/>
        <v>78.710000000000008</v>
      </c>
      <c r="L650" s="10">
        <f t="shared" si="859"/>
        <v>86.817200000000014</v>
      </c>
      <c r="M650" s="10">
        <f t="shared" si="859"/>
        <v>96.271299999999982</v>
      </c>
      <c r="N650" s="10">
        <f t="shared" si="859"/>
        <v>87.621099999999984</v>
      </c>
      <c r="O650" s="10">
        <f t="shared" si="859"/>
        <v>99.176799999999645</v>
      </c>
      <c r="P650" s="10">
        <f t="shared" ref="P650:S667" si="860">(P303*$C$439)</f>
        <v>76.866800000000083</v>
      </c>
      <c r="Q650" s="10">
        <f t="shared" si="860"/>
        <v>96.43610000000001</v>
      </c>
      <c r="R650" s="10">
        <f t="shared" si="860"/>
        <v>72.459300000000042</v>
      </c>
      <c r="S650" s="10">
        <f t="shared" si="860"/>
        <v>65.054700000000068</v>
      </c>
      <c r="T650" s="10">
        <f t="shared" ref="T650" si="861">(T303*$C$439)</f>
        <v>70.747500000000059</v>
      </c>
    </row>
    <row r="651" spans="2:20" ht="15" customHeight="1">
      <c r="B651" s="11" t="s">
        <v>311</v>
      </c>
      <c r="C651" s="10">
        <f t="shared" si="857"/>
        <v>97.825322511420197</v>
      </c>
      <c r="D651" s="10">
        <f t="shared" si="858"/>
        <v>146.41990000000001</v>
      </c>
      <c r="E651" s="10">
        <f t="shared" si="858"/>
        <v>129.61020000000002</v>
      </c>
      <c r="F651" s="10">
        <f t="shared" si="858"/>
        <v>107.06870000000001</v>
      </c>
      <c r="G651" s="10">
        <f t="shared" si="858"/>
        <v>78.685900000000004</v>
      </c>
      <c r="H651" s="10">
        <f t="shared" si="858"/>
        <v>78.685900000000004</v>
      </c>
      <c r="I651" s="10">
        <f t="shared" si="858"/>
        <v>66.968299999999999</v>
      </c>
      <c r="J651" s="10">
        <f t="shared" ref="J651:O651" si="862">(J304*$C$439)</f>
        <v>82.398499999999999</v>
      </c>
      <c r="K651" s="10">
        <f t="shared" si="862"/>
        <v>95.0274</v>
      </c>
      <c r="L651" s="10">
        <f t="shared" si="862"/>
        <v>80.0685</v>
      </c>
      <c r="M651" s="10">
        <f t="shared" si="862"/>
        <v>123.42420000000003</v>
      </c>
      <c r="N651" s="10">
        <f t="shared" si="862"/>
        <v>121.6032</v>
      </c>
      <c r="O651" s="10">
        <f t="shared" si="862"/>
        <v>153.21419999999989</v>
      </c>
      <c r="P651" s="10">
        <f t="shared" si="860"/>
        <v>153.35670000000002</v>
      </c>
      <c r="Q651" s="10">
        <f t="shared" si="860"/>
        <v>161.14439999999991</v>
      </c>
      <c r="R651" s="10">
        <f t="shared" si="860"/>
        <v>153.69109999999998</v>
      </c>
      <c r="S651" s="10">
        <f t="shared" si="860"/>
        <v>165.52209999999997</v>
      </c>
      <c r="T651" s="10">
        <f t="shared" ref="T651" si="863">(T304*$C$439)</f>
        <v>128.01469999999992</v>
      </c>
    </row>
    <row r="652" spans="2:20" ht="15" customHeight="1">
      <c r="B652" s="11" t="s">
        <v>312</v>
      </c>
      <c r="C652" s="10">
        <f t="shared" si="857"/>
        <v>530.29932000162137</v>
      </c>
      <c r="D652" s="10">
        <f t="shared" si="858"/>
        <v>463.87529999999998</v>
      </c>
      <c r="E652" s="10">
        <f t="shared" si="858"/>
        <v>401.97129999999999</v>
      </c>
      <c r="F652" s="10">
        <f t="shared" si="858"/>
        <v>303.34750000000003</v>
      </c>
      <c r="G652" s="10">
        <f t="shared" si="858"/>
        <v>84.519800000000004</v>
      </c>
      <c r="H652" s="10">
        <f t="shared" si="858"/>
        <v>84.519800000000004</v>
      </c>
      <c r="I652" s="10">
        <f t="shared" si="858"/>
        <v>555.68289999999899</v>
      </c>
      <c r="J652" s="10">
        <f t="shared" ref="J652:O652" si="864">(J305*$C$439)</f>
        <v>1405.2151000000001</v>
      </c>
      <c r="K652" s="10">
        <f t="shared" si="864"/>
        <v>2212.4713000000006</v>
      </c>
      <c r="L652" s="10">
        <f t="shared" si="864"/>
        <v>3722.259299999997</v>
      </c>
      <c r="M652" s="10">
        <f t="shared" si="864"/>
        <v>3432.2402999999968</v>
      </c>
      <c r="N652" s="10">
        <f t="shared" si="864"/>
        <v>5852.7923000000119</v>
      </c>
      <c r="O652" s="10">
        <f t="shared" si="864"/>
        <v>6218.3708000000406</v>
      </c>
      <c r="P652" s="10">
        <f t="shared" si="860"/>
        <v>5777.1112000000012</v>
      </c>
      <c r="Q652" s="10">
        <f t="shared" si="860"/>
        <v>5255.5842000000021</v>
      </c>
      <c r="R652" s="10">
        <f t="shared" si="860"/>
        <v>5580.5301000000045</v>
      </c>
      <c r="S652" s="10">
        <f t="shared" si="860"/>
        <v>6929.9018000000005</v>
      </c>
      <c r="T652" s="10">
        <f t="shared" ref="T652" si="865">(T305*$C$439)</f>
        <v>6484.1340999999984</v>
      </c>
    </row>
    <row r="653" spans="2:20" ht="15" customHeight="1">
      <c r="B653" s="11" t="s">
        <v>313</v>
      </c>
      <c r="C653" s="10">
        <f t="shared" si="857"/>
        <v>8142.6890035616007</v>
      </c>
      <c r="D653" s="10">
        <f t="shared" si="858"/>
        <v>5944.0834999999906</v>
      </c>
      <c r="E653" s="10">
        <f t="shared" si="858"/>
        <v>4795.0331999999898</v>
      </c>
      <c r="F653" s="10">
        <f t="shared" si="858"/>
        <v>5657.5952000000007</v>
      </c>
      <c r="G653" s="10">
        <f t="shared" si="858"/>
        <v>5171.5173000000095</v>
      </c>
      <c r="H653" s="10">
        <f t="shared" si="858"/>
        <v>5171.5173000000095</v>
      </c>
      <c r="I653" s="10">
        <f t="shared" si="858"/>
        <v>4743.0596000000669</v>
      </c>
      <c r="J653" s="10">
        <f t="shared" ref="J653:O653" si="866">(J306*$C$439)</f>
        <v>7811.9176999999863</v>
      </c>
      <c r="K653" s="10">
        <f t="shared" si="866"/>
        <v>10101.649099999991</v>
      </c>
      <c r="L653" s="10">
        <f t="shared" si="866"/>
        <v>11416.445599999941</v>
      </c>
      <c r="M653" s="10">
        <f t="shared" si="866"/>
        <v>13225.60080000008</v>
      </c>
      <c r="N653" s="10">
        <f t="shared" si="866"/>
        <v>15349.53450000014</v>
      </c>
      <c r="O653" s="10">
        <f t="shared" si="866"/>
        <v>16547.587899999129</v>
      </c>
      <c r="P653" s="10">
        <f t="shared" si="860"/>
        <v>13362.587299999981</v>
      </c>
      <c r="Q653" s="10">
        <f t="shared" si="860"/>
        <v>14965.263599999973</v>
      </c>
      <c r="R653" s="10">
        <f t="shared" si="860"/>
        <v>14681.546299999973</v>
      </c>
      <c r="S653" s="10">
        <f t="shared" si="860"/>
        <v>15816.085299999975</v>
      </c>
      <c r="T653" s="10">
        <f t="shared" ref="T653" si="867">(T306*$C$439)</f>
        <v>20928.074499999981</v>
      </c>
    </row>
    <row r="654" spans="2:20" ht="15" customHeight="1">
      <c r="B654" s="11" t="s">
        <v>314</v>
      </c>
      <c r="C654" s="10">
        <f t="shared" si="857"/>
        <v>12378.778997017604</v>
      </c>
      <c r="D654" s="10">
        <f t="shared" si="858"/>
        <v>11577.042100000001</v>
      </c>
      <c r="E654" s="10">
        <f t="shared" si="858"/>
        <v>13647.5627</v>
      </c>
      <c r="F654" s="10">
        <f t="shared" si="858"/>
        <v>15138.835200000001</v>
      </c>
      <c r="G654" s="10">
        <f t="shared" si="858"/>
        <v>19065.217199999999</v>
      </c>
      <c r="H654" s="10">
        <f t="shared" si="858"/>
        <v>19065.217199999999</v>
      </c>
      <c r="I654" s="10">
        <f t="shared" si="858"/>
        <v>15872.110900000138</v>
      </c>
      <c r="J654" s="10">
        <f t="shared" ref="J654:O654" si="868">(J307*$C$439)</f>
        <v>18339.418000000001</v>
      </c>
      <c r="K654" s="10">
        <f t="shared" si="868"/>
        <v>21875.052599999999</v>
      </c>
      <c r="L654" s="10">
        <f t="shared" si="868"/>
        <v>21176.394900000003</v>
      </c>
      <c r="M654" s="10">
        <f t="shared" si="868"/>
        <v>23767.278799999996</v>
      </c>
      <c r="N654" s="10">
        <f t="shared" si="868"/>
        <v>24885.022300000019</v>
      </c>
      <c r="O654" s="10">
        <f t="shared" si="868"/>
        <v>29788.357899999308</v>
      </c>
      <c r="P654" s="10">
        <f t="shared" si="860"/>
        <v>34846.19680000002</v>
      </c>
      <c r="Q654" s="10">
        <f t="shared" si="860"/>
        <v>30238.725200000012</v>
      </c>
      <c r="R654" s="10">
        <f t="shared" si="860"/>
        <v>37175.695100000004</v>
      </c>
      <c r="S654" s="10">
        <f t="shared" si="860"/>
        <v>39072.503600000011</v>
      </c>
      <c r="T654" s="10">
        <f t="shared" ref="T654" si="869">(T307*$C$439)</f>
        <v>38480.793599999997</v>
      </c>
    </row>
    <row r="655" spans="2:20" ht="15" customHeight="1">
      <c r="B655" s="11" t="s">
        <v>315</v>
      </c>
      <c r="C655" s="10">
        <f t="shared" si="857"/>
        <v>13.8434670778935</v>
      </c>
      <c r="D655" s="10">
        <f t="shared" si="858"/>
        <v>17.180900000000001</v>
      </c>
      <c r="E655" s="10">
        <f t="shared" si="858"/>
        <v>13.4285</v>
      </c>
      <c r="F655" s="10">
        <f t="shared" si="858"/>
        <v>18.023399999999999</v>
      </c>
      <c r="G655" s="10">
        <f t="shared" si="858"/>
        <v>15.043699999999999</v>
      </c>
      <c r="H655" s="10">
        <f t="shared" si="858"/>
        <v>15.043699999999999</v>
      </c>
      <c r="I655" s="10">
        <f t="shared" si="858"/>
        <v>13.307400000000003</v>
      </c>
      <c r="J655" s="10">
        <f t="shared" ref="J655:O655" si="870">(J308*$C$439)</f>
        <v>19.940999999999999</v>
      </c>
      <c r="K655" s="10">
        <f t="shared" si="870"/>
        <v>21.896000000000001</v>
      </c>
      <c r="L655" s="10">
        <f t="shared" si="870"/>
        <v>15.916499999999999</v>
      </c>
      <c r="M655" s="10">
        <f t="shared" si="870"/>
        <v>22.103800000000003</v>
      </c>
      <c r="N655" s="10">
        <f t="shared" si="870"/>
        <v>24.121299999999998</v>
      </c>
      <c r="O655" s="10">
        <f t="shared" si="870"/>
        <v>24.121299999999984</v>
      </c>
      <c r="P655" s="10">
        <f t="shared" si="860"/>
        <v>24.526699999999984</v>
      </c>
      <c r="Q655" s="10">
        <f t="shared" si="860"/>
        <v>21.283499999999989</v>
      </c>
      <c r="R655" s="10">
        <f t="shared" si="860"/>
        <v>15.81059999999999</v>
      </c>
      <c r="S655" s="10">
        <f t="shared" si="860"/>
        <v>15.888799999999994</v>
      </c>
      <c r="T655" s="10">
        <f t="shared" ref="T655" si="871">(T308*$C$439)</f>
        <v>13.783599999999995</v>
      </c>
    </row>
    <row r="656" spans="2:20" ht="15" customHeight="1">
      <c r="B656" s="11" t="s">
        <v>316</v>
      </c>
      <c r="C656" s="10">
        <f t="shared" si="857"/>
        <v>56.638949592624293</v>
      </c>
      <c r="D656" s="10">
        <f t="shared" si="858"/>
        <v>59.253700000000002</v>
      </c>
      <c r="E656" s="10">
        <f t="shared" si="858"/>
        <v>124.37520000000001</v>
      </c>
      <c r="F656" s="10">
        <f t="shared" si="858"/>
        <v>78.072299999999998</v>
      </c>
      <c r="G656" s="10">
        <f t="shared" si="858"/>
        <v>35.570500000000003</v>
      </c>
      <c r="H656" s="10">
        <f t="shared" si="858"/>
        <v>35.570500000000003</v>
      </c>
      <c r="I656" s="10">
        <f t="shared" si="858"/>
        <v>55.416200000000011</v>
      </c>
      <c r="J656" s="10">
        <f t="shared" ref="J656:O656" si="872">(J309*$C$439)</f>
        <v>56.448399999999999</v>
      </c>
      <c r="K656" s="10">
        <f t="shared" si="872"/>
        <v>67.145300000000006</v>
      </c>
      <c r="L656" s="10">
        <f t="shared" si="872"/>
        <v>66.509700000000009</v>
      </c>
      <c r="M656" s="10">
        <f t="shared" si="872"/>
        <v>78.648400000000024</v>
      </c>
      <c r="N656" s="10">
        <f t="shared" si="872"/>
        <v>96.362300000000019</v>
      </c>
      <c r="O656" s="10">
        <f t="shared" si="872"/>
        <v>117.62299999999999</v>
      </c>
      <c r="P656" s="10">
        <f t="shared" si="860"/>
        <v>136.57589999999996</v>
      </c>
      <c r="Q656" s="10">
        <f t="shared" si="860"/>
        <v>129.25930000000005</v>
      </c>
      <c r="R656" s="10">
        <f t="shared" si="860"/>
        <v>135.64060000000001</v>
      </c>
      <c r="S656" s="10">
        <f t="shared" si="860"/>
        <v>104.43990000000002</v>
      </c>
      <c r="T656" s="10">
        <f t="shared" ref="T656" si="873">(T309*$C$439)</f>
        <v>98.27640000000001</v>
      </c>
    </row>
    <row r="657" spans="2:20" ht="15" customHeight="1">
      <c r="B657" s="11" t="s">
        <v>317</v>
      </c>
      <c r="C657" s="10">
        <f t="shared" si="857"/>
        <v>674.9454043545602</v>
      </c>
      <c r="D657" s="10">
        <f t="shared" si="858"/>
        <v>1183.1308999999999</v>
      </c>
      <c r="E657" s="10">
        <f t="shared" si="858"/>
        <v>513.49490000000003</v>
      </c>
      <c r="F657" s="10">
        <f t="shared" si="858"/>
        <v>572.04169999999999</v>
      </c>
      <c r="G657" s="10">
        <f t="shared" si="858"/>
        <v>862.81270000000006</v>
      </c>
      <c r="H657" s="10">
        <f t="shared" si="858"/>
        <v>862.81270000000006</v>
      </c>
      <c r="I657" s="10">
        <f t="shared" si="858"/>
        <v>1674.8065999999899</v>
      </c>
      <c r="J657" s="10">
        <f t="shared" ref="J657:O657" si="874">(J310*$C$439)</f>
        <v>3495.7534999999998</v>
      </c>
      <c r="K657" s="10">
        <f t="shared" si="874"/>
        <v>3456.3650999999995</v>
      </c>
      <c r="L657" s="10">
        <f t="shared" si="874"/>
        <v>4687.8963999999951</v>
      </c>
      <c r="M657" s="10">
        <f t="shared" si="874"/>
        <v>3059.917799999997</v>
      </c>
      <c r="N657" s="10">
        <f t="shared" si="874"/>
        <v>5447.6661999999824</v>
      </c>
      <c r="O657" s="10">
        <f t="shared" si="874"/>
        <v>6291.7032999999528</v>
      </c>
      <c r="P657" s="10">
        <f t="shared" si="860"/>
        <v>5696.8289000000013</v>
      </c>
      <c r="Q657" s="10">
        <f t="shared" si="860"/>
        <v>4882.5517000000027</v>
      </c>
      <c r="R657" s="10">
        <f t="shared" si="860"/>
        <v>4771.0723000000007</v>
      </c>
      <c r="S657" s="10">
        <f t="shared" si="860"/>
        <v>6051.4647999999988</v>
      </c>
      <c r="T657" s="10">
        <f t="shared" ref="T657" si="875">(T310*$C$439)</f>
        <v>6874.3190000000013</v>
      </c>
    </row>
    <row r="658" spans="2:20" ht="15" customHeight="1">
      <c r="B658" s="11" t="s">
        <v>318</v>
      </c>
      <c r="C658" s="10">
        <f t="shared" si="857"/>
        <v>5437.7511749413388</v>
      </c>
      <c r="D658" s="10">
        <f t="shared" si="858"/>
        <v>6828.1916000000201</v>
      </c>
      <c r="E658" s="10">
        <f t="shared" si="858"/>
        <v>7173.9780000000101</v>
      </c>
      <c r="F658" s="10">
        <f t="shared" si="858"/>
        <v>8088.0942000000096</v>
      </c>
      <c r="G658" s="10">
        <f t="shared" si="858"/>
        <v>9165.2968999999994</v>
      </c>
      <c r="H658" s="10">
        <f t="shared" si="858"/>
        <v>9165.2968999999994</v>
      </c>
      <c r="I658" s="10">
        <f t="shared" si="858"/>
        <v>8910.8985999999477</v>
      </c>
      <c r="J658" s="10">
        <f t="shared" ref="J658:O658" si="876">(J311*$C$439)</f>
        <v>10893.488500000001</v>
      </c>
      <c r="K658" s="10">
        <f t="shared" si="876"/>
        <v>11073.555</v>
      </c>
      <c r="L658" s="10">
        <f t="shared" si="876"/>
        <v>10851.079500000002</v>
      </c>
      <c r="M658" s="10">
        <f t="shared" si="876"/>
        <v>14408.233599999996</v>
      </c>
      <c r="N658" s="10">
        <f t="shared" si="876"/>
        <v>16351.320900000041</v>
      </c>
      <c r="O658" s="10">
        <f t="shared" si="876"/>
        <v>16974.554100001107</v>
      </c>
      <c r="P658" s="10">
        <f t="shared" si="860"/>
        <v>19577.493999999995</v>
      </c>
      <c r="Q658" s="10">
        <f t="shared" si="860"/>
        <v>24834.947499999991</v>
      </c>
      <c r="R658" s="10">
        <f t="shared" si="860"/>
        <v>27608.126800000013</v>
      </c>
      <c r="S658" s="10">
        <f t="shared" si="860"/>
        <v>28728.650000000005</v>
      </c>
      <c r="T658" s="10">
        <f t="shared" ref="T658" si="877">(T311*$C$439)</f>
        <v>31802.762700000014</v>
      </c>
    </row>
    <row r="659" spans="2:20" ht="15" customHeight="1">
      <c r="B659" s="11" t="s">
        <v>319</v>
      </c>
      <c r="C659" s="10">
        <f t="shared" si="857"/>
        <v>27242.148818643083</v>
      </c>
      <c r="D659" s="10">
        <f t="shared" si="858"/>
        <v>29786.040199999999</v>
      </c>
      <c r="E659" s="10">
        <f t="shared" si="858"/>
        <v>29189.9061</v>
      </c>
      <c r="F659" s="10">
        <f t="shared" si="858"/>
        <v>33683.5268</v>
      </c>
      <c r="G659" s="10">
        <f t="shared" si="858"/>
        <v>38676.871200000001</v>
      </c>
      <c r="H659" s="10">
        <f t="shared" si="858"/>
        <v>38676.871200000001</v>
      </c>
      <c r="I659" s="10">
        <f t="shared" si="858"/>
        <v>39663.987200001007</v>
      </c>
      <c r="J659" s="10">
        <f t="shared" ref="J659:O659" si="878">(J312*$C$439)</f>
        <v>39668.522799999999</v>
      </c>
      <c r="K659" s="10">
        <f t="shared" si="878"/>
        <v>40467.402099999868</v>
      </c>
      <c r="L659" s="10">
        <f t="shared" si="878"/>
        <v>45438.701599999833</v>
      </c>
      <c r="M659" s="10">
        <f t="shared" si="878"/>
        <v>50347.77150000009</v>
      </c>
      <c r="N659" s="10">
        <f t="shared" si="878"/>
        <v>49314.394900000276</v>
      </c>
      <c r="O659" s="10">
        <f t="shared" si="878"/>
        <v>50103.134799995925</v>
      </c>
      <c r="P659" s="10">
        <f t="shared" si="860"/>
        <v>57586.875599999919</v>
      </c>
      <c r="Q659" s="10">
        <f t="shared" si="860"/>
        <v>56497.419599999957</v>
      </c>
      <c r="R659" s="10">
        <f t="shared" si="860"/>
        <v>56041.510899999972</v>
      </c>
      <c r="S659" s="10">
        <f t="shared" si="860"/>
        <v>61621.593699999939</v>
      </c>
      <c r="T659" s="10">
        <f t="shared" ref="T659" si="879">(T312*$C$439)</f>
        <v>58779.622899999958</v>
      </c>
    </row>
    <row r="660" spans="2:20" ht="15" customHeight="1">
      <c r="B660" s="11" t="s">
        <v>320</v>
      </c>
      <c r="C660" s="10">
        <f t="shared" si="857"/>
        <v>61.11803654430949</v>
      </c>
      <c r="D660" s="10">
        <f t="shared" ref="D660:I669" si="880">(D313*$C$439)</f>
        <v>53.312100000000001</v>
      </c>
      <c r="E660" s="10">
        <f t="shared" si="880"/>
        <v>53.805799999999998</v>
      </c>
      <c r="F660" s="10">
        <f t="shared" si="880"/>
        <v>55.884799999999998</v>
      </c>
      <c r="G660" s="10">
        <f t="shared" si="880"/>
        <v>53.473900000000008</v>
      </c>
      <c r="H660" s="10">
        <f t="shared" si="880"/>
        <v>53.473900000000008</v>
      </c>
      <c r="I660" s="10">
        <f t="shared" si="880"/>
        <v>59.219700000000003</v>
      </c>
      <c r="J660" s="10">
        <f t="shared" ref="J660:O660" si="881">(J313*$C$439)</f>
        <v>75.31</v>
      </c>
      <c r="K660" s="10">
        <f t="shared" si="881"/>
        <v>88.91</v>
      </c>
      <c r="L660" s="10">
        <f t="shared" si="881"/>
        <v>94.336800000000011</v>
      </c>
      <c r="M660" s="10">
        <f t="shared" si="881"/>
        <v>107.27619999999999</v>
      </c>
      <c r="N660" s="10">
        <f t="shared" si="881"/>
        <v>94.496800000000007</v>
      </c>
      <c r="O660" s="10">
        <f t="shared" si="881"/>
        <v>107.67499999999926</v>
      </c>
      <c r="P660" s="10">
        <f t="shared" si="860"/>
        <v>87.444800000000072</v>
      </c>
      <c r="Q660" s="10">
        <f t="shared" si="860"/>
        <v>96.274800000000013</v>
      </c>
      <c r="R660" s="10">
        <f t="shared" si="860"/>
        <v>82.076800000000063</v>
      </c>
      <c r="S660" s="10">
        <f t="shared" si="860"/>
        <v>73.51710000000007</v>
      </c>
      <c r="T660" s="10">
        <f t="shared" ref="T660" si="882">(T313*$C$439)</f>
        <v>80.403400000000062</v>
      </c>
    </row>
    <row r="661" spans="2:20" ht="15" customHeight="1">
      <c r="B661" s="11" t="s">
        <v>321</v>
      </c>
      <c r="C661" s="10">
        <f t="shared" si="857"/>
        <v>138.93983781131766</v>
      </c>
      <c r="D661" s="10">
        <f t="shared" si="880"/>
        <v>171.16929999999999</v>
      </c>
      <c r="E661" s="10">
        <f t="shared" si="880"/>
        <v>211.95669999999998</v>
      </c>
      <c r="F661" s="10">
        <f t="shared" si="880"/>
        <v>153.56120000000001</v>
      </c>
      <c r="G661" s="10">
        <f t="shared" si="880"/>
        <v>89.415800000000004</v>
      </c>
      <c r="H661" s="10">
        <f t="shared" si="880"/>
        <v>89.415800000000004</v>
      </c>
      <c r="I661" s="10">
        <f t="shared" si="880"/>
        <v>80.850700000000003</v>
      </c>
      <c r="J661" s="10">
        <f t="shared" ref="J661:O661" si="883">(J314*$C$439)</f>
        <v>97.898300000000006</v>
      </c>
      <c r="K661" s="10">
        <f t="shared" si="883"/>
        <v>122.5907</v>
      </c>
      <c r="L661" s="10">
        <f t="shared" si="883"/>
        <v>108.29429999999999</v>
      </c>
      <c r="M661" s="10">
        <f t="shared" si="883"/>
        <v>147.48660000000001</v>
      </c>
      <c r="N661" s="10">
        <f t="shared" si="883"/>
        <v>157.67100000000005</v>
      </c>
      <c r="O661" s="10">
        <f t="shared" si="883"/>
        <v>193.59550000000021</v>
      </c>
      <c r="P661" s="10">
        <f t="shared" si="860"/>
        <v>214.90050000000011</v>
      </c>
      <c r="Q661" s="10">
        <f t="shared" si="860"/>
        <v>219.05390000000003</v>
      </c>
      <c r="R661" s="10">
        <f t="shared" si="860"/>
        <v>217.53139999999993</v>
      </c>
      <c r="S661" s="10">
        <f t="shared" si="860"/>
        <v>197.61759999999992</v>
      </c>
      <c r="T661" s="10">
        <f t="shared" ref="T661" si="884">(T314*$C$439)</f>
        <v>168.73140000000001</v>
      </c>
    </row>
    <row r="662" spans="2:20" ht="15" customHeight="1">
      <c r="B662" s="11" t="s">
        <v>322</v>
      </c>
      <c r="C662" s="10">
        <f t="shared" si="857"/>
        <v>946.98343136129495</v>
      </c>
      <c r="D662" s="10">
        <f t="shared" si="880"/>
        <v>786.1219000000001</v>
      </c>
      <c r="E662" s="10">
        <f t="shared" si="880"/>
        <v>540.05719999999997</v>
      </c>
      <c r="F662" s="10">
        <f t="shared" si="880"/>
        <v>453.34809999999999</v>
      </c>
      <c r="G662" s="10">
        <f t="shared" si="880"/>
        <v>751.76589999999999</v>
      </c>
      <c r="H662" s="10">
        <f t="shared" si="880"/>
        <v>751.76589999999999</v>
      </c>
      <c r="I662" s="10">
        <f t="shared" si="880"/>
        <v>1186.6154999999944</v>
      </c>
      <c r="J662" s="10">
        <f t="shared" ref="J662:O662" si="885">(J315*$C$439)</f>
        <v>2319.3534</v>
      </c>
      <c r="K662" s="10">
        <f t="shared" si="885"/>
        <v>2806.7916999999998</v>
      </c>
      <c r="L662" s="10">
        <f t="shared" si="885"/>
        <v>4595.8122999999923</v>
      </c>
      <c r="M662" s="10">
        <f t="shared" si="885"/>
        <v>3162.4554999999968</v>
      </c>
      <c r="N662" s="10">
        <f t="shared" si="885"/>
        <v>5484.1595000000052</v>
      </c>
      <c r="O662" s="10">
        <f t="shared" si="885"/>
        <v>7352.1355000002832</v>
      </c>
      <c r="P662" s="10">
        <f t="shared" si="860"/>
        <v>5223.0560000000032</v>
      </c>
      <c r="Q662" s="10">
        <f t="shared" si="860"/>
        <v>4506.9192000000012</v>
      </c>
      <c r="R662" s="10">
        <f t="shared" si="860"/>
        <v>5011.4247000000014</v>
      </c>
      <c r="S662" s="10">
        <f t="shared" si="860"/>
        <v>6334.3305000000009</v>
      </c>
      <c r="T662" s="10">
        <f t="shared" ref="T662" si="886">(T315*$C$439)</f>
        <v>6463.8590999999979</v>
      </c>
    </row>
    <row r="663" spans="2:20" ht="15" customHeight="1">
      <c r="B663" s="11" t="s">
        <v>323</v>
      </c>
      <c r="C663" s="10">
        <f t="shared" si="857"/>
        <v>7873.1156587193982</v>
      </c>
      <c r="D663" s="10">
        <f t="shared" si="880"/>
        <v>7660.2914999999903</v>
      </c>
      <c r="E663" s="10">
        <f t="shared" si="880"/>
        <v>6929.9719999999998</v>
      </c>
      <c r="F663" s="10">
        <f t="shared" si="880"/>
        <v>7783.11150000001</v>
      </c>
      <c r="G663" s="10">
        <f t="shared" si="880"/>
        <v>8704.39390000001</v>
      </c>
      <c r="H663" s="10">
        <f t="shared" si="880"/>
        <v>8704.39390000001</v>
      </c>
      <c r="I663" s="10">
        <f t="shared" si="880"/>
        <v>7426.9581000000926</v>
      </c>
      <c r="J663" s="10">
        <f t="shared" ref="J663:O663" si="887">(J316*$C$439)</f>
        <v>8558.7489999999871</v>
      </c>
      <c r="K663" s="10">
        <f t="shared" si="887"/>
        <v>10013.332699999994</v>
      </c>
      <c r="L663" s="10">
        <f t="shared" si="887"/>
        <v>11264.107399999946</v>
      </c>
      <c r="M663" s="10">
        <f t="shared" si="887"/>
        <v>13370.259000000069</v>
      </c>
      <c r="N663" s="10">
        <f t="shared" si="887"/>
        <v>15984.688700000102</v>
      </c>
      <c r="O663" s="10">
        <f t="shared" si="887"/>
        <v>16497.096499999392</v>
      </c>
      <c r="P663" s="10">
        <f t="shared" si="860"/>
        <v>14501.831299999978</v>
      </c>
      <c r="Q663" s="10">
        <f t="shared" si="860"/>
        <v>18778.173299999966</v>
      </c>
      <c r="R663" s="10">
        <f t="shared" si="860"/>
        <v>20658.96469999996</v>
      </c>
      <c r="S663" s="10">
        <f t="shared" si="860"/>
        <v>22416.182499999959</v>
      </c>
      <c r="T663" s="10">
        <f t="shared" ref="T663" si="888">(T316*$C$439)</f>
        <v>24519.996499999957</v>
      </c>
    </row>
    <row r="664" spans="2:20" ht="15" customHeight="1">
      <c r="B664" s="11" t="s">
        <v>324</v>
      </c>
      <c r="C664" s="10">
        <f t="shared" si="857"/>
        <v>13892.454956197198</v>
      </c>
      <c r="D664" s="10">
        <f t="shared" si="880"/>
        <v>14329.905400000001</v>
      </c>
      <c r="E664" s="10">
        <f t="shared" si="880"/>
        <v>16474.172399999999</v>
      </c>
      <c r="F664" s="10">
        <f t="shared" si="880"/>
        <v>18559.557800000002</v>
      </c>
      <c r="G664" s="10">
        <f t="shared" si="880"/>
        <v>20147.769</v>
      </c>
      <c r="H664" s="10">
        <f t="shared" si="880"/>
        <v>20147.769</v>
      </c>
      <c r="I664" s="10">
        <f t="shared" si="880"/>
        <v>19119.200000000263</v>
      </c>
      <c r="J664" s="10">
        <f t="shared" ref="J664:O664" si="889">(J317*$C$439)</f>
        <v>20946.509700000002</v>
      </c>
      <c r="K664" s="10">
        <f t="shared" si="889"/>
        <v>21525.744999999995</v>
      </c>
      <c r="L664" s="10">
        <f t="shared" si="889"/>
        <v>21669.402600000009</v>
      </c>
      <c r="M664" s="10">
        <f t="shared" si="889"/>
        <v>25228.51660000001</v>
      </c>
      <c r="N664" s="10">
        <f t="shared" si="889"/>
        <v>25057.056500000028</v>
      </c>
      <c r="O664" s="10">
        <f t="shared" si="889"/>
        <v>31150.320299998875</v>
      </c>
      <c r="P664" s="10">
        <f t="shared" si="860"/>
        <v>35963.15</v>
      </c>
      <c r="Q664" s="10">
        <f t="shared" si="860"/>
        <v>31740.862900000011</v>
      </c>
      <c r="R664" s="10">
        <f t="shared" si="860"/>
        <v>33707.297000000028</v>
      </c>
      <c r="S664" s="10">
        <f t="shared" si="860"/>
        <v>38535.160400000008</v>
      </c>
      <c r="T664" s="10">
        <f t="shared" ref="T664" si="890">(T317*$C$439)</f>
        <v>39429.024800000007</v>
      </c>
    </row>
    <row r="665" spans="2:20" ht="15" customHeight="1">
      <c r="B665" s="11" t="s">
        <v>325</v>
      </c>
      <c r="C665" s="10">
        <f t="shared" si="857"/>
        <v>6.2417053753143854</v>
      </c>
      <c r="D665" s="10">
        <f t="shared" si="880"/>
        <v>4.0386000000000006</v>
      </c>
      <c r="E665" s="10">
        <f t="shared" si="880"/>
        <v>4.7488999999999999</v>
      </c>
      <c r="F665" s="10">
        <f t="shared" si="880"/>
        <v>6.1248000000000005</v>
      </c>
      <c r="G665" s="10">
        <f t="shared" si="880"/>
        <v>6.5162000000000004</v>
      </c>
      <c r="H665" s="10">
        <f t="shared" si="880"/>
        <v>6.5162000000000004</v>
      </c>
      <c r="I665" s="10">
        <f t="shared" si="880"/>
        <v>4.4996999999999998</v>
      </c>
      <c r="J665" s="10">
        <f t="shared" ref="J665:O665" si="891">(J318*$C$439)</f>
        <v>8.0154999999999994</v>
      </c>
      <c r="K665" s="10">
        <f t="shared" si="891"/>
        <v>9.1884999999999994</v>
      </c>
      <c r="L665" s="10">
        <f t="shared" si="891"/>
        <v>5.3054999999999994</v>
      </c>
      <c r="M665" s="10">
        <f t="shared" si="891"/>
        <v>10.446900000000001</v>
      </c>
      <c r="N665" s="10">
        <f t="shared" si="891"/>
        <v>12.972799999999999</v>
      </c>
      <c r="O665" s="10">
        <f t="shared" si="891"/>
        <v>12.972799999999992</v>
      </c>
      <c r="P665" s="10">
        <f t="shared" si="860"/>
        <v>11.148499999999995</v>
      </c>
      <c r="Q665" s="10">
        <f t="shared" si="860"/>
        <v>19.864599999999992</v>
      </c>
      <c r="R665" s="10">
        <f t="shared" si="860"/>
        <v>5.8782999999999985</v>
      </c>
      <c r="S665" s="10">
        <f t="shared" si="860"/>
        <v>6.2836999999999987</v>
      </c>
      <c r="T665" s="10">
        <f t="shared" ref="T665" si="892">(T318*$C$439)</f>
        <v>6.1400999999999986</v>
      </c>
    </row>
    <row r="666" spans="2:20" ht="15" customHeight="1">
      <c r="B666" s="11" t="s">
        <v>326</v>
      </c>
      <c r="C666" s="10">
        <f t="shared" si="857"/>
        <v>17.929785523111633</v>
      </c>
      <c r="D666" s="10">
        <f t="shared" si="880"/>
        <v>32.024299999999997</v>
      </c>
      <c r="E666" s="10">
        <f t="shared" si="880"/>
        <v>31.639400000000002</v>
      </c>
      <c r="F666" s="10">
        <f t="shared" si="880"/>
        <v>26.1965</v>
      </c>
      <c r="G666" s="10">
        <f t="shared" si="880"/>
        <v>22.346999999999998</v>
      </c>
      <c r="H666" s="10">
        <f t="shared" si="880"/>
        <v>22.346999999999998</v>
      </c>
      <c r="I666" s="10">
        <f t="shared" si="880"/>
        <v>37.579300000000003</v>
      </c>
      <c r="J666" s="10">
        <f t="shared" ref="J666:O666" si="893">(J319*$C$439)</f>
        <v>39.496200000000002</v>
      </c>
      <c r="K666" s="10">
        <f t="shared" si="893"/>
        <v>34.057400000000001</v>
      </c>
      <c r="L666" s="10">
        <f t="shared" si="893"/>
        <v>34.575700000000005</v>
      </c>
      <c r="M666" s="10">
        <f t="shared" si="893"/>
        <v>48.064300000000003</v>
      </c>
      <c r="N666" s="10">
        <f t="shared" si="893"/>
        <v>54.05510000000001</v>
      </c>
      <c r="O666" s="10">
        <f t="shared" si="893"/>
        <v>66.468000000000032</v>
      </c>
      <c r="P666" s="10">
        <f t="shared" si="860"/>
        <v>67.811200000000014</v>
      </c>
      <c r="Q666" s="10">
        <f t="shared" si="860"/>
        <v>58.334000000000017</v>
      </c>
      <c r="R666" s="10">
        <f t="shared" si="860"/>
        <v>61.729499999999987</v>
      </c>
      <c r="S666" s="10">
        <f t="shared" si="860"/>
        <v>64.314600000000013</v>
      </c>
      <c r="T666" s="10">
        <f t="shared" ref="T666" si="894">(T319*$C$439)</f>
        <v>51.719700000000003</v>
      </c>
    </row>
    <row r="667" spans="2:20" ht="15" customHeight="1">
      <c r="B667" s="11" t="s">
        <v>327</v>
      </c>
      <c r="C667" s="10">
        <f t="shared" si="857"/>
        <v>212.74763376781527</v>
      </c>
      <c r="D667" s="10">
        <f t="shared" si="880"/>
        <v>836.07759999999996</v>
      </c>
      <c r="E667" s="10">
        <f t="shared" si="880"/>
        <v>346.94050000000004</v>
      </c>
      <c r="F667" s="10">
        <f t="shared" si="880"/>
        <v>394.02050000000003</v>
      </c>
      <c r="G667" s="10">
        <f t="shared" si="880"/>
        <v>87.451800000000006</v>
      </c>
      <c r="H667" s="10">
        <f t="shared" si="880"/>
        <v>87.451800000000006</v>
      </c>
      <c r="I667" s="10">
        <f t="shared" si="880"/>
        <v>949.74250000000018</v>
      </c>
      <c r="J667" s="10">
        <f t="shared" ref="J667:O667" si="895">(J320*$C$439)</f>
        <v>2432.1878000000002</v>
      </c>
      <c r="K667" s="10">
        <f t="shared" si="895"/>
        <v>2748.0525000000002</v>
      </c>
      <c r="L667" s="10">
        <f t="shared" si="895"/>
        <v>3692.4022999999988</v>
      </c>
      <c r="M667" s="10">
        <f t="shared" si="895"/>
        <v>3351.4157999999957</v>
      </c>
      <c r="N667" s="10">
        <f t="shared" si="895"/>
        <v>5878.4750999999806</v>
      </c>
      <c r="O667" s="10">
        <f t="shared" si="895"/>
        <v>4966.1900000000842</v>
      </c>
      <c r="P667" s="10">
        <f t="shared" si="860"/>
        <v>6349.409700000002</v>
      </c>
      <c r="Q667" s="10">
        <f t="shared" si="860"/>
        <v>5747.4675000000025</v>
      </c>
      <c r="R667" s="10">
        <f t="shared" si="860"/>
        <v>5428.4627999999966</v>
      </c>
      <c r="S667" s="10">
        <f t="shared" si="860"/>
        <v>6738.5851000000039</v>
      </c>
      <c r="T667" s="10">
        <f t="shared" ref="T667" si="896">(T320*$C$439)</f>
        <v>6905.4696999999987</v>
      </c>
    </row>
    <row r="668" spans="2:20" ht="15" customHeight="1">
      <c r="B668" s="11" t="s">
        <v>328</v>
      </c>
      <c r="C668" s="10">
        <f t="shared" si="857"/>
        <v>5785.8401855068969</v>
      </c>
      <c r="D668" s="10">
        <f t="shared" si="880"/>
        <v>4843.0892999999996</v>
      </c>
      <c r="E668" s="10">
        <f t="shared" si="880"/>
        <v>4725.5582000000004</v>
      </c>
      <c r="F668" s="10">
        <f t="shared" si="880"/>
        <v>5627.3683999999994</v>
      </c>
      <c r="G668" s="10">
        <f t="shared" si="880"/>
        <v>5099.7978000000103</v>
      </c>
      <c r="H668" s="10">
        <f t="shared" si="880"/>
        <v>5099.7978000000103</v>
      </c>
      <c r="I668" s="10">
        <f t="shared" si="880"/>
        <v>5826.7874000000093</v>
      </c>
      <c r="J668" s="10">
        <f t="shared" ref="J668:O668" si="897">(J321*$C$439)</f>
        <v>10068.6248</v>
      </c>
      <c r="K668" s="10">
        <f t="shared" si="897"/>
        <v>12078.072400000003</v>
      </c>
      <c r="L668" s="10">
        <f t="shared" si="897"/>
        <v>11048.973200000004</v>
      </c>
      <c r="M668" s="10">
        <f t="shared" si="897"/>
        <v>14244.888799999979</v>
      </c>
      <c r="N668" s="10">
        <f t="shared" si="897"/>
        <v>15632.2767</v>
      </c>
      <c r="O668" s="10">
        <f t="shared" si="897"/>
        <v>17040.710000001054</v>
      </c>
      <c r="P668" s="10">
        <f t="shared" ref="P668:S687" si="898">(P321*$C$439)</f>
        <v>18252.999099999986</v>
      </c>
      <c r="Q668" s="10">
        <f t="shared" si="898"/>
        <v>20432.792000000001</v>
      </c>
      <c r="R668" s="10">
        <f t="shared" si="898"/>
        <v>20748.459000000006</v>
      </c>
      <c r="S668" s="10">
        <f t="shared" si="898"/>
        <v>21141.2202</v>
      </c>
      <c r="T668" s="10">
        <f t="shared" ref="T668" si="899">(T321*$C$439)</f>
        <v>27652.153299999998</v>
      </c>
    </row>
    <row r="669" spans="2:20" ht="15" customHeight="1">
      <c r="B669" s="11" t="s">
        <v>329</v>
      </c>
      <c r="C669" s="10">
        <f t="shared" si="857"/>
        <v>25585.68505185411</v>
      </c>
      <c r="D669" s="10">
        <f t="shared" si="880"/>
        <v>26423.193500000001</v>
      </c>
      <c r="E669" s="10">
        <f t="shared" si="880"/>
        <v>27168.8331</v>
      </c>
      <c r="F669" s="10">
        <f t="shared" si="880"/>
        <v>26271.483900000003</v>
      </c>
      <c r="G669" s="10">
        <f t="shared" si="880"/>
        <v>35366.2304</v>
      </c>
      <c r="H669" s="10">
        <f t="shared" si="880"/>
        <v>35366.2304</v>
      </c>
      <c r="I669" s="10">
        <f t="shared" si="880"/>
        <v>43140.825800000697</v>
      </c>
      <c r="J669" s="10">
        <f t="shared" ref="J669:O669" si="900">(J322*$C$439)</f>
        <v>38899.734699999914</v>
      </c>
      <c r="K669" s="10">
        <f t="shared" si="900"/>
        <v>39495.213599999872</v>
      </c>
      <c r="L669" s="10">
        <f t="shared" si="900"/>
        <v>44651.614999999845</v>
      </c>
      <c r="M669" s="10">
        <f t="shared" si="900"/>
        <v>48252.909900000115</v>
      </c>
      <c r="N669" s="10">
        <f t="shared" si="900"/>
        <v>48926.941200000241</v>
      </c>
      <c r="O669" s="10">
        <f t="shared" si="900"/>
        <v>48556.335599996819</v>
      </c>
      <c r="P669" s="10">
        <f t="shared" si="898"/>
        <v>56357.714200000009</v>
      </c>
      <c r="Q669" s="10">
        <f t="shared" si="898"/>
        <v>54868.602199999936</v>
      </c>
      <c r="R669" s="10">
        <f t="shared" si="898"/>
        <v>60050.236899999996</v>
      </c>
      <c r="S669" s="10">
        <f t="shared" si="898"/>
        <v>62237.126499999969</v>
      </c>
      <c r="T669" s="10">
        <f t="shared" ref="T669" si="901">(T322*$C$439)</f>
        <v>57689.318899999955</v>
      </c>
    </row>
    <row r="670" spans="2:20" ht="15" customHeight="1">
      <c r="B670" s="11" t="s">
        <v>330</v>
      </c>
      <c r="C670" s="10">
        <f t="shared" si="857"/>
        <v>122.34868780857336</v>
      </c>
      <c r="D670" s="10">
        <f t="shared" ref="D670:I676" si="902">(D323*$C$439)</f>
        <v>146.9324</v>
      </c>
      <c r="E670" s="10">
        <f t="shared" si="902"/>
        <v>136.69739999999999</v>
      </c>
      <c r="F670" s="10">
        <f t="shared" si="902"/>
        <v>264.48450000000201</v>
      </c>
      <c r="G670" s="10">
        <f t="shared" si="902"/>
        <v>245.81230000000201</v>
      </c>
      <c r="H670" s="10">
        <f t="shared" si="902"/>
        <v>245.81230000000201</v>
      </c>
      <c r="I670" s="10">
        <f t="shared" si="902"/>
        <v>319.62419999998201</v>
      </c>
      <c r="J670" s="10">
        <f t="shared" ref="J670:O670" si="903">(J323*$C$439)</f>
        <v>299.37250000000211</v>
      </c>
      <c r="K670" s="10">
        <f t="shared" si="903"/>
        <v>350.89500000000163</v>
      </c>
      <c r="L670" s="10">
        <f t="shared" si="903"/>
        <v>393.73240000000186</v>
      </c>
      <c r="M670" s="10">
        <f t="shared" si="903"/>
        <v>402.40160000000287</v>
      </c>
      <c r="N670" s="10">
        <f t="shared" si="903"/>
        <v>303.0360000000004</v>
      </c>
      <c r="O670" s="10">
        <f t="shared" si="903"/>
        <v>213.82299999998745</v>
      </c>
      <c r="P670" s="10">
        <f t="shared" si="898"/>
        <v>181.57179999999991</v>
      </c>
      <c r="Q670" s="10">
        <f t="shared" si="898"/>
        <v>142.48500000000001</v>
      </c>
      <c r="R670" s="10">
        <f t="shared" si="898"/>
        <v>128.64500000000004</v>
      </c>
      <c r="S670" s="10">
        <f t="shared" si="898"/>
        <v>128.91900000000004</v>
      </c>
      <c r="T670" s="10">
        <f t="shared" ref="T670" si="904">(T323*$C$439)</f>
        <v>141.54900000000006</v>
      </c>
    </row>
    <row r="671" spans="2:20" ht="15" customHeight="1">
      <c r="B671" s="11" t="s">
        <v>331</v>
      </c>
      <c r="C671" s="10">
        <f t="shared" si="857"/>
        <v>346.17220700254876</v>
      </c>
      <c r="D671" s="10">
        <f t="shared" si="902"/>
        <v>353.05449999999996</v>
      </c>
      <c r="E671" s="10">
        <f t="shared" si="902"/>
        <v>469.24339999999995</v>
      </c>
      <c r="F671" s="10">
        <f t="shared" si="902"/>
        <v>391.34449999999902</v>
      </c>
      <c r="G671" s="10">
        <f t="shared" si="902"/>
        <v>359.39330000000001</v>
      </c>
      <c r="H671" s="10">
        <f t="shared" si="902"/>
        <v>359.39330000000001</v>
      </c>
      <c r="I671" s="10">
        <f t="shared" si="902"/>
        <v>449.42070000000081</v>
      </c>
      <c r="J671" s="10">
        <f t="shared" ref="J671:O671" si="905">(J324*$C$439)</f>
        <v>738.29260000000181</v>
      </c>
      <c r="K671" s="10">
        <f t="shared" si="905"/>
        <v>548.58050000000071</v>
      </c>
      <c r="L671" s="10">
        <f t="shared" si="905"/>
        <v>423.39460000000003</v>
      </c>
      <c r="M671" s="10">
        <f t="shared" si="905"/>
        <v>516.71989999999948</v>
      </c>
      <c r="N671" s="10">
        <f t="shared" si="905"/>
        <v>605.32859999999914</v>
      </c>
      <c r="O671" s="10">
        <f t="shared" si="905"/>
        <v>1257.9216999999448</v>
      </c>
      <c r="P671" s="10">
        <f t="shared" si="898"/>
        <v>1074.3633999999988</v>
      </c>
      <c r="Q671" s="10">
        <f t="shared" si="898"/>
        <v>1052.1789999999987</v>
      </c>
      <c r="R671" s="10">
        <f t="shared" si="898"/>
        <v>1163.3798999999974</v>
      </c>
      <c r="S671" s="10">
        <f t="shared" si="898"/>
        <v>1244.6025</v>
      </c>
      <c r="T671" s="10">
        <f t="shared" ref="T671" si="906">(T324*$C$439)</f>
        <v>1223.6376999999995</v>
      </c>
    </row>
    <row r="672" spans="2:20" ht="15" customHeight="1">
      <c r="B672" s="11" t="s">
        <v>332</v>
      </c>
      <c r="C672" s="10">
        <f t="shared" si="857"/>
        <v>1907.5575277563435</v>
      </c>
      <c r="D672" s="10">
        <f t="shared" si="902"/>
        <v>1203.9554000000001</v>
      </c>
      <c r="E672" s="10">
        <f t="shared" si="902"/>
        <v>1261.8412000000001</v>
      </c>
      <c r="F672" s="10">
        <f t="shared" si="902"/>
        <v>1004.7505000000001</v>
      </c>
      <c r="G672" s="10">
        <f t="shared" si="902"/>
        <v>2154.4193</v>
      </c>
      <c r="H672" s="10">
        <f t="shared" si="902"/>
        <v>2154.4193</v>
      </c>
      <c r="I672" s="10">
        <f t="shared" si="902"/>
        <v>4167.8449999999784</v>
      </c>
      <c r="J672" s="10">
        <f t="shared" ref="J672:O672" si="907">(J325*$C$439)</f>
        <v>6572.094600000024</v>
      </c>
      <c r="K672" s="10">
        <f t="shared" si="907"/>
        <v>8037.3275000000658</v>
      </c>
      <c r="L672" s="10">
        <f t="shared" si="907"/>
        <v>9063.3389000000298</v>
      </c>
      <c r="M672" s="10">
        <f t="shared" si="907"/>
        <v>11450.822199999933</v>
      </c>
      <c r="N672" s="10">
        <f t="shared" si="907"/>
        <v>13548.970699999985</v>
      </c>
      <c r="O672" s="10">
        <f t="shared" si="907"/>
        <v>14826.844799999903</v>
      </c>
      <c r="P672" s="10">
        <f t="shared" si="898"/>
        <v>12729.860300000006</v>
      </c>
      <c r="Q672" s="10">
        <f t="shared" si="898"/>
        <v>11099.242500000006</v>
      </c>
      <c r="R672" s="10">
        <f t="shared" si="898"/>
        <v>12153.193599999995</v>
      </c>
      <c r="S672" s="10">
        <f t="shared" si="898"/>
        <v>10667.846700000011</v>
      </c>
      <c r="T672" s="10">
        <f t="shared" ref="T672" si="908">(T325*$C$439)</f>
        <v>9758.8730999999916</v>
      </c>
    </row>
    <row r="673" spans="2:20" ht="15" customHeight="1">
      <c r="B673" s="11" t="s">
        <v>333</v>
      </c>
      <c r="C673" s="10">
        <f t="shared" si="857"/>
        <v>1112.2116265327575</v>
      </c>
      <c r="D673" s="10">
        <f t="shared" si="902"/>
        <v>1862.4558</v>
      </c>
      <c r="E673" s="10">
        <f t="shared" si="902"/>
        <v>1871.1935999999998</v>
      </c>
      <c r="F673" s="10">
        <f t="shared" si="902"/>
        <v>2139.79629999999</v>
      </c>
      <c r="G673" s="10">
        <f t="shared" si="902"/>
        <v>3238.4577000000199</v>
      </c>
      <c r="H673" s="10">
        <f t="shared" si="902"/>
        <v>3238.4577000000199</v>
      </c>
      <c r="I673" s="10">
        <f t="shared" si="902"/>
        <v>2014.7962000000118</v>
      </c>
      <c r="J673" s="10">
        <f t="shared" ref="J673:O673" si="909">(J326*$C$439)</f>
        <v>478.4067</v>
      </c>
      <c r="K673" s="10">
        <f t="shared" si="909"/>
        <v>685.70270000000016</v>
      </c>
      <c r="L673" s="10">
        <f t="shared" si="909"/>
        <v>634.26909999999998</v>
      </c>
      <c r="M673" s="10">
        <f t="shared" si="909"/>
        <v>949.6027000000006</v>
      </c>
      <c r="N673" s="10">
        <f t="shared" si="909"/>
        <v>963.39980000000071</v>
      </c>
      <c r="O673" s="10">
        <f t="shared" si="909"/>
        <v>1741.0561000000046</v>
      </c>
      <c r="P673" s="10">
        <f t="shared" si="898"/>
        <v>5236.7655000000032</v>
      </c>
      <c r="Q673" s="10">
        <f t="shared" si="898"/>
        <v>7151.105100000007</v>
      </c>
      <c r="R673" s="10">
        <f t="shared" si="898"/>
        <v>8522.2925000000068</v>
      </c>
      <c r="S673" s="10">
        <f t="shared" si="898"/>
        <v>11945.287800000042</v>
      </c>
      <c r="T673" s="10">
        <f t="shared" ref="T673" si="910">(T326*$C$439)</f>
        <v>13886.840100000039</v>
      </c>
    </row>
    <row r="674" spans="2:20" ht="15" customHeight="1">
      <c r="B674" s="11" t="s">
        <v>334</v>
      </c>
      <c r="C674" s="10">
        <f t="shared" si="857"/>
        <v>152.02084093655705</v>
      </c>
      <c r="D674" s="10">
        <f t="shared" si="902"/>
        <v>75.681100000000001</v>
      </c>
      <c r="E674" s="10">
        <f t="shared" si="902"/>
        <v>30.718200000000003</v>
      </c>
      <c r="F674" s="10">
        <f t="shared" si="902"/>
        <v>202.15650000000002</v>
      </c>
      <c r="G674" s="10">
        <f t="shared" si="902"/>
        <v>32.457700000000003</v>
      </c>
      <c r="H674" s="10">
        <f t="shared" si="902"/>
        <v>32.457700000000003</v>
      </c>
      <c r="I674" s="10">
        <f t="shared" si="902"/>
        <v>33.922699999999999</v>
      </c>
      <c r="J674" s="10">
        <f t="shared" ref="J674:O674" si="911">(J327*$C$439)</f>
        <v>19.350899999999999</v>
      </c>
      <c r="K674" s="10">
        <f t="shared" si="911"/>
        <v>38.418900000000001</v>
      </c>
      <c r="L674" s="10">
        <f t="shared" si="911"/>
        <v>21.676199999999998</v>
      </c>
      <c r="M674" s="10">
        <f t="shared" si="911"/>
        <v>20.414999999999999</v>
      </c>
      <c r="N674" s="10">
        <f t="shared" si="911"/>
        <v>20.5242</v>
      </c>
      <c r="O674" s="10">
        <f t="shared" si="911"/>
        <v>2.8195999999999999</v>
      </c>
      <c r="P674" s="10">
        <f t="shared" si="898"/>
        <v>5.0000000000000001E-3</v>
      </c>
      <c r="Q674" s="10">
        <f t="shared" si="898"/>
        <v>0.02</v>
      </c>
      <c r="R674" s="10">
        <f t="shared" si="898"/>
        <v>0</v>
      </c>
      <c r="S674" s="10">
        <f t="shared" si="898"/>
        <v>5.0000000000000001E-3</v>
      </c>
      <c r="T674" s="10">
        <f t="shared" ref="T674" si="912">(T327*$C$439)</f>
        <v>3.5000000000000003E-2</v>
      </c>
    </row>
    <row r="675" spans="2:20" ht="15" customHeight="1">
      <c r="B675" s="11" t="s">
        <v>335</v>
      </c>
      <c r="C675" s="10">
        <f t="shared" si="857"/>
        <v>27.303243053070183</v>
      </c>
      <c r="D675" s="10">
        <f t="shared" si="902"/>
        <v>31.9177</v>
      </c>
      <c r="E675" s="10">
        <f t="shared" si="902"/>
        <v>32.3018</v>
      </c>
      <c r="F675" s="10">
        <f t="shared" si="902"/>
        <v>56.203400000000002</v>
      </c>
      <c r="G675" s="10">
        <f t="shared" si="902"/>
        <v>72.119900000000101</v>
      </c>
      <c r="H675" s="10">
        <f t="shared" si="902"/>
        <v>72.119900000000101</v>
      </c>
      <c r="I675" s="10">
        <f t="shared" si="902"/>
        <v>78.227499999999438</v>
      </c>
      <c r="J675" s="10">
        <f t="shared" ref="J675:O675" si="913">(J328*$C$439)</f>
        <v>80.057800000000071</v>
      </c>
      <c r="K675" s="10">
        <f t="shared" si="913"/>
        <v>78.689200000000071</v>
      </c>
      <c r="L675" s="10">
        <f t="shared" si="913"/>
        <v>77.441100000000105</v>
      </c>
      <c r="M675" s="10">
        <f t="shared" si="913"/>
        <v>70.750300000000024</v>
      </c>
      <c r="N675" s="10">
        <f t="shared" si="913"/>
        <v>56.890999999999984</v>
      </c>
      <c r="O675" s="10">
        <f t="shared" si="913"/>
        <v>31.592800000000175</v>
      </c>
      <c r="P675" s="10">
        <f t="shared" si="898"/>
        <v>32.765799999999984</v>
      </c>
      <c r="Q675" s="10">
        <f t="shared" si="898"/>
        <v>27.057199999999995</v>
      </c>
      <c r="R675" s="10">
        <f t="shared" si="898"/>
        <v>21.6614</v>
      </c>
      <c r="S675" s="10">
        <f t="shared" si="898"/>
        <v>21.911000000000008</v>
      </c>
      <c r="T675" s="10">
        <f t="shared" ref="T675" si="914">(T328*$C$439)</f>
        <v>22.521599999999999</v>
      </c>
    </row>
    <row r="676" spans="2:20" ht="15" customHeight="1">
      <c r="B676" s="11" t="s">
        <v>336</v>
      </c>
      <c r="C676" s="10">
        <f t="shared" si="857"/>
        <v>110.19123292517476</v>
      </c>
      <c r="D676" s="10">
        <f t="shared" si="902"/>
        <v>107.97580000000001</v>
      </c>
      <c r="E676" s="10">
        <f t="shared" si="902"/>
        <v>144.02500000000001</v>
      </c>
      <c r="F676" s="10">
        <f t="shared" si="902"/>
        <v>149.80770000000001</v>
      </c>
      <c r="G676" s="10">
        <f t="shared" si="902"/>
        <v>98.86760000000001</v>
      </c>
      <c r="H676" s="10">
        <f t="shared" si="902"/>
        <v>98.86760000000001</v>
      </c>
      <c r="I676" s="10">
        <f t="shared" si="902"/>
        <v>131.2818</v>
      </c>
      <c r="J676" s="10">
        <f t="shared" ref="J676:O676" si="915">(J329*$C$439)</f>
        <v>174.68689999999998</v>
      </c>
      <c r="K676" s="10">
        <f t="shared" si="915"/>
        <v>103.7114</v>
      </c>
      <c r="L676" s="10">
        <f t="shared" si="915"/>
        <v>74.433500000000009</v>
      </c>
      <c r="M676" s="10">
        <f t="shared" si="915"/>
        <v>109.91040000000002</v>
      </c>
      <c r="N676" s="10">
        <f t="shared" si="915"/>
        <v>122.8468</v>
      </c>
      <c r="O676" s="10">
        <f t="shared" si="915"/>
        <v>214.68160000000026</v>
      </c>
      <c r="P676" s="10">
        <f t="shared" si="898"/>
        <v>187.24469999999994</v>
      </c>
      <c r="Q676" s="10">
        <f t="shared" si="898"/>
        <v>194.14779999999999</v>
      </c>
      <c r="R676" s="10">
        <f t="shared" si="898"/>
        <v>228.62690000000003</v>
      </c>
      <c r="S676" s="10">
        <f t="shared" si="898"/>
        <v>242.59140000000008</v>
      </c>
      <c r="T676" s="10">
        <f t="shared" ref="T676" si="916">(T329*$C$439)</f>
        <v>339.05120000000034</v>
      </c>
    </row>
    <row r="677" spans="2:20" ht="15" customHeight="1">
      <c r="B677" s="11" t="s">
        <v>337</v>
      </c>
      <c r="C677" s="10">
        <f t="shared" si="857"/>
        <v>1048.0993636024818</v>
      </c>
      <c r="D677" s="10">
        <f>(D330*$C$439)</f>
        <v>761.33550000000002</v>
      </c>
      <c r="E677" s="10">
        <f>(E330*$C$439)</f>
        <v>753.55740000000003</v>
      </c>
      <c r="F677" s="10">
        <f>(F330*$C$439)</f>
        <v>581.22120000000007</v>
      </c>
      <c r="G677" s="10">
        <f>(G330*$C$439)</f>
        <v>908.1848</v>
      </c>
      <c r="H677" s="10">
        <f>(H330*$C$439)</f>
        <v>908.1848</v>
      </c>
      <c r="I677" s="10">
        <f t="shared" ref="D677:I685" si="917">(I330*$C$439)</f>
        <v>2885.7310000000534</v>
      </c>
      <c r="J677" s="10">
        <f t="shared" ref="J677:O677" si="918">(J330*$C$439)</f>
        <v>4894.1733999999406</v>
      </c>
      <c r="K677" s="10">
        <f t="shared" si="918"/>
        <v>5338.9973999999411</v>
      </c>
      <c r="L677" s="10">
        <f t="shared" si="918"/>
        <v>5971.5067000000681</v>
      </c>
      <c r="M677" s="10">
        <f t="shared" si="918"/>
        <v>8011.9379999999901</v>
      </c>
      <c r="N677" s="10">
        <f t="shared" si="918"/>
        <v>9095.6318999999658</v>
      </c>
      <c r="O677" s="10">
        <f t="shared" si="918"/>
        <v>9048.4454999986901</v>
      </c>
      <c r="P677" s="10">
        <f t="shared" si="898"/>
        <v>8941.1810000000132</v>
      </c>
      <c r="Q677" s="10">
        <f t="shared" si="898"/>
        <v>7747.9796000000069</v>
      </c>
      <c r="R677" s="10">
        <f t="shared" si="898"/>
        <v>7777.0916000000125</v>
      </c>
      <c r="S677" s="10">
        <f t="shared" si="898"/>
        <v>6917.1605000000063</v>
      </c>
      <c r="T677" s="10">
        <f t="shared" ref="T677" si="919">(T330*$C$439)</f>
        <v>5690.3099000000011</v>
      </c>
    </row>
    <row r="678" spans="2:20" ht="15" customHeight="1">
      <c r="B678" s="11" t="s">
        <v>338</v>
      </c>
      <c r="C678" s="10">
        <f t="shared" si="857"/>
        <v>358.82865103107218</v>
      </c>
      <c r="D678" s="10">
        <f t="shared" si="917"/>
        <v>742.43230000000096</v>
      </c>
      <c r="E678" s="10">
        <f t="shared" si="917"/>
        <v>730.20039999999995</v>
      </c>
      <c r="F678" s="10">
        <f t="shared" si="917"/>
        <v>1214.5553</v>
      </c>
      <c r="G678" s="10">
        <f t="shared" si="917"/>
        <v>2040.5777</v>
      </c>
      <c r="H678" s="10">
        <f t="shared" si="917"/>
        <v>2040.5777</v>
      </c>
      <c r="I678" s="10">
        <f t="shared" si="917"/>
        <v>1302.1758999999779</v>
      </c>
      <c r="J678" s="10">
        <f t="shared" ref="J678:O678" si="920">(J331*$C$439)</f>
        <v>71.748400000000004</v>
      </c>
      <c r="K678" s="10">
        <f t="shared" si="920"/>
        <v>121.97250000000003</v>
      </c>
      <c r="L678" s="10">
        <f t="shared" si="920"/>
        <v>80.321100000000001</v>
      </c>
      <c r="M678" s="10">
        <f t="shared" si="920"/>
        <v>132.7621</v>
      </c>
      <c r="N678" s="10">
        <f t="shared" si="920"/>
        <v>283.22399999999999</v>
      </c>
      <c r="O678" s="10">
        <f t="shared" si="920"/>
        <v>629.30370000000164</v>
      </c>
      <c r="P678" s="10">
        <f t="shared" si="898"/>
        <v>3707.8162000000011</v>
      </c>
      <c r="Q678" s="10">
        <f t="shared" si="898"/>
        <v>5576.9498000000085</v>
      </c>
      <c r="R678" s="10">
        <f t="shared" si="898"/>
        <v>6847.0509000000175</v>
      </c>
      <c r="S678" s="10">
        <f t="shared" si="898"/>
        <v>9732.123300000032</v>
      </c>
      <c r="T678" s="10">
        <f t="shared" ref="T678" si="921">(T331*$C$439)</f>
        <v>11626.959700000049</v>
      </c>
    </row>
    <row r="679" spans="2:20" ht="15" customHeight="1">
      <c r="B679" s="11" t="s">
        <v>339</v>
      </c>
      <c r="C679" s="10">
        <f t="shared" si="857"/>
        <v>194.96684473401231</v>
      </c>
      <c r="D679" s="10">
        <f t="shared" si="917"/>
        <v>130.4306</v>
      </c>
      <c r="E679" s="10">
        <f t="shared" si="917"/>
        <v>64.802199999999999</v>
      </c>
      <c r="F679" s="10">
        <f t="shared" si="917"/>
        <v>117.1422</v>
      </c>
      <c r="G679" s="10">
        <f t="shared" si="917"/>
        <v>141.88419999999999</v>
      </c>
      <c r="H679" s="10">
        <f t="shared" si="917"/>
        <v>141.88419999999999</v>
      </c>
      <c r="I679" s="10">
        <f t="shared" si="917"/>
        <v>118.8216</v>
      </c>
      <c r="J679" s="10">
        <f t="shared" ref="J679:O679" si="922">(J332*$C$439)</f>
        <v>29.421599999999998</v>
      </c>
      <c r="K679" s="10">
        <f t="shared" si="922"/>
        <v>55.165499999999994</v>
      </c>
      <c r="L679" s="10">
        <f t="shared" si="922"/>
        <v>39.730699999999999</v>
      </c>
      <c r="M679" s="10">
        <f t="shared" si="922"/>
        <v>85.896999999999991</v>
      </c>
      <c r="N679" s="10">
        <f t="shared" si="922"/>
        <v>82.219799999999992</v>
      </c>
      <c r="O679" s="10">
        <f t="shared" si="922"/>
        <v>13.986800000000001</v>
      </c>
      <c r="P679" s="10">
        <f t="shared" si="898"/>
        <v>0</v>
      </c>
      <c r="Q679" s="10">
        <f t="shared" si="898"/>
        <v>2.8045999999999998</v>
      </c>
      <c r="R679" s="10">
        <f t="shared" si="898"/>
        <v>0</v>
      </c>
      <c r="S679" s="10">
        <f t="shared" si="898"/>
        <v>0.02</v>
      </c>
      <c r="T679" s="10">
        <f t="shared" ref="T679" si="923">(T332*$C$439)</f>
        <v>0</v>
      </c>
    </row>
    <row r="680" spans="2:20" ht="15" customHeight="1">
      <c r="B680" s="11" t="s">
        <v>340</v>
      </c>
      <c r="C680" s="10">
        <f t="shared" si="857"/>
        <v>127.52085481867179</v>
      </c>
      <c r="D680" s="10">
        <f t="shared" si="917"/>
        <v>157.86060000000001</v>
      </c>
      <c r="E680" s="10">
        <f t="shared" si="917"/>
        <v>145.27020000000002</v>
      </c>
      <c r="F680" s="10">
        <f t="shared" si="917"/>
        <v>270.86380000000202</v>
      </c>
      <c r="G680" s="10">
        <f t="shared" si="917"/>
        <v>263.49190000000198</v>
      </c>
      <c r="H680" s="10">
        <f t="shared" si="917"/>
        <v>263.49190000000198</v>
      </c>
      <c r="I680" s="10">
        <f t="shared" si="917"/>
        <v>334.35889999998079</v>
      </c>
      <c r="J680" s="10">
        <f t="shared" ref="J680:O680" si="924">(J333*$C$439)</f>
        <v>353.99760000000236</v>
      </c>
      <c r="K680" s="10">
        <f t="shared" si="924"/>
        <v>364.86200000000196</v>
      </c>
      <c r="L680" s="10">
        <f t="shared" si="924"/>
        <v>385.01960000000162</v>
      </c>
      <c r="M680" s="10">
        <f t="shared" si="924"/>
        <v>403.45870000000286</v>
      </c>
      <c r="N680" s="10">
        <f t="shared" si="924"/>
        <v>320.81400000000087</v>
      </c>
      <c r="O680" s="10">
        <f t="shared" si="924"/>
        <v>243.59219999998405</v>
      </c>
      <c r="P680" s="10">
        <f t="shared" si="898"/>
        <v>201.36999999999978</v>
      </c>
      <c r="Q680" s="10">
        <f t="shared" si="898"/>
        <v>157.94400000000002</v>
      </c>
      <c r="R680" s="10">
        <f t="shared" si="898"/>
        <v>141.07900000000001</v>
      </c>
      <c r="S680" s="10">
        <f t="shared" si="898"/>
        <v>139.66300000000001</v>
      </c>
      <c r="T680" s="10">
        <f t="shared" ref="T680" si="925">(T333*$C$439)</f>
        <v>153.72100000000003</v>
      </c>
    </row>
    <row r="681" spans="2:20" ht="15" customHeight="1">
      <c r="B681" s="11" t="s">
        <v>341</v>
      </c>
      <c r="C681" s="10">
        <f t="shared" si="857"/>
        <v>416.13151584059483</v>
      </c>
      <c r="D681" s="10">
        <f t="shared" si="917"/>
        <v>421.12180000000001</v>
      </c>
      <c r="E681" s="10">
        <f t="shared" si="917"/>
        <v>569.69010000000094</v>
      </c>
      <c r="F681" s="10">
        <f t="shared" si="917"/>
        <v>471.16460000000001</v>
      </c>
      <c r="G681" s="10">
        <f t="shared" si="917"/>
        <v>419.39699999999999</v>
      </c>
      <c r="H681" s="10">
        <f t="shared" si="917"/>
        <v>419.39699999999999</v>
      </c>
      <c r="I681" s="10">
        <f t="shared" si="917"/>
        <v>526.68570000000091</v>
      </c>
      <c r="J681" s="10">
        <f t="shared" ref="J681:O681" si="926">(J334*$C$439)</f>
        <v>850.04650000000231</v>
      </c>
      <c r="K681" s="10">
        <f t="shared" si="926"/>
        <v>610.55830000000094</v>
      </c>
      <c r="L681" s="10">
        <f t="shared" si="926"/>
        <v>482.16939999999994</v>
      </c>
      <c r="M681" s="10">
        <f t="shared" si="926"/>
        <v>603.18039999999883</v>
      </c>
      <c r="N681" s="10">
        <f t="shared" si="926"/>
        <v>707.23819999999807</v>
      </c>
      <c r="O681" s="10">
        <f t="shared" si="926"/>
        <v>1318.3678999999518</v>
      </c>
      <c r="P681" s="10">
        <f t="shared" si="898"/>
        <v>1083.972099999999</v>
      </c>
      <c r="Q681" s="10">
        <f t="shared" si="898"/>
        <v>1063.4760999999987</v>
      </c>
      <c r="R681" s="10">
        <f t="shared" si="898"/>
        <v>1186.9942999999982</v>
      </c>
      <c r="S681" s="10">
        <f t="shared" si="898"/>
        <v>1348.3892999999991</v>
      </c>
      <c r="T681" s="10">
        <f t="shared" ref="T681" si="927">(T334*$C$439)</f>
        <v>1351.4263999999994</v>
      </c>
    </row>
    <row r="682" spans="2:20" ht="15" customHeight="1">
      <c r="B682" s="11" t="s">
        <v>342</v>
      </c>
      <c r="C682" s="10">
        <f t="shared" si="857"/>
        <v>2619.4406045088831</v>
      </c>
      <c r="D682" s="10">
        <f t="shared" si="917"/>
        <v>1745.7402999999902</v>
      </c>
      <c r="E682" s="10">
        <f t="shared" si="917"/>
        <v>1781.60679999999</v>
      </c>
      <c r="F682" s="10">
        <f t="shared" si="917"/>
        <v>1262.2924</v>
      </c>
      <c r="G682" s="10">
        <f t="shared" si="917"/>
        <v>2569.6804000000006</v>
      </c>
      <c r="H682" s="10">
        <f t="shared" si="917"/>
        <v>2569.6804000000006</v>
      </c>
      <c r="I682" s="10">
        <f t="shared" si="917"/>
        <v>5999.4670000000397</v>
      </c>
      <c r="J682" s="10">
        <f t="shared" ref="J682:O682" si="928">(J335*$C$439)</f>
        <v>7798.4198000000597</v>
      </c>
      <c r="K682" s="10">
        <f t="shared" si="928"/>
        <v>8088.4478000000609</v>
      </c>
      <c r="L682" s="10">
        <f t="shared" si="928"/>
        <v>9076.1011000000381</v>
      </c>
      <c r="M682" s="10">
        <f t="shared" si="928"/>
        <v>11998.424899999925</v>
      </c>
      <c r="N682" s="10">
        <f t="shared" si="928"/>
        <v>15872.101699999988</v>
      </c>
      <c r="O682" s="10">
        <f t="shared" si="928"/>
        <v>17205.96000000005</v>
      </c>
      <c r="P682" s="10">
        <f t="shared" si="898"/>
        <v>14904.088800000003</v>
      </c>
      <c r="Q682" s="10">
        <f t="shared" si="898"/>
        <v>13002.083800000011</v>
      </c>
      <c r="R682" s="10">
        <f t="shared" si="898"/>
        <v>13651.121799999995</v>
      </c>
      <c r="S682" s="10">
        <f t="shared" si="898"/>
        <v>11636.27540000001</v>
      </c>
      <c r="T682" s="10">
        <f t="shared" ref="T682" si="929">(T335*$C$439)</f>
        <v>10435.918899999995</v>
      </c>
    </row>
    <row r="683" spans="2:20" ht="15" customHeight="1">
      <c r="B683" s="11" t="s">
        <v>343</v>
      </c>
      <c r="C683" s="10">
        <f t="shared" si="857"/>
        <v>1260.3392542267836</v>
      </c>
      <c r="D683" s="10">
        <f t="shared" si="917"/>
        <v>2290.4633999999901</v>
      </c>
      <c r="E683" s="10">
        <f t="shared" si="917"/>
        <v>2141.1410999999898</v>
      </c>
      <c r="F683" s="10">
        <f t="shared" si="917"/>
        <v>2586.0646999999899</v>
      </c>
      <c r="G683" s="10">
        <f t="shared" si="917"/>
        <v>3705.4373000000301</v>
      </c>
      <c r="H683" s="10">
        <f t="shared" si="917"/>
        <v>3705.4373000000301</v>
      </c>
      <c r="I683" s="10">
        <f t="shared" si="917"/>
        <v>3124.0319000000395</v>
      </c>
      <c r="J683" s="10">
        <f t="shared" ref="J683:O683" si="930">(J336*$C$439)</f>
        <v>515.32209999999998</v>
      </c>
      <c r="K683" s="10">
        <f t="shared" si="930"/>
        <v>618.46540000000005</v>
      </c>
      <c r="L683" s="10">
        <f t="shared" si="930"/>
        <v>540.5104</v>
      </c>
      <c r="M683" s="10">
        <f t="shared" si="930"/>
        <v>933.76520000000107</v>
      </c>
      <c r="N683" s="10">
        <f t="shared" si="930"/>
        <v>1102.4907000000007</v>
      </c>
      <c r="O683" s="10">
        <f t="shared" si="930"/>
        <v>1934.7320000000168</v>
      </c>
      <c r="P683" s="10">
        <f t="shared" si="898"/>
        <v>6073.1004000000039</v>
      </c>
      <c r="Q683" s="10">
        <f t="shared" si="898"/>
        <v>8202.0506000000114</v>
      </c>
      <c r="R683" s="10">
        <f t="shared" si="898"/>
        <v>8825.3594000000139</v>
      </c>
      <c r="S683" s="10">
        <f t="shared" si="898"/>
        <v>13055.287500000042</v>
      </c>
      <c r="T683" s="10">
        <f t="shared" ref="T683" si="931">(T336*$C$439)</f>
        <v>15546.316800000037</v>
      </c>
    </row>
    <row r="684" spans="2:20" ht="15" customHeight="1">
      <c r="B684" s="11" t="s">
        <v>344</v>
      </c>
      <c r="C684" s="10">
        <f t="shared" si="857"/>
        <v>230.2983906898196</v>
      </c>
      <c r="D684" s="10">
        <f t="shared" si="917"/>
        <v>129.32079999999999</v>
      </c>
      <c r="E684" s="10">
        <f t="shared" si="917"/>
        <v>48.714200000000005</v>
      </c>
      <c r="F684" s="10">
        <f t="shared" si="917"/>
        <v>265.7475</v>
      </c>
      <c r="G684" s="10">
        <f t="shared" si="917"/>
        <v>110.72030000000001</v>
      </c>
      <c r="H684" s="10">
        <f t="shared" si="917"/>
        <v>110.72030000000001</v>
      </c>
      <c r="I684" s="10">
        <f t="shared" si="917"/>
        <v>46.733400000000003</v>
      </c>
      <c r="J684" s="10">
        <f t="shared" ref="J684:O684" si="932">(J337*$C$439)</f>
        <v>38.468899999999998</v>
      </c>
      <c r="K684" s="10">
        <f t="shared" si="932"/>
        <v>67.238800000000012</v>
      </c>
      <c r="L684" s="10">
        <f t="shared" si="932"/>
        <v>48.327800000000011</v>
      </c>
      <c r="M684" s="10">
        <f t="shared" si="932"/>
        <v>91.671399999999991</v>
      </c>
      <c r="N684" s="10">
        <f t="shared" si="932"/>
        <v>44.355800000000002</v>
      </c>
      <c r="O684" s="10">
        <f t="shared" si="932"/>
        <v>9.1371000000000002</v>
      </c>
      <c r="P684" s="10">
        <f t="shared" si="898"/>
        <v>5.0000000000000001E-3</v>
      </c>
      <c r="Q684" s="10">
        <f t="shared" si="898"/>
        <v>0.02</v>
      </c>
      <c r="R684" s="10">
        <f t="shared" si="898"/>
        <v>-5.0000000000000001E-3</v>
      </c>
      <c r="S684" s="10">
        <f t="shared" si="898"/>
        <v>0</v>
      </c>
      <c r="T684" s="10">
        <f t="shared" ref="T684" si="933">(T337*$C$439)</f>
        <v>3.5000000000000003E-2</v>
      </c>
    </row>
    <row r="685" spans="2:20" ht="15" customHeight="1">
      <c r="B685" s="11" t="s">
        <v>345</v>
      </c>
      <c r="C685" s="10">
        <f t="shared" si="857"/>
        <v>20.41138960883023</v>
      </c>
      <c r="D685" s="10">
        <f t="shared" si="917"/>
        <v>18.826900000000002</v>
      </c>
      <c r="E685" s="10">
        <f t="shared" si="917"/>
        <v>22.6129</v>
      </c>
      <c r="F685" s="10">
        <f t="shared" si="917"/>
        <v>48.610100000000003</v>
      </c>
      <c r="G685" s="10">
        <f t="shared" si="917"/>
        <v>51.8063</v>
      </c>
      <c r="H685" s="10">
        <f t="shared" si="917"/>
        <v>51.8063</v>
      </c>
      <c r="I685" s="10">
        <f t="shared" si="917"/>
        <v>61.448599999999999</v>
      </c>
      <c r="J685" s="10">
        <f t="shared" ref="J685:O685" si="934">(J338*$C$439)</f>
        <v>74.97440000000006</v>
      </c>
      <c r="K685" s="10">
        <f t="shared" si="934"/>
        <v>62.893399999999993</v>
      </c>
      <c r="L685" s="10">
        <f t="shared" si="934"/>
        <v>87.423100000000119</v>
      </c>
      <c r="M685" s="10">
        <f t="shared" si="934"/>
        <v>71.955000000000041</v>
      </c>
      <c r="N685" s="10">
        <f t="shared" si="934"/>
        <v>37.516799999999975</v>
      </c>
      <c r="O685" s="10">
        <f t="shared" si="934"/>
        <v>9.9314000000000267</v>
      </c>
      <c r="P685" s="10">
        <f t="shared" si="898"/>
        <v>11.339000000000006</v>
      </c>
      <c r="Q685" s="10">
        <f t="shared" si="898"/>
        <v>9.8634000000000004</v>
      </c>
      <c r="R685" s="10">
        <f t="shared" si="898"/>
        <v>7.8199999999999994</v>
      </c>
      <c r="S685" s="10">
        <f t="shared" si="898"/>
        <v>9.0861999999999998</v>
      </c>
      <c r="T685" s="10">
        <f t="shared" ref="T685" si="935">(T338*$C$439)</f>
        <v>8.7584000000000035</v>
      </c>
    </row>
    <row r="686" spans="2:20" ht="15" customHeight="1">
      <c r="B686" s="11" t="s">
        <v>346</v>
      </c>
      <c r="C686" s="10">
        <f t="shared" ref="C686:I710" si="936">(C339*$C$439)</f>
        <v>26.886373136363954</v>
      </c>
      <c r="D686" s="10">
        <f t="shared" si="936"/>
        <v>27.283800000000003</v>
      </c>
      <c r="E686" s="10">
        <f t="shared" si="936"/>
        <v>28.0992</v>
      </c>
      <c r="F686" s="10">
        <f t="shared" si="936"/>
        <v>58.171999999999997</v>
      </c>
      <c r="G686" s="10">
        <f t="shared" si="936"/>
        <v>31.000300000000003</v>
      </c>
      <c r="H686" s="10">
        <f t="shared" si="936"/>
        <v>31.000300000000003</v>
      </c>
      <c r="I686" s="10">
        <f t="shared" si="936"/>
        <v>41.978500000000103</v>
      </c>
      <c r="J686" s="10">
        <f t="shared" ref="J686:O686" si="937">(J339*$C$439)</f>
        <v>45.188500000000005</v>
      </c>
      <c r="K686" s="10">
        <f t="shared" si="937"/>
        <v>34.187100000000001</v>
      </c>
      <c r="L686" s="10">
        <f t="shared" si="937"/>
        <v>8.1147999999999989</v>
      </c>
      <c r="M686" s="10">
        <f t="shared" si="937"/>
        <v>11.3401</v>
      </c>
      <c r="N686" s="10">
        <f t="shared" si="937"/>
        <v>8.6168000000000013</v>
      </c>
      <c r="O686" s="10">
        <f t="shared" si="937"/>
        <v>133.64339999999996</v>
      </c>
      <c r="P686" s="10">
        <f t="shared" si="898"/>
        <v>179.4632</v>
      </c>
      <c r="Q686" s="10">
        <f t="shared" si="898"/>
        <v>185.0352</v>
      </c>
      <c r="R686" s="10">
        <f t="shared" si="898"/>
        <v>209.44480000000007</v>
      </c>
      <c r="S686" s="10">
        <f t="shared" si="898"/>
        <v>130.01680000000016</v>
      </c>
      <c r="T686" s="10">
        <f t="shared" ref="T686" si="938">(T339*$C$439)</f>
        <v>198.08930000000024</v>
      </c>
    </row>
    <row r="687" spans="2:20" ht="15" customHeight="1">
      <c r="B687" s="11" t="s">
        <v>347</v>
      </c>
      <c r="C687" s="10">
        <f t="shared" si="936"/>
        <v>221.38851042224471</v>
      </c>
      <c r="D687" s="10">
        <f t="shared" si="936"/>
        <v>135.23850000000002</v>
      </c>
      <c r="E687" s="10">
        <f t="shared" si="936"/>
        <v>157.47469999999998</v>
      </c>
      <c r="F687" s="10">
        <f t="shared" si="936"/>
        <v>282.8424</v>
      </c>
      <c r="G687" s="10">
        <f t="shared" si="936"/>
        <v>428.07139999999998</v>
      </c>
      <c r="H687" s="10">
        <f t="shared" si="936"/>
        <v>428.07139999999998</v>
      </c>
      <c r="I687" s="10">
        <f t="shared" si="936"/>
        <v>1728.6176999999939</v>
      </c>
      <c r="J687" s="10">
        <f t="shared" ref="J687:O687" si="939">(J340*$C$439)</f>
        <v>3487.4759999999746</v>
      </c>
      <c r="K687" s="10">
        <f t="shared" si="939"/>
        <v>5278.9435999999432</v>
      </c>
      <c r="L687" s="10">
        <f t="shared" si="939"/>
        <v>5951.829300000074</v>
      </c>
      <c r="M687" s="10">
        <f t="shared" si="939"/>
        <v>7427.3103999999757</v>
      </c>
      <c r="N687" s="10">
        <f t="shared" si="939"/>
        <v>6475.2700999999852</v>
      </c>
      <c r="O687" s="10">
        <f t="shared" si="939"/>
        <v>6285.5525999993542</v>
      </c>
      <c r="P687" s="10">
        <f t="shared" si="898"/>
        <v>6484.2025000000122</v>
      </c>
      <c r="Q687" s="10">
        <f t="shared" si="898"/>
        <v>5592.0729000000065</v>
      </c>
      <c r="R687" s="10">
        <f t="shared" si="898"/>
        <v>6085.5539000000053</v>
      </c>
      <c r="S687" s="10">
        <f t="shared" si="898"/>
        <v>5834.7649000000056</v>
      </c>
      <c r="T687" s="10">
        <f t="shared" ref="T687" si="940">(T340*$C$439)</f>
        <v>4973.3626000000004</v>
      </c>
    </row>
    <row r="688" spans="2:20" ht="15" customHeight="1">
      <c r="B688" s="11" t="s">
        <v>348</v>
      </c>
      <c r="C688" s="10">
        <f t="shared" si="936"/>
        <v>183.88478203832216</v>
      </c>
      <c r="D688" s="10">
        <f t="shared" si="936"/>
        <v>227.55459999999999</v>
      </c>
      <c r="E688" s="10">
        <f t="shared" si="936"/>
        <v>362.86529999999999</v>
      </c>
      <c r="F688" s="10">
        <f t="shared" si="936"/>
        <v>585.1825</v>
      </c>
      <c r="G688" s="10">
        <f t="shared" si="936"/>
        <v>1324.9818</v>
      </c>
      <c r="H688" s="10">
        <f t="shared" si="936"/>
        <v>1324.9818</v>
      </c>
      <c r="I688" s="10">
        <f t="shared" si="936"/>
        <v>940.11579999998696</v>
      </c>
      <c r="J688" s="10">
        <f t="shared" ref="J688:O688" si="941">(J341*$C$439)</f>
        <v>26.947300000000002</v>
      </c>
      <c r="K688" s="10">
        <f t="shared" si="941"/>
        <v>198.11970000000002</v>
      </c>
      <c r="L688" s="10">
        <f t="shared" si="941"/>
        <v>180.42950000000005</v>
      </c>
      <c r="M688" s="10">
        <f t="shared" si="941"/>
        <v>150.9453</v>
      </c>
      <c r="N688" s="10">
        <f t="shared" si="941"/>
        <v>118.7379</v>
      </c>
      <c r="O688" s="10">
        <f t="shared" si="941"/>
        <v>410.32690000000122</v>
      </c>
      <c r="P688" s="10">
        <f t="shared" ref="P688:S707" si="942">(P341*$C$439)</f>
        <v>2747.3288000000002</v>
      </c>
      <c r="Q688" s="10">
        <f t="shared" si="942"/>
        <v>4402.9668000000038</v>
      </c>
      <c r="R688" s="10">
        <f t="shared" si="942"/>
        <v>6547.8032000000094</v>
      </c>
      <c r="S688" s="10">
        <f t="shared" si="942"/>
        <v>8505.2544000000253</v>
      </c>
      <c r="T688" s="10">
        <f t="shared" ref="T688" si="943">(T341*$C$439)</f>
        <v>9831.0887000000293</v>
      </c>
    </row>
    <row r="689" spans="2:20" ht="15" customHeight="1">
      <c r="B689" s="11" t="s">
        <v>349</v>
      </c>
      <c r="C689" s="10">
        <f t="shared" si="936"/>
        <v>84.717467361976304</v>
      </c>
      <c r="D689" s="10">
        <f t="shared" si="936"/>
        <v>71.630399999999995</v>
      </c>
      <c r="E689" s="10">
        <f t="shared" si="936"/>
        <v>79.433199999999999</v>
      </c>
      <c r="F689" s="10">
        <f t="shared" si="936"/>
        <v>49.001599999999996</v>
      </c>
      <c r="G689" s="10">
        <f t="shared" si="936"/>
        <v>75.829599999999999</v>
      </c>
      <c r="H689" s="10">
        <f t="shared" si="936"/>
        <v>75.829599999999999</v>
      </c>
      <c r="I689" s="10">
        <f t="shared" si="936"/>
        <v>174.05310000000003</v>
      </c>
      <c r="J689" s="10">
        <f t="shared" ref="J689:O689" si="944">(J342*$C$439)</f>
        <v>121.36410000000001</v>
      </c>
      <c r="K689" s="10">
        <f t="shared" si="944"/>
        <v>198.6395</v>
      </c>
      <c r="L689" s="10">
        <f t="shared" si="944"/>
        <v>140.9358</v>
      </c>
      <c r="M689" s="10">
        <f t="shared" si="944"/>
        <v>152.12039999999999</v>
      </c>
      <c r="N689" s="10">
        <f t="shared" si="944"/>
        <v>129.27529999999999</v>
      </c>
      <c r="O689" s="10">
        <f t="shared" si="944"/>
        <v>3.4967000000000001</v>
      </c>
      <c r="P689" s="10">
        <f t="shared" si="942"/>
        <v>0</v>
      </c>
      <c r="Q689" s="10">
        <f t="shared" si="942"/>
        <v>0</v>
      </c>
      <c r="R689" s="10">
        <f t="shared" si="942"/>
        <v>0</v>
      </c>
      <c r="S689" s="10">
        <f t="shared" si="942"/>
        <v>2.5000000000000001E-2</v>
      </c>
      <c r="T689" s="10">
        <f t="shared" ref="T689" si="945">(T342*$C$439)</f>
        <v>0</v>
      </c>
    </row>
    <row r="690" spans="2:20" ht="15" customHeight="1">
      <c r="B690" s="11" t="s">
        <v>305</v>
      </c>
      <c r="C690" s="10">
        <f t="shared" si="936"/>
        <v>7042.4048013518768</v>
      </c>
      <c r="D690" s="10">
        <f t="shared" si="936"/>
        <v>8064.4566000000004</v>
      </c>
      <c r="E690" s="10">
        <f t="shared" si="936"/>
        <v>7386.6512000000012</v>
      </c>
      <c r="F690" s="10">
        <f t="shared" si="936"/>
        <v>8995.9877000000015</v>
      </c>
      <c r="G690" s="10">
        <f t="shared" si="936"/>
        <v>10606.9249</v>
      </c>
      <c r="H690" s="10">
        <f t="shared" si="936"/>
        <v>10606.9249</v>
      </c>
      <c r="I690" s="10">
        <f t="shared" si="936"/>
        <v>11471.774799999999</v>
      </c>
      <c r="J690" s="10">
        <f t="shared" ref="J690:O690" si="946">(J343*$C$439)</f>
        <v>13329.9576</v>
      </c>
      <c r="K690" s="10">
        <f t="shared" si="946"/>
        <v>14606.355899999999</v>
      </c>
      <c r="L690" s="10">
        <f t="shared" si="946"/>
        <v>15895.5669</v>
      </c>
      <c r="M690" s="10">
        <f t="shared" si="946"/>
        <v>17873.168800000003</v>
      </c>
      <c r="N690" s="10">
        <f t="shared" si="946"/>
        <v>19537.819899999995</v>
      </c>
      <c r="O690" s="10">
        <f t="shared" si="946"/>
        <v>22407.176900000006</v>
      </c>
      <c r="P690" s="10">
        <f t="shared" si="942"/>
        <v>25858.846500000011</v>
      </c>
      <c r="Q690" s="10">
        <f t="shared" si="942"/>
        <v>26069.00639999998</v>
      </c>
      <c r="R690" s="10">
        <f t="shared" si="942"/>
        <v>27499.786599999985</v>
      </c>
      <c r="S690" s="10">
        <f t="shared" si="942"/>
        <v>30301.963399999979</v>
      </c>
      <c r="T690" s="10">
        <f t="shared" ref="T690" si="947">(T343*$C$439)</f>
        <v>32350.322499999991</v>
      </c>
    </row>
    <row r="691" spans="2:20" ht="15" customHeight="1">
      <c r="B691" s="11" t="s">
        <v>306</v>
      </c>
      <c r="C691" s="10">
        <f t="shared" si="936"/>
        <v>1787.0173675117121</v>
      </c>
      <c r="D691" s="10">
        <f t="shared" si="936"/>
        <v>2346.4555</v>
      </c>
      <c r="E691" s="10">
        <f t="shared" si="936"/>
        <v>1489.5747999999999</v>
      </c>
      <c r="F691" s="10">
        <f t="shared" si="936"/>
        <v>1249.5449000000001</v>
      </c>
      <c r="G691" s="10">
        <f t="shared" si="936"/>
        <v>1239.1013</v>
      </c>
      <c r="H691" s="10">
        <f t="shared" si="936"/>
        <v>1239.1013</v>
      </c>
      <c r="I691" s="10">
        <f t="shared" si="936"/>
        <v>1488.7882999999999</v>
      </c>
      <c r="J691" s="10">
        <f t="shared" ref="J691:O691" si="948">(J344*$C$439)</f>
        <v>1554.2763</v>
      </c>
      <c r="K691" s="10">
        <f t="shared" si="948"/>
        <v>1231.2884000000004</v>
      </c>
      <c r="L691" s="10">
        <f t="shared" si="948"/>
        <v>1344.6126000000002</v>
      </c>
      <c r="M691" s="10">
        <f t="shared" si="948"/>
        <v>1830.0066999999999</v>
      </c>
      <c r="N691" s="10">
        <f t="shared" si="948"/>
        <v>2774.3193000000006</v>
      </c>
      <c r="O691" s="10">
        <f t="shared" si="948"/>
        <v>2730.6075000000014</v>
      </c>
      <c r="P691" s="10">
        <f t="shared" si="942"/>
        <v>2912.0998000000031</v>
      </c>
      <c r="Q691" s="10">
        <f t="shared" si="942"/>
        <v>3259.5889000000025</v>
      </c>
      <c r="R691" s="10">
        <f t="shared" si="942"/>
        <v>3730.4295000000006</v>
      </c>
      <c r="S691" s="10">
        <f t="shared" si="942"/>
        <v>4388.2376999999988</v>
      </c>
      <c r="T691" s="10">
        <f t="shared" ref="T691" si="949">(T344*$C$439)</f>
        <v>4899.5835000000034</v>
      </c>
    </row>
    <row r="692" spans="2:20" ht="15" customHeight="1">
      <c r="B692" s="11" t="s">
        <v>60</v>
      </c>
      <c r="C692" s="10">
        <f t="shared" si="936"/>
        <v>0</v>
      </c>
      <c r="D692" s="10">
        <f t="shared" si="936"/>
        <v>0</v>
      </c>
      <c r="E692" s="10">
        <f t="shared" si="936"/>
        <v>0</v>
      </c>
      <c r="F692" s="10">
        <f t="shared" si="936"/>
        <v>0</v>
      </c>
      <c r="G692" s="10">
        <f t="shared" si="936"/>
        <v>0</v>
      </c>
      <c r="H692" s="10">
        <f t="shared" si="936"/>
        <v>18318.307000000001</v>
      </c>
      <c r="I692" s="10">
        <f t="shared" si="936"/>
        <v>22081.862600000008</v>
      </c>
      <c r="J692" s="10">
        <f t="shared" ref="J692:O692" si="950">(J345*$C$439)</f>
        <v>26029.853700000003</v>
      </c>
      <c r="K692" s="10">
        <f t="shared" si="950"/>
        <v>30704.369299999998</v>
      </c>
      <c r="L692" s="10">
        <f t="shared" si="950"/>
        <v>66359.935800000007</v>
      </c>
      <c r="M692" s="10">
        <f t="shared" si="950"/>
        <v>58528.296160504215</v>
      </c>
      <c r="N692" s="10">
        <f t="shared" si="950"/>
        <v>78503.926100000012</v>
      </c>
      <c r="O692" s="10">
        <f t="shared" si="950"/>
        <v>101367.81290000002</v>
      </c>
      <c r="P692" s="10">
        <f t="shared" si="942"/>
        <v>118644.65059999999</v>
      </c>
      <c r="Q692" s="10">
        <f t="shared" si="942"/>
        <v>128764.41709999999</v>
      </c>
      <c r="R692" s="10">
        <f t="shared" si="942"/>
        <v>134596.3456</v>
      </c>
      <c r="S692" s="10">
        <f t="shared" si="942"/>
        <v>150306.45080000011</v>
      </c>
      <c r="T692" s="10">
        <f t="shared" ref="T692" si="951">(T345*$C$439)</f>
        <v>167328.53720000014</v>
      </c>
    </row>
    <row r="693" spans="2:20" ht="15" customHeight="1">
      <c r="B693" s="11" t="s">
        <v>58</v>
      </c>
      <c r="C693" s="10">
        <f t="shared" si="936"/>
        <v>11425.141465130961</v>
      </c>
      <c r="D693" s="10">
        <f t="shared" si="936"/>
        <v>24539.960600000002</v>
      </c>
      <c r="E693" s="10">
        <f t="shared" si="936"/>
        <v>32065.775194000002</v>
      </c>
      <c r="F693" s="10">
        <f t="shared" si="936"/>
        <v>29769.465899999999</v>
      </c>
      <c r="G693" s="10">
        <f t="shared" si="936"/>
        <v>31862.039000000001</v>
      </c>
      <c r="H693" s="10">
        <f t="shared" si="936"/>
        <v>31862.039000000001</v>
      </c>
      <c r="I693" s="10">
        <f t="shared" si="936"/>
        <v>36823.442710000003</v>
      </c>
      <c r="J693" s="10">
        <f t="shared" ref="J693:O693" si="952">(J346*$C$439)</f>
        <v>43206.480299999996</v>
      </c>
      <c r="K693" s="10">
        <f t="shared" si="952"/>
        <v>47093.278999999995</v>
      </c>
      <c r="L693" s="10">
        <f t="shared" si="952"/>
        <v>46410.698200000006</v>
      </c>
      <c r="M693" s="10">
        <f t="shared" si="952"/>
        <v>55726.270299999996</v>
      </c>
      <c r="N693" s="10">
        <f t="shared" si="952"/>
        <v>59850.541200000014</v>
      </c>
      <c r="O693" s="10">
        <f t="shared" si="952"/>
        <v>63756.832800000011</v>
      </c>
      <c r="P693" s="10">
        <f t="shared" si="942"/>
        <v>65896.17300000001</v>
      </c>
      <c r="Q693" s="10">
        <f t="shared" si="942"/>
        <v>67969.029399999999</v>
      </c>
      <c r="R693" s="10">
        <f t="shared" si="942"/>
        <v>68439.458400000003</v>
      </c>
      <c r="S693" s="10">
        <f t="shared" si="942"/>
        <v>65793.184700000013</v>
      </c>
      <c r="T693" s="10">
        <f t="shared" ref="T693" si="953">(T346*$C$439)</f>
        <v>65868.0815</v>
      </c>
    </row>
    <row r="694" spans="2:20" ht="15" customHeight="1">
      <c r="B694" s="11" t="s">
        <v>56</v>
      </c>
      <c r="C694" s="10">
        <f t="shared" si="936"/>
        <v>11303.469485714288</v>
      </c>
      <c r="D694" s="10">
        <f t="shared" si="936"/>
        <v>11980.566200000001</v>
      </c>
      <c r="E694" s="10">
        <f t="shared" si="936"/>
        <v>14789.965499999998</v>
      </c>
      <c r="F694" s="10">
        <f t="shared" si="936"/>
        <v>19392.490600000001</v>
      </c>
      <c r="G694" s="10">
        <f t="shared" si="936"/>
        <v>25972.621400000004</v>
      </c>
      <c r="H694" s="10">
        <f t="shared" si="936"/>
        <v>25972.621400000004</v>
      </c>
      <c r="I694" s="10">
        <f t="shared" si="936"/>
        <v>26413.7713</v>
      </c>
      <c r="J694" s="10">
        <f t="shared" ref="J694:O694" si="954">(J347*$C$439)</f>
        <v>32181.856299999999</v>
      </c>
      <c r="K694" s="10">
        <f t="shared" si="954"/>
        <v>36311.4954</v>
      </c>
      <c r="L694" s="10">
        <f t="shared" si="954"/>
        <v>38929.637500000004</v>
      </c>
      <c r="M694" s="10">
        <f t="shared" si="954"/>
        <v>43835.135500000011</v>
      </c>
      <c r="N694" s="10">
        <f t="shared" si="954"/>
        <v>50046.543699999995</v>
      </c>
      <c r="O694" s="10">
        <f t="shared" si="954"/>
        <v>54917.705500000011</v>
      </c>
      <c r="P694" s="10">
        <f t="shared" si="942"/>
        <v>59702.958100000003</v>
      </c>
      <c r="Q694" s="10">
        <f t="shared" si="942"/>
        <v>61315.59090000001</v>
      </c>
      <c r="R694" s="10">
        <f t="shared" si="942"/>
        <v>94995.819900000002</v>
      </c>
      <c r="S694" s="10">
        <f t="shared" si="942"/>
        <v>98848.742799999993</v>
      </c>
      <c r="T694" s="10">
        <f t="shared" ref="T694" si="955">(T347*$C$439)</f>
        <v>103748.7726</v>
      </c>
    </row>
    <row r="695" spans="2:20" ht="15" customHeight="1">
      <c r="B695" s="11" t="s">
        <v>63</v>
      </c>
      <c r="C695" s="10">
        <f t="shared" si="936"/>
        <v>6408.8577142857157</v>
      </c>
      <c r="D695" s="10">
        <f t="shared" si="936"/>
        <v>6169.8</v>
      </c>
      <c r="E695" s="10">
        <f t="shared" si="936"/>
        <v>7256.4129840000014</v>
      </c>
      <c r="F695" s="10">
        <f t="shared" si="936"/>
        <v>8981.6957999999995</v>
      </c>
      <c r="G695" s="10">
        <f t="shared" si="936"/>
        <v>10526.260700000001</v>
      </c>
      <c r="H695" s="10">
        <f t="shared" si="936"/>
        <v>10526.260700000001</v>
      </c>
      <c r="I695" s="10">
        <f t="shared" si="936"/>
        <v>10697.631300000001</v>
      </c>
      <c r="J695" s="10">
        <f t="shared" ref="J695:O695" si="956">(J348*$C$439)</f>
        <v>14245.426909999998</v>
      </c>
      <c r="K695" s="10">
        <f t="shared" si="956"/>
        <v>15794.5638</v>
      </c>
      <c r="L695" s="10">
        <f t="shared" si="956"/>
        <v>19365.851200000001</v>
      </c>
      <c r="M695" s="10">
        <f t="shared" si="956"/>
        <v>22034.270199999995</v>
      </c>
      <c r="N695" s="10">
        <f t="shared" si="956"/>
        <v>25608.908500000005</v>
      </c>
      <c r="O695" s="10">
        <f t="shared" si="956"/>
        <v>28418.612200000003</v>
      </c>
      <c r="P695" s="10">
        <f t="shared" si="942"/>
        <v>32474.462000000007</v>
      </c>
      <c r="Q695" s="10">
        <f t="shared" si="942"/>
        <v>33663.7428</v>
      </c>
      <c r="R695" s="10">
        <f t="shared" si="942"/>
        <v>34682.491499999996</v>
      </c>
      <c r="S695" s="10">
        <f t="shared" si="942"/>
        <v>37106.796600000001</v>
      </c>
      <c r="T695" s="10">
        <f t="shared" ref="T695" si="957">(T348*$C$439)</f>
        <v>36333.275599999994</v>
      </c>
    </row>
    <row r="696" spans="2:20" ht="15" customHeight="1">
      <c r="B696" s="11" t="s">
        <v>57</v>
      </c>
      <c r="C696" s="10">
        <f t="shared" si="936"/>
        <v>53621.736012727262</v>
      </c>
      <c r="D696" s="10">
        <f t="shared" si="936"/>
        <v>67724.7353</v>
      </c>
      <c r="E696" s="10">
        <f t="shared" si="936"/>
        <v>70105.886699999988</v>
      </c>
      <c r="F696" s="10">
        <f t="shared" si="936"/>
        <v>75203.596000000005</v>
      </c>
      <c r="G696" s="10">
        <f t="shared" si="936"/>
        <v>93944.01939999999</v>
      </c>
      <c r="H696" s="10">
        <f t="shared" si="936"/>
        <v>93944.01939999999</v>
      </c>
      <c r="I696" s="10">
        <f t="shared" si="936"/>
        <v>97466.307900000014</v>
      </c>
      <c r="J696" s="10">
        <f t="shared" ref="J696:O696" si="958">(J349*$C$439)</f>
        <v>115566.18920000001</v>
      </c>
      <c r="K696" s="10">
        <f t="shared" si="958"/>
        <v>140177.3989</v>
      </c>
      <c r="L696" s="10">
        <f t="shared" si="958"/>
        <v>144577.3119</v>
      </c>
      <c r="M696" s="10">
        <f t="shared" si="958"/>
        <v>157428.73480000001</v>
      </c>
      <c r="N696" s="10">
        <f t="shared" si="958"/>
        <v>183885.67689999999</v>
      </c>
      <c r="O696" s="10">
        <f t="shared" si="958"/>
        <v>197409.52740000002</v>
      </c>
      <c r="P696" s="10">
        <f t="shared" si="942"/>
        <v>201837.7384</v>
      </c>
      <c r="Q696" s="10">
        <f t="shared" si="942"/>
        <v>216612.13159999999</v>
      </c>
      <c r="R696" s="10">
        <f t="shared" si="942"/>
        <v>227887.8707</v>
      </c>
      <c r="S696" s="10">
        <f t="shared" si="942"/>
        <v>252581.71530000001</v>
      </c>
      <c r="T696" s="10">
        <f t="shared" ref="T696" si="959">(T349*$C$439)</f>
        <v>265630.62830000004</v>
      </c>
    </row>
    <row r="697" spans="2:20" ht="15" customHeight="1">
      <c r="B697" s="11" t="s">
        <v>53</v>
      </c>
      <c r="C697" s="10">
        <f t="shared" si="936"/>
        <v>13010.650971428573</v>
      </c>
      <c r="D697" s="10">
        <f t="shared" si="936"/>
        <v>16041.708900000003</v>
      </c>
      <c r="E697" s="10">
        <f t="shared" si="936"/>
        <v>17118.285899999999</v>
      </c>
      <c r="F697" s="10">
        <f t="shared" si="936"/>
        <v>18065.916800000003</v>
      </c>
      <c r="G697" s="10">
        <f t="shared" si="936"/>
        <v>20827.514000000003</v>
      </c>
      <c r="H697" s="10">
        <f t="shared" si="936"/>
        <v>20827.514000000003</v>
      </c>
      <c r="I697" s="10">
        <f t="shared" si="936"/>
        <v>23809.623600000003</v>
      </c>
      <c r="J697" s="10">
        <f t="shared" ref="J697:O697" si="960">(J350*$C$439)</f>
        <v>30867.398100000002</v>
      </c>
      <c r="K697" s="10">
        <f t="shared" si="960"/>
        <v>34843.717300000004</v>
      </c>
      <c r="L697" s="10">
        <f t="shared" si="960"/>
        <v>37405.602100000004</v>
      </c>
      <c r="M697" s="10">
        <f t="shared" si="960"/>
        <v>48901.586900000002</v>
      </c>
      <c r="N697" s="10">
        <f t="shared" si="960"/>
        <v>58565.821500000005</v>
      </c>
      <c r="O697" s="10">
        <f t="shared" si="960"/>
        <v>66965.566099999996</v>
      </c>
      <c r="P697" s="10">
        <f t="shared" si="942"/>
        <v>76197.507499999992</v>
      </c>
      <c r="Q697" s="10">
        <f t="shared" si="942"/>
        <v>85150.060800000007</v>
      </c>
      <c r="R697" s="10">
        <f t="shared" si="942"/>
        <v>83115.581999999995</v>
      </c>
      <c r="S697" s="10">
        <f t="shared" si="942"/>
        <v>87615.732300000003</v>
      </c>
      <c r="T697" s="10">
        <f t="shared" ref="T697" si="961">(T350*$C$439)</f>
        <v>91416.282199999987</v>
      </c>
    </row>
    <row r="698" spans="2:20" ht="15" customHeight="1">
      <c r="B698" s="11" t="s">
        <v>240</v>
      </c>
      <c r="C698" s="10">
        <f t="shared" si="936"/>
        <v>2277.4963519999997</v>
      </c>
      <c r="D698" s="10">
        <f t="shared" si="936"/>
        <v>2634.2589760000005</v>
      </c>
      <c r="E698" s="10">
        <f t="shared" si="936"/>
        <v>2390.1492999999996</v>
      </c>
      <c r="F698" s="10">
        <f t="shared" si="936"/>
        <v>2302.792179999999</v>
      </c>
      <c r="G698" s="10">
        <f t="shared" si="936"/>
        <v>2108.2640000000001</v>
      </c>
      <c r="H698" s="10">
        <f t="shared" si="936"/>
        <v>2108.2640000000001</v>
      </c>
      <c r="I698" s="10">
        <f t="shared" si="936"/>
        <v>1964.6533000000002</v>
      </c>
      <c r="J698" s="10">
        <f t="shared" ref="J698:O698" si="962">(J351*$C$439)</f>
        <v>2587.1200000000008</v>
      </c>
      <c r="K698" s="10">
        <f t="shared" si="962"/>
        <v>2922.6774000000005</v>
      </c>
      <c r="L698" s="10">
        <f t="shared" si="962"/>
        <v>2679.5691000000002</v>
      </c>
      <c r="M698" s="10">
        <f t="shared" si="962"/>
        <v>4149.3884999999991</v>
      </c>
      <c r="N698" s="10">
        <f t="shared" si="962"/>
        <v>5373.1118999999999</v>
      </c>
      <c r="O698" s="10">
        <f t="shared" si="962"/>
        <v>5704.4955000000009</v>
      </c>
      <c r="P698" s="10">
        <f t="shared" si="942"/>
        <v>5461.6773000000003</v>
      </c>
      <c r="Q698" s="10">
        <f t="shared" si="942"/>
        <v>5060.7666000000008</v>
      </c>
      <c r="R698" s="10">
        <f t="shared" si="942"/>
        <v>5385.2178000000004</v>
      </c>
      <c r="S698" s="10">
        <f t="shared" si="942"/>
        <v>5612.5061999999998</v>
      </c>
      <c r="T698" s="10">
        <f t="shared" ref="T698" si="963">(T351*$C$439)</f>
        <v>4599.5307000000003</v>
      </c>
    </row>
    <row r="699" spans="2:20" ht="15" customHeight="1">
      <c r="B699" s="11" t="s">
        <v>241</v>
      </c>
      <c r="C699" s="10">
        <f t="shared" si="936"/>
        <v>5464.0104674285712</v>
      </c>
      <c r="D699" s="10">
        <f t="shared" si="936"/>
        <v>5159.9683030000087</v>
      </c>
      <c r="E699" s="10">
        <f t="shared" si="936"/>
        <v>4224.3903255064406</v>
      </c>
      <c r="F699" s="10">
        <f t="shared" si="936"/>
        <v>3819.6361620000071</v>
      </c>
      <c r="G699" s="10">
        <f t="shared" si="936"/>
        <v>4139.3571049999937</v>
      </c>
      <c r="H699" s="10">
        <f t="shared" si="936"/>
        <v>4139.3571049999937</v>
      </c>
      <c r="I699" s="10">
        <f t="shared" si="936"/>
        <v>4607.9017999999996</v>
      </c>
      <c r="J699" s="10">
        <f t="shared" ref="J699:O699" si="964">(J352*$C$439)</f>
        <v>6376.5315999999993</v>
      </c>
      <c r="K699" s="10">
        <f t="shared" si="964"/>
        <v>9772.8536999999997</v>
      </c>
      <c r="L699" s="10">
        <f t="shared" si="964"/>
        <v>13314.371800000004</v>
      </c>
      <c r="M699" s="10">
        <f t="shared" si="964"/>
        <v>11609.278299999998</v>
      </c>
      <c r="N699" s="10">
        <f t="shared" si="964"/>
        <v>11669.358200000001</v>
      </c>
      <c r="O699" s="10">
        <f t="shared" si="964"/>
        <v>11935.6651</v>
      </c>
      <c r="P699" s="10">
        <f t="shared" si="942"/>
        <v>13255.054999999998</v>
      </c>
      <c r="Q699" s="10">
        <f t="shared" si="942"/>
        <v>13192.748699999998</v>
      </c>
      <c r="R699" s="10">
        <f t="shared" si="942"/>
        <v>14197.219600000002</v>
      </c>
      <c r="S699" s="10">
        <f t="shared" si="942"/>
        <v>15303.247300000001</v>
      </c>
      <c r="T699" s="10">
        <f t="shared" ref="T699" si="965">(T352*$C$439)</f>
        <v>14626.423000000003</v>
      </c>
    </row>
    <row r="700" spans="2:20" ht="15" customHeight="1">
      <c r="B700" s="11" t="s">
        <v>242</v>
      </c>
      <c r="C700" s="10">
        <f t="shared" si="936"/>
        <v>1216.3899428571428</v>
      </c>
      <c r="D700" s="10">
        <f t="shared" si="936"/>
        <v>1215.1403</v>
      </c>
      <c r="E700" s="10">
        <f t="shared" si="936"/>
        <v>1316.2095999999999</v>
      </c>
      <c r="F700" s="10">
        <f t="shared" si="936"/>
        <v>1229.6072000000001</v>
      </c>
      <c r="G700" s="10">
        <f t="shared" si="936"/>
        <v>701.36620800000003</v>
      </c>
      <c r="H700" s="10">
        <f t="shared" si="936"/>
        <v>701.36620800000003</v>
      </c>
      <c r="I700" s="10">
        <f t="shared" si="936"/>
        <v>556.10995800000001</v>
      </c>
      <c r="J700" s="10">
        <f t="shared" ref="J700:O700" si="966">(J353*$C$439)</f>
        <v>570.06000000000006</v>
      </c>
      <c r="K700" s="10">
        <f t="shared" si="966"/>
        <v>385.51830000000001</v>
      </c>
      <c r="L700" s="10">
        <f t="shared" si="966"/>
        <v>297.48840000000001</v>
      </c>
      <c r="M700" s="10">
        <f t="shared" si="966"/>
        <v>336.54580000000004</v>
      </c>
      <c r="N700" s="10">
        <f t="shared" si="966"/>
        <v>312.22680000000003</v>
      </c>
      <c r="O700" s="10">
        <f t="shared" si="966"/>
        <v>627.3673</v>
      </c>
      <c r="P700" s="10">
        <f t="shared" si="942"/>
        <v>107.86749999999998</v>
      </c>
      <c r="Q700" s="10">
        <f t="shared" si="942"/>
        <v>153.46679999999995</v>
      </c>
      <c r="R700" s="10">
        <f t="shared" si="942"/>
        <v>153.46679999999995</v>
      </c>
      <c r="S700" s="10">
        <f t="shared" si="942"/>
        <v>153.46679999999995</v>
      </c>
      <c r="T700" s="10">
        <f t="shared" ref="T700" si="967">(T353*$C$439)</f>
        <v>78.277699999999996</v>
      </c>
    </row>
    <row r="701" spans="2:20" ht="15" customHeight="1">
      <c r="B701" s="11" t="s">
        <v>243</v>
      </c>
      <c r="C701" s="10">
        <f t="shared" si="936"/>
        <v>985.40520228571404</v>
      </c>
      <c r="D701" s="10">
        <f t="shared" si="936"/>
        <v>1085.6393999999996</v>
      </c>
      <c r="E701" s="10">
        <f t="shared" si="936"/>
        <v>1098.596</v>
      </c>
      <c r="F701" s="10">
        <f t="shared" si="936"/>
        <v>952.97861700000044</v>
      </c>
      <c r="G701" s="10">
        <f t="shared" si="936"/>
        <v>698.68299999999999</v>
      </c>
      <c r="H701" s="10">
        <f t="shared" si="936"/>
        <v>698.68299999999999</v>
      </c>
      <c r="I701" s="10">
        <f t="shared" si="936"/>
        <v>656.42881900000009</v>
      </c>
      <c r="J701" s="10">
        <f t="shared" ref="J701:O701" si="968">(J354*$C$439)</f>
        <v>715.42390000000012</v>
      </c>
      <c r="K701" s="10">
        <f t="shared" si="968"/>
        <v>760.54350000000011</v>
      </c>
      <c r="L701" s="10">
        <f t="shared" si="968"/>
        <v>814.35</v>
      </c>
      <c r="M701" s="10">
        <f t="shared" si="968"/>
        <v>671.19969999999989</v>
      </c>
      <c r="N701" s="10">
        <f t="shared" si="968"/>
        <v>687.11530000000016</v>
      </c>
      <c r="O701" s="10">
        <f t="shared" si="968"/>
        <v>497.70279999999991</v>
      </c>
      <c r="P701" s="10">
        <f t="shared" si="942"/>
        <v>616.6357999999999</v>
      </c>
      <c r="Q701" s="10">
        <f t="shared" si="942"/>
        <v>812.61759999999992</v>
      </c>
      <c r="R701" s="10">
        <f t="shared" si="942"/>
        <v>882.83749999999998</v>
      </c>
      <c r="S701" s="10">
        <f t="shared" si="942"/>
        <v>890.553</v>
      </c>
      <c r="T701" s="10">
        <f t="shared" ref="T701" si="969">(T354*$C$439)</f>
        <v>886.51760000000013</v>
      </c>
    </row>
    <row r="702" spans="2:20" ht="15" customHeight="1">
      <c r="B702" s="11" t="s">
        <v>244</v>
      </c>
      <c r="C702" s="10">
        <f t="shared" si="936"/>
        <v>952.59611771428536</v>
      </c>
      <c r="D702" s="10">
        <f t="shared" si="936"/>
        <v>965.12643899999955</v>
      </c>
      <c r="E702" s="10">
        <f t="shared" si="936"/>
        <v>759.61369999999999</v>
      </c>
      <c r="F702" s="10">
        <f t="shared" si="936"/>
        <v>738.12369999999999</v>
      </c>
      <c r="G702" s="10">
        <f t="shared" si="936"/>
        <v>743.20009999999991</v>
      </c>
      <c r="H702" s="10">
        <f t="shared" si="936"/>
        <v>743.20009999999991</v>
      </c>
      <c r="I702" s="10">
        <f t="shared" si="936"/>
        <v>703.47730000000001</v>
      </c>
      <c r="J702" s="10">
        <f t="shared" ref="J702:O702" si="970">(J355*$C$439)</f>
        <v>642.96</v>
      </c>
      <c r="K702" s="10">
        <f t="shared" si="970"/>
        <v>290.95390000000003</v>
      </c>
      <c r="L702" s="10">
        <f t="shared" si="970"/>
        <v>182.45400000000006</v>
      </c>
      <c r="M702" s="10">
        <f t="shared" si="970"/>
        <v>166.19290000000001</v>
      </c>
      <c r="N702" s="10">
        <f t="shared" si="970"/>
        <v>146.17770000000004</v>
      </c>
      <c r="O702" s="10">
        <f t="shared" si="970"/>
        <v>30.763199999999998</v>
      </c>
      <c r="P702" s="10">
        <f t="shared" si="942"/>
        <v>26.124599999999997</v>
      </c>
      <c r="Q702" s="10">
        <f t="shared" si="942"/>
        <v>37.151999999999994</v>
      </c>
      <c r="R702" s="10">
        <f t="shared" si="942"/>
        <v>153.46679999999995</v>
      </c>
      <c r="S702" s="10">
        <f t="shared" si="942"/>
        <v>37.151999999999994</v>
      </c>
      <c r="T702" s="10">
        <f t="shared" ref="T702" si="971">(T355*$C$439)</f>
        <v>23.429299999999994</v>
      </c>
    </row>
    <row r="703" spans="2:20" ht="15" customHeight="1">
      <c r="B703" s="9" t="s">
        <v>27</v>
      </c>
      <c r="C703" s="10">
        <f t="shared" si="936"/>
        <v>4970.4914285714285</v>
      </c>
      <c r="D703" s="10">
        <f t="shared" si="936"/>
        <v>4898.8900000000003</v>
      </c>
      <c r="E703" s="10">
        <f t="shared" si="936"/>
        <v>4991.2</v>
      </c>
      <c r="F703" s="10">
        <f t="shared" si="936"/>
        <v>4615.66</v>
      </c>
      <c r="G703" s="10">
        <f t="shared" si="936"/>
        <v>2767.6643999999987</v>
      </c>
      <c r="H703" s="10">
        <f t="shared" si="936"/>
        <v>2767.6643999999987</v>
      </c>
      <c r="I703" s="10">
        <f t="shared" si="936"/>
        <v>2377.0412000000006</v>
      </c>
      <c r="J703" s="10">
        <f t="shared" ref="J703:O703" si="972">(J356*$C$439)</f>
        <v>2193.4730999999992</v>
      </c>
      <c r="K703" s="10">
        <f t="shared" si="972"/>
        <v>634.13869999999986</v>
      </c>
      <c r="L703" s="10">
        <f t="shared" si="972"/>
        <v>1321.3128999999999</v>
      </c>
      <c r="M703" s="10">
        <f t="shared" si="972"/>
        <v>1437.3551999999993</v>
      </c>
      <c r="N703" s="10">
        <f t="shared" si="972"/>
        <v>1332.1127000000001</v>
      </c>
      <c r="O703" s="10">
        <f t="shared" si="972"/>
        <v>989.83220000000017</v>
      </c>
      <c r="P703" s="10">
        <f t="shared" si="942"/>
        <v>640.42920000000015</v>
      </c>
      <c r="Q703" s="10">
        <f t="shared" si="942"/>
        <v>735.56640000000004</v>
      </c>
      <c r="R703" s="10">
        <f t="shared" si="942"/>
        <v>886.58399999999983</v>
      </c>
      <c r="S703" s="10">
        <f t="shared" si="942"/>
        <v>695.3330000000002</v>
      </c>
      <c r="T703" s="10">
        <f t="shared" ref="T703" si="973">(T356*$C$439)</f>
        <v>602.14400000000001</v>
      </c>
    </row>
    <row r="704" spans="2:20" ht="15" customHeight="1">
      <c r="B704" s="9" t="s">
        <v>245</v>
      </c>
      <c r="C704" s="10">
        <f t="shared" si="936"/>
        <v>600.93987932065681</v>
      </c>
      <c r="D704" s="10">
        <f t="shared" si="936"/>
        <v>685.12</v>
      </c>
      <c r="E704" s="10">
        <f t="shared" si="936"/>
        <v>789.32800000000009</v>
      </c>
      <c r="F704" s="10">
        <f t="shared" si="936"/>
        <v>803.6</v>
      </c>
      <c r="G704" s="10">
        <f t="shared" si="936"/>
        <v>1160.4031000000002</v>
      </c>
      <c r="H704" s="10">
        <f t="shared" si="936"/>
        <v>1160.4031000000002</v>
      </c>
      <c r="I704" s="10">
        <f t="shared" si="936"/>
        <v>2160.4059000000002</v>
      </c>
      <c r="J704" s="10">
        <f t="shared" ref="J704:O704" si="974">(J357*$C$439)</f>
        <v>2520.9838</v>
      </c>
      <c r="K704" s="10">
        <f t="shared" si="974"/>
        <v>2946.6044000000002</v>
      </c>
      <c r="L704" s="10">
        <f t="shared" si="974"/>
        <v>2986.0750000000003</v>
      </c>
      <c r="M704" s="10">
        <f t="shared" si="974"/>
        <v>3299.2463000000002</v>
      </c>
      <c r="N704" s="10">
        <f t="shared" si="974"/>
        <v>4299.2931000000008</v>
      </c>
      <c r="O704" s="10">
        <f t="shared" si="974"/>
        <v>6241.1720999999998</v>
      </c>
      <c r="P704" s="10">
        <f t="shared" si="942"/>
        <v>8218.5302999999985</v>
      </c>
      <c r="Q704" s="10">
        <f t="shared" si="942"/>
        <v>11990.188899999999</v>
      </c>
      <c r="R704" s="10">
        <f t="shared" si="942"/>
        <v>11447.242399999986</v>
      </c>
      <c r="S704" s="10">
        <f t="shared" si="942"/>
        <v>11837.894500000004</v>
      </c>
      <c r="T704" s="10">
        <f t="shared" ref="T704" si="975">(T357*$C$439)</f>
        <v>12433.0952</v>
      </c>
    </row>
    <row r="705" spans="2:20" ht="15" customHeight="1">
      <c r="B705" s="9" t="s">
        <v>247</v>
      </c>
      <c r="C705" s="10">
        <f t="shared" si="936"/>
        <v>24536.969440233686</v>
      </c>
      <c r="D705" s="10">
        <f t="shared" si="936"/>
        <v>30951.371642509224</v>
      </c>
      <c r="E705" s="10">
        <f t="shared" si="936"/>
        <v>31168.704989493559</v>
      </c>
      <c r="F705" s="10">
        <f t="shared" si="936"/>
        <v>26188.017541000001</v>
      </c>
      <c r="G705" s="10">
        <f t="shared" si="936"/>
        <v>39459.905687000006</v>
      </c>
      <c r="H705" s="10">
        <f t="shared" si="936"/>
        <v>39459.905687000006</v>
      </c>
      <c r="I705" s="10">
        <f t="shared" si="936"/>
        <v>51760.059923000008</v>
      </c>
      <c r="J705" s="10">
        <f t="shared" ref="J705:O705" si="976">(J358*$C$439)</f>
        <v>72269.761500000008</v>
      </c>
      <c r="K705" s="10">
        <f t="shared" si="976"/>
        <v>94785.103799999997</v>
      </c>
      <c r="L705" s="10">
        <f t="shared" si="976"/>
        <v>123237.0858</v>
      </c>
      <c r="M705" s="10">
        <f t="shared" si="976"/>
        <v>141012.16869999998</v>
      </c>
      <c r="N705" s="10">
        <f t="shared" si="976"/>
        <v>190408.1286</v>
      </c>
      <c r="O705" s="10">
        <f t="shared" si="976"/>
        <v>210186.96800000002</v>
      </c>
      <c r="P705" s="10">
        <f t="shared" si="942"/>
        <v>227157.16129999995</v>
      </c>
      <c r="Q705" s="10">
        <f t="shared" si="942"/>
        <v>252426.94189999995</v>
      </c>
      <c r="R705" s="10">
        <f t="shared" si="942"/>
        <v>260404.09920000003</v>
      </c>
      <c r="S705" s="10">
        <f t="shared" si="942"/>
        <v>252869.34950000007</v>
      </c>
      <c r="T705" s="10">
        <f t="shared" ref="T705" si="977">(T358*$C$439)</f>
        <v>291820.03210000007</v>
      </c>
    </row>
    <row r="706" spans="2:20" ht="15" customHeight="1">
      <c r="B706" s="9" t="s">
        <v>246</v>
      </c>
      <c r="C706" s="10">
        <f t="shared" si="936"/>
        <v>453.27614317650989</v>
      </c>
      <c r="D706" s="10">
        <f t="shared" si="936"/>
        <v>1539.580154</v>
      </c>
      <c r="E706" s="10">
        <f t="shared" si="936"/>
        <v>1499.0553849999997</v>
      </c>
      <c r="F706" s="10">
        <f t="shared" si="936"/>
        <v>1379.0032000000001</v>
      </c>
      <c r="G706" s="10">
        <f t="shared" si="936"/>
        <v>300.09190000000001</v>
      </c>
      <c r="H706" s="10">
        <f t="shared" si="936"/>
        <v>300.09190000000001</v>
      </c>
      <c r="I706" s="10">
        <f t="shared" si="936"/>
        <v>1030.4000000000001</v>
      </c>
      <c r="J706" s="10">
        <f t="shared" ref="J706:O706" si="978">(J359*$C$439)</f>
        <v>1115.4000000000001</v>
      </c>
      <c r="K706" s="10">
        <f t="shared" si="978"/>
        <v>1130.4000000000001</v>
      </c>
      <c r="L706" s="10">
        <f t="shared" si="978"/>
        <v>1130.4000000000001</v>
      </c>
      <c r="M706" s="10">
        <f t="shared" si="978"/>
        <v>860.4</v>
      </c>
      <c r="N706" s="10">
        <f t="shared" si="978"/>
        <v>590.4</v>
      </c>
      <c r="O706" s="10">
        <f t="shared" si="978"/>
        <v>1495.2</v>
      </c>
      <c r="P706" s="10">
        <f t="shared" si="942"/>
        <v>2520</v>
      </c>
      <c r="Q706" s="10">
        <f t="shared" si="942"/>
        <v>2646</v>
      </c>
      <c r="R706" s="10">
        <f t="shared" si="942"/>
        <v>2778.36</v>
      </c>
      <c r="S706" s="10">
        <f t="shared" si="942"/>
        <v>2917.2000000000003</v>
      </c>
      <c r="T706" s="10">
        <f t="shared" ref="T706" si="979">(T359*$C$439)</f>
        <v>3063.12</v>
      </c>
    </row>
    <row r="707" spans="2:20" ht="15" customHeight="1">
      <c r="B707" s="9" t="s">
        <v>350</v>
      </c>
      <c r="C707" s="10">
        <f t="shared" si="936"/>
        <v>19814.633057396997</v>
      </c>
      <c r="D707" s="10">
        <f t="shared" si="936"/>
        <v>31546.760899999997</v>
      </c>
      <c r="E707" s="10">
        <f t="shared" si="936"/>
        <v>34071.095000000001</v>
      </c>
      <c r="F707" s="10">
        <f t="shared" si="936"/>
        <v>33850.543699999995</v>
      </c>
      <c r="G707" s="10">
        <f t="shared" si="936"/>
        <v>36938.678</v>
      </c>
      <c r="H707" s="10">
        <f t="shared" si="936"/>
        <v>36938.678</v>
      </c>
      <c r="I707" s="10">
        <f t="shared" si="936"/>
        <v>41097.586199999998</v>
      </c>
      <c r="J707" s="10">
        <f t="shared" ref="J707:O707" si="980">(J360*$C$439)</f>
        <v>53147.683599999989</v>
      </c>
      <c r="K707" s="10">
        <f t="shared" si="980"/>
        <v>60669.90340000001</v>
      </c>
      <c r="L707" s="10">
        <f t="shared" si="980"/>
        <v>74826.385000000009</v>
      </c>
      <c r="M707" s="10">
        <f t="shared" si="980"/>
        <v>93239.445400000011</v>
      </c>
      <c r="N707" s="10">
        <f t="shared" si="980"/>
        <v>125098.79740000001</v>
      </c>
      <c r="O707" s="10">
        <f t="shared" si="980"/>
        <v>143859.95339999997</v>
      </c>
      <c r="P707" s="10">
        <f t="shared" si="942"/>
        <v>146572.16009999998</v>
      </c>
      <c r="Q707" s="10">
        <f t="shared" si="942"/>
        <v>146625.1048</v>
      </c>
      <c r="R707" s="10">
        <f t="shared" si="942"/>
        <v>142906.52799999999</v>
      </c>
      <c r="S707" s="10">
        <f t="shared" si="942"/>
        <v>175416.82119999998</v>
      </c>
      <c r="T707" s="10">
        <f t="shared" ref="T707" si="981">(T360*$C$439)</f>
        <v>226896.50120000003</v>
      </c>
    </row>
    <row r="708" spans="2:20" ht="15" customHeight="1">
      <c r="B708" s="9" t="s">
        <v>309</v>
      </c>
      <c r="C708" s="10">
        <f t="shared" si="936"/>
        <v>3663.1227144307441</v>
      </c>
      <c r="D708" s="10">
        <f t="shared" si="936"/>
        <v>6123.5185000000001</v>
      </c>
      <c r="E708" s="10">
        <f t="shared" si="936"/>
        <v>6561.9826000000003</v>
      </c>
      <c r="F708" s="10">
        <f t="shared" si="936"/>
        <v>7520.0430999999999</v>
      </c>
      <c r="G708" s="10">
        <f t="shared" si="936"/>
        <v>13158.532300000001</v>
      </c>
      <c r="H708" s="10">
        <f t="shared" si="936"/>
        <v>13158.532300000001</v>
      </c>
      <c r="I708" s="10">
        <f t="shared" si="936"/>
        <v>16181.6466</v>
      </c>
      <c r="J708" s="10">
        <f t="shared" ref="J708:O708" si="982">(J361*$C$439)</f>
        <v>22701.888300000002</v>
      </c>
      <c r="K708" s="10">
        <f t="shared" si="982"/>
        <v>27669.812200000004</v>
      </c>
      <c r="L708" s="10">
        <f t="shared" si="982"/>
        <v>29686.188999999995</v>
      </c>
      <c r="M708" s="10">
        <f t="shared" si="982"/>
        <v>40833.246999999996</v>
      </c>
      <c r="N708" s="10">
        <f t="shared" si="982"/>
        <v>51713.419999999991</v>
      </c>
      <c r="O708" s="10">
        <f t="shared" si="982"/>
        <v>61318.277700000006</v>
      </c>
      <c r="P708" s="10">
        <f t="shared" ref="P708:S710" si="983">(P361*$C$439)</f>
        <v>72901.14</v>
      </c>
      <c r="Q708" s="10">
        <f t="shared" si="983"/>
        <v>75480.323300000004</v>
      </c>
      <c r="R708" s="10">
        <f t="shared" si="983"/>
        <v>79418.551099999997</v>
      </c>
      <c r="S708" s="10">
        <f t="shared" si="983"/>
        <v>82297.854800000001</v>
      </c>
      <c r="T708" s="10">
        <f t="shared" ref="T708" si="984">(T361*$C$439)</f>
        <v>108900.49899999998</v>
      </c>
    </row>
    <row r="709" spans="2:20" ht="15" customHeight="1">
      <c r="B709" s="9" t="s">
        <v>308</v>
      </c>
      <c r="C709" s="10">
        <f t="shared" si="936"/>
        <v>2981.4559648862801</v>
      </c>
      <c r="D709" s="10">
        <f t="shared" si="936"/>
        <v>4768.6763000000001</v>
      </c>
      <c r="E709" s="10">
        <f t="shared" si="936"/>
        <v>4517.8106000000007</v>
      </c>
      <c r="F709" s="10">
        <f t="shared" si="936"/>
        <v>4173.6720999999998</v>
      </c>
      <c r="G709" s="10">
        <f t="shared" si="936"/>
        <v>4378.4215999999997</v>
      </c>
      <c r="H709" s="10">
        <f t="shared" si="936"/>
        <v>4378.4215999999997</v>
      </c>
      <c r="I709" s="10">
        <f t="shared" si="936"/>
        <v>4738.8400999999994</v>
      </c>
      <c r="J709" s="10">
        <f t="shared" ref="J709:O709" si="985">(J362*$C$439)</f>
        <v>5590.2641000000003</v>
      </c>
      <c r="K709" s="10">
        <f t="shared" si="985"/>
        <v>8244.527</v>
      </c>
      <c r="L709" s="10">
        <f t="shared" si="985"/>
        <v>9097.4056999999993</v>
      </c>
      <c r="M709" s="10">
        <f t="shared" si="985"/>
        <v>10932.760299999998</v>
      </c>
      <c r="N709" s="10">
        <f t="shared" si="985"/>
        <v>14484.1777</v>
      </c>
      <c r="O709" s="10">
        <f t="shared" si="985"/>
        <v>16461.691899999998</v>
      </c>
      <c r="P709" s="10">
        <f t="shared" si="983"/>
        <v>19915.848700000002</v>
      </c>
      <c r="Q709" s="10">
        <f t="shared" si="983"/>
        <v>22798.770500000002</v>
      </c>
      <c r="R709" s="10">
        <f t="shared" si="983"/>
        <v>23747.543600000005</v>
      </c>
      <c r="S709" s="10">
        <f t="shared" si="983"/>
        <v>29970.703300000001</v>
      </c>
      <c r="T709" s="10">
        <f t="shared" ref="T709" si="986">(T362*$C$439)</f>
        <v>35953.508999999991</v>
      </c>
    </row>
    <row r="710" spans="2:20" ht="15" customHeight="1">
      <c r="B710" s="9" t="s">
        <v>278</v>
      </c>
      <c r="C710" s="10">
        <f t="shared" si="936"/>
        <v>281.71420011080926</v>
      </c>
      <c r="D710" s="10">
        <f t="shared" si="936"/>
        <v>3298.9554666666668</v>
      </c>
      <c r="E710" s="10">
        <f t="shared" si="936"/>
        <v>2617.3508999999999</v>
      </c>
      <c r="F710" s="10">
        <f t="shared" si="936"/>
        <v>3820.9879000000005</v>
      </c>
      <c r="G710" s="10">
        <f t="shared" si="936"/>
        <v>5157.6722999999993</v>
      </c>
      <c r="H710" s="10">
        <f t="shared" si="936"/>
        <v>5157.6722999999993</v>
      </c>
      <c r="I710" s="10">
        <f t="shared" si="936"/>
        <v>6147.2604999999994</v>
      </c>
      <c r="J710" s="10">
        <f t="shared" ref="J710:O710" si="987">(J363*$C$439)</f>
        <v>5738.8024000000014</v>
      </c>
      <c r="K710" s="10">
        <f t="shared" si="987"/>
        <v>12399.465900000001</v>
      </c>
      <c r="L710" s="10">
        <f t="shared" si="987"/>
        <v>16480.753199999999</v>
      </c>
      <c r="M710" s="10">
        <f t="shared" si="987"/>
        <v>19747.226999999999</v>
      </c>
      <c r="N710" s="10">
        <f t="shared" si="987"/>
        <v>21672.2624</v>
      </c>
      <c r="O710" s="10">
        <f t="shared" si="987"/>
        <v>25703.1836</v>
      </c>
      <c r="P710" s="10">
        <f t="shared" si="983"/>
        <v>26269.089699999997</v>
      </c>
      <c r="Q710" s="10">
        <f t="shared" si="983"/>
        <v>26983.314400000003</v>
      </c>
      <c r="R710" s="10">
        <f t="shared" si="983"/>
        <v>29559.046599999994</v>
      </c>
      <c r="S710" s="10">
        <f t="shared" si="983"/>
        <v>37588.846500000007</v>
      </c>
      <c r="T710" s="10">
        <f t="shared" ref="T710" si="988">(T363*$C$439)</f>
        <v>41986.705099999999</v>
      </c>
    </row>
    <row r="711" spans="2:20" ht="15" customHeight="1" thickBot="1">
      <c r="B711" s="796" t="s">
        <v>361</v>
      </c>
      <c r="C711" s="24">
        <f>+'INPUT MAT'!D23*1000-SUM(C647:C710)</f>
        <v>10517.839052827447</v>
      </c>
      <c r="D711" s="24">
        <f>+'INPUT MAT'!E23*1000-SUM(D647:D710)</f>
        <v>16219.088918824098</v>
      </c>
      <c r="E711" s="24">
        <f>+'INPUT MAT'!F23*1000-SUM(E647:E710)</f>
        <v>6414.3731220001355</v>
      </c>
      <c r="F711" s="24">
        <f>+'INPUT MAT'!G23*1000-SUM(F647:F710)</f>
        <v>32733.356599999941</v>
      </c>
      <c r="G711" s="24">
        <f>+'INPUT MAT'!H23*1000-SUM(G647:G710)</f>
        <v>30491.366100000101</v>
      </c>
      <c r="H711" s="24">
        <f>+'INPUT MAT'!I23*1000-SUM(H647:H710)</f>
        <v>30491.366100000101</v>
      </c>
      <c r="I711" s="24">
        <f>+'INPUT MAT'!J23*1000-SUM(I647:I710)</f>
        <v>13347.991889997153</v>
      </c>
      <c r="J711" s="24">
        <f>+'INPUT MAT'!K23*1000-SUM(J647:J710)</f>
        <v>14580.255489999894</v>
      </c>
      <c r="K711" s="24">
        <f>+'INPUT MAT'!L23*1000-SUM(K647:K710)</f>
        <v>23371.457889075624</v>
      </c>
      <c r="L711" s="24">
        <f>+'INPUT MAT'!M23*1000-SUM(L647:L710)</f>
        <v>40272.922231092816</v>
      </c>
      <c r="M711" s="24">
        <f>+'INPUT MAT'!N23*1000-SUM(M647:M710)</f>
        <v>51332.430068067275</v>
      </c>
      <c r="N711" s="24">
        <f>+'INPUT MAT'!O23*1000-SUM(N647:N710)</f>
        <v>40495.748026089743</v>
      </c>
      <c r="O711" s="24">
        <f>+'INPUT MAT'!P23*1000-SUM(O647:O710)</f>
        <v>50578.044280195609</v>
      </c>
      <c r="P711" s="24">
        <f>+'INPUT MAT'!Q23*1000-SUM(P647:P710)</f>
        <v>71541.140430509113</v>
      </c>
      <c r="Q711" s="24">
        <f>+'INPUT MAT'!R23*1000-SUM(Q647:Q710)</f>
        <v>98078.71150000114</v>
      </c>
      <c r="R711" s="24">
        <f>+'INPUT MAT'!S23*1000-SUM(R647:R710)</f>
        <v>53478.792800000869</v>
      </c>
      <c r="S711" s="24">
        <f>+'INPUT MAT'!T23*1000-SUM(S647:S710)</f>
        <v>36133.436705084983</v>
      </c>
      <c r="T711" s="24">
        <f>+'INPUT MAT'!U23*1000-SUM(T647:T710)</f>
        <v>95714.874540679622</v>
      </c>
    </row>
    <row r="712" spans="2:20" ht="15" customHeight="1">
      <c r="O712" s="29"/>
    </row>
    <row r="713" spans="2:20" customFormat="1" ht="15" customHeight="1"/>
    <row r="714" spans="2:20" customFormat="1" ht="15" customHeight="1"/>
    <row r="715" spans="2:20" customFormat="1" ht="15" customHeight="1"/>
    <row r="716" spans="2:20" customFormat="1" ht="15" customHeight="1"/>
    <row r="717" spans="2:20" customFormat="1" ht="15" customHeight="1"/>
    <row r="718" spans="2:20" customFormat="1" ht="15" customHeight="1"/>
    <row r="719" spans="2:20" customFormat="1" ht="15" customHeight="1"/>
    <row r="720" spans="2:20" customFormat="1" ht="15" customHeight="1"/>
    <row r="721" spans="5:5" customFormat="1" ht="15" customHeight="1"/>
    <row r="722" spans="5:5" customFormat="1" ht="15" customHeight="1"/>
    <row r="723" spans="5:5" customFormat="1" ht="15" customHeight="1"/>
    <row r="724" spans="5:5" customFormat="1" ht="15" customHeight="1">
      <c r="E724" s="682" t="s">
        <v>577</v>
      </c>
    </row>
    <row r="725" spans="5:5" customFormat="1" ht="15" customHeight="1"/>
    <row r="726" spans="5:5" customFormat="1" ht="15" customHeight="1"/>
    <row r="727" spans="5:5" customFormat="1" ht="15" customHeight="1"/>
    <row r="728" spans="5:5" customFormat="1" ht="15" customHeight="1"/>
    <row r="729" spans="5:5" customFormat="1" ht="15" customHeight="1"/>
    <row r="730" spans="5:5" customFormat="1" ht="15" customHeight="1"/>
    <row r="731" spans="5:5" customFormat="1" ht="15" customHeight="1"/>
    <row r="732" spans="5:5" customFormat="1" ht="15" customHeight="1"/>
    <row r="733" spans="5:5" customFormat="1" ht="15" customHeight="1"/>
    <row r="734" spans="5:5" customFormat="1" ht="15" customHeight="1"/>
    <row r="735" spans="5:5" customFormat="1" ht="15" customHeight="1"/>
    <row r="736" spans="5:5" customFormat="1" ht="15" customHeight="1"/>
    <row r="737" customFormat="1" ht="15" customHeight="1"/>
    <row r="738" customFormat="1" ht="15" customHeight="1"/>
    <row r="739" customFormat="1" ht="15" customHeight="1"/>
    <row r="740" customFormat="1" ht="15" customHeight="1"/>
    <row r="741" customFormat="1" ht="15" customHeight="1"/>
    <row r="742" customFormat="1" ht="15" customHeight="1"/>
    <row r="743" customFormat="1" ht="15" customHeight="1"/>
    <row r="744" customFormat="1" ht="15" customHeight="1"/>
  </sheetData>
  <phoneticPr fontId="0" type="noConversion"/>
  <conditionalFormatting sqref="V145:V20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{23D74B28-B90F-4F85-B728-6465B70A6C0E}</x14:id>
        </ext>
      </extLst>
    </cfRule>
  </conditionalFormatting>
  <pageMargins left="0.75" right="0.75" top="1" bottom="1" header="0" footer="0"/>
  <pageSetup paperSize="9" scale="10" orientation="portrait" r:id="rId1"/>
  <headerFooter alignWithMargins="0"/>
  <ignoredErrors>
    <ignoredError sqref="C214:T27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D74B28-B90F-4F85-B728-6465B70A6C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V145:V209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V175"/>
  <sheetViews>
    <sheetView showGridLines="0" workbookViewId="0">
      <selection activeCell="M25" sqref="M25"/>
    </sheetView>
  </sheetViews>
  <sheetFormatPr baseColWidth="10" defaultColWidth="11.42578125" defaultRowHeight="15" customHeight="1"/>
  <cols>
    <col min="1" max="1" width="3.28515625" style="2" customWidth="1"/>
    <col min="2" max="2" width="12.7109375" style="118" customWidth="1"/>
    <col min="3" max="3" width="28.140625" style="2" customWidth="1"/>
    <col min="4" max="16" width="8.5703125" style="2" bestFit="1" customWidth="1"/>
    <col min="17" max="19" width="10.42578125" style="2" bestFit="1" customWidth="1"/>
    <col min="20" max="21" width="10.42578125" style="26" bestFit="1" customWidth="1"/>
    <col min="22" max="16384" width="11.42578125" style="2"/>
  </cols>
  <sheetData>
    <row r="1" spans="2:22" ht="15" customHeight="1">
      <c r="B1" s="112"/>
      <c r="C1" s="26"/>
      <c r="D1" s="26"/>
      <c r="F1" s="26"/>
      <c r="H1" s="26"/>
      <c r="I1" s="26"/>
      <c r="J1" s="26"/>
      <c r="K1" s="113"/>
      <c r="L1" s="113"/>
      <c r="M1" s="113"/>
      <c r="N1" s="113"/>
      <c r="O1" s="113"/>
      <c r="P1" s="113"/>
      <c r="Q1" s="113"/>
      <c r="R1" s="113"/>
      <c r="S1" s="113"/>
    </row>
    <row r="2" spans="2:22" ht="15" customHeight="1">
      <c r="B2" s="112"/>
      <c r="C2" s="26"/>
      <c r="L2" s="26"/>
      <c r="M2" s="26"/>
      <c r="N2" s="26"/>
      <c r="O2" s="26"/>
      <c r="P2" s="26"/>
      <c r="Q2" s="113"/>
      <c r="R2" s="113"/>
      <c r="S2" s="26"/>
      <c r="T2" s="114"/>
      <c r="U2" s="114"/>
    </row>
    <row r="3" spans="2:22" ht="15" customHeight="1" thickBot="1">
      <c r="B3" s="112"/>
      <c r="C3" s="115" t="s">
        <v>371</v>
      </c>
      <c r="L3" s="26"/>
      <c r="M3" s="26"/>
      <c r="N3" s="26"/>
      <c r="O3" s="26"/>
      <c r="P3" s="26"/>
      <c r="Q3" s="681"/>
      <c r="R3" s="26"/>
      <c r="S3" s="26"/>
      <c r="T3" s="114"/>
      <c r="U3" s="114"/>
    </row>
    <row r="4" spans="2:22" ht="15" customHeight="1" thickBot="1">
      <c r="B4" s="112"/>
      <c r="C4" s="631" t="s">
        <v>363</v>
      </c>
      <c r="D4" s="632" t="s">
        <v>370</v>
      </c>
      <c r="E4" s="632">
        <v>2001</v>
      </c>
      <c r="F4" s="632">
        <v>2002</v>
      </c>
      <c r="G4" s="632">
        <v>2003</v>
      </c>
      <c r="H4" s="632">
        <v>2004</v>
      </c>
      <c r="I4" s="632">
        <v>2005</v>
      </c>
      <c r="J4" s="632">
        <v>2005</v>
      </c>
      <c r="K4" s="632">
        <v>2006</v>
      </c>
      <c r="L4" s="632">
        <v>2007</v>
      </c>
      <c r="M4" s="632">
        <v>2008</v>
      </c>
      <c r="N4" s="632">
        <v>2009</v>
      </c>
      <c r="O4" s="632">
        <v>2010</v>
      </c>
      <c r="P4" s="632">
        <v>2011</v>
      </c>
      <c r="Q4" s="647">
        <v>2012</v>
      </c>
      <c r="R4" s="647">
        <v>2013</v>
      </c>
      <c r="S4" s="647">
        <v>2014</v>
      </c>
      <c r="T4" s="647">
        <v>2015</v>
      </c>
      <c r="U4" s="647">
        <v>2016</v>
      </c>
      <c r="V4" s="647">
        <v>2017</v>
      </c>
    </row>
    <row r="5" spans="2:22" ht="15" customHeight="1">
      <c r="B5" s="112"/>
      <c r="C5" s="648" t="s">
        <v>364</v>
      </c>
      <c r="D5" s="649"/>
      <c r="E5" s="635"/>
      <c r="F5" s="649"/>
      <c r="G5" s="649"/>
      <c r="H5" s="649"/>
      <c r="I5" s="649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  <c r="V5" s="649"/>
    </row>
    <row r="6" spans="2:22" ht="14.25" customHeight="1">
      <c r="B6" s="112"/>
      <c r="C6" s="650" t="s">
        <v>365</v>
      </c>
      <c r="D6" s="651">
        <f>+D7+D8</f>
        <v>345515.2</v>
      </c>
      <c r="E6" s="651">
        <f t="shared" ref="E6:Q6" si="0">+E7+E8</f>
        <v>394874.51428571425</v>
      </c>
      <c r="F6" s="651">
        <f t="shared" si="0"/>
        <v>512641.60000000003</v>
      </c>
      <c r="G6" s="651">
        <f t="shared" si="0"/>
        <v>546536</v>
      </c>
      <c r="H6" s="651">
        <f t="shared" si="0"/>
        <v>532005.6</v>
      </c>
      <c r="I6" s="651">
        <f t="shared" si="0"/>
        <v>595511.19999999995</v>
      </c>
      <c r="J6" s="651">
        <f t="shared" si="0"/>
        <v>595511.19999999995</v>
      </c>
      <c r="K6" s="651">
        <f t="shared" si="0"/>
        <v>606028.40086249169</v>
      </c>
      <c r="L6" s="651">
        <f t="shared" si="0"/>
        <v>770352.46666666667</v>
      </c>
      <c r="M6" s="651">
        <f t="shared" si="0"/>
        <v>834391.06475203682</v>
      </c>
      <c r="N6" s="651">
        <f t="shared" si="0"/>
        <v>846151.97020791611</v>
      </c>
      <c r="O6" s="651">
        <f t="shared" si="0"/>
        <v>906763.15363389347</v>
      </c>
      <c r="P6" s="651">
        <f t="shared" si="0"/>
        <v>955782</v>
      </c>
      <c r="Q6" s="651">
        <f t="shared" si="0"/>
        <v>1075043.872</v>
      </c>
      <c r="R6" s="651">
        <f t="shared" ref="R6:V6" si="1">+R7+R8</f>
        <v>748947.00000000023</v>
      </c>
      <c r="S6" s="651">
        <f t="shared" si="1"/>
        <v>675010.72315204388</v>
      </c>
      <c r="T6" s="651">
        <f t="shared" si="1"/>
        <v>653922.62387475546</v>
      </c>
      <c r="U6" s="651">
        <f t="shared" si="1"/>
        <v>666995.13287177973</v>
      </c>
      <c r="V6" s="651">
        <f t="shared" si="1"/>
        <v>664229.2857142858</v>
      </c>
    </row>
    <row r="7" spans="2:22" ht="15" customHeight="1">
      <c r="B7" s="112"/>
      <c r="C7" s="641" t="s">
        <v>366</v>
      </c>
      <c r="D7" s="649">
        <v>13591.2</v>
      </c>
      <c r="E7" s="649">
        <f>+D7*12/10.5</f>
        <v>15532.800000000003</v>
      </c>
      <c r="F7" s="649">
        <v>18306.400000000001</v>
      </c>
      <c r="G7" s="649">
        <v>20143.2</v>
      </c>
      <c r="H7" s="649">
        <v>21823.200000000001</v>
      </c>
      <c r="I7" s="649">
        <v>18849.599999999999</v>
      </c>
      <c r="J7" s="649">
        <v>18849.599999999999</v>
      </c>
      <c r="K7" s="649">
        <v>17301.501867231735</v>
      </c>
      <c r="L7" s="649">
        <v>17068</v>
      </c>
      <c r="M7" s="649">
        <v>20368.004737284438</v>
      </c>
      <c r="N7" s="649">
        <v>20516.00601199529</v>
      </c>
      <c r="O7" s="649">
        <v>17706.01696996863</v>
      </c>
      <c r="P7" s="649">
        <v>14343</v>
      </c>
      <c r="Q7" s="649">
        <v>18018</v>
      </c>
      <c r="R7" s="649">
        <v>14836.142857142855</v>
      </c>
      <c r="S7" s="649">
        <v>18170.301369863017</v>
      </c>
      <c r="T7" s="649">
        <v>18503.468493150685</v>
      </c>
      <c r="U7" s="649">
        <v>17561.922716627636</v>
      </c>
      <c r="V7" s="649">
        <v>19521.857142857141</v>
      </c>
    </row>
    <row r="8" spans="2:22" ht="15" customHeight="1" thickBot="1">
      <c r="B8" s="112"/>
      <c r="C8" s="652" t="s">
        <v>16</v>
      </c>
      <c r="D8" s="653">
        <v>331924</v>
      </c>
      <c r="E8" s="653">
        <f>+D8*12/10.5</f>
        <v>379341.71428571426</v>
      </c>
      <c r="F8" s="653">
        <v>494335.2</v>
      </c>
      <c r="G8" s="653">
        <v>526392.80000000005</v>
      </c>
      <c r="H8" s="653">
        <v>510182.40000000002</v>
      </c>
      <c r="I8" s="653">
        <v>576661.6</v>
      </c>
      <c r="J8" s="653">
        <v>576661.6</v>
      </c>
      <c r="K8" s="653">
        <v>588726.89899526001</v>
      </c>
      <c r="L8" s="653">
        <v>753284.46666666667</v>
      </c>
      <c r="M8" s="653">
        <v>814023.06001475244</v>
      </c>
      <c r="N8" s="653">
        <v>825635.96419592085</v>
      </c>
      <c r="O8" s="653">
        <v>889057.13666392479</v>
      </c>
      <c r="P8" s="653">
        <v>941439</v>
      </c>
      <c r="Q8" s="653">
        <v>1057025.872</v>
      </c>
      <c r="R8" s="653">
        <v>734110.85714285739</v>
      </c>
      <c r="S8" s="653">
        <v>656840.4217821809</v>
      </c>
      <c r="T8" s="653">
        <v>635419.1553816048</v>
      </c>
      <c r="U8" s="653">
        <v>649433.21015515213</v>
      </c>
      <c r="V8" s="653">
        <v>644707.42857142864</v>
      </c>
    </row>
    <row r="9" spans="2:22" ht="15" customHeight="1">
      <c r="B9" s="349"/>
      <c r="C9" s="26"/>
      <c r="E9" s="26"/>
      <c r="G9" s="26"/>
      <c r="I9" s="26"/>
      <c r="J9" s="26"/>
      <c r="K9" s="26"/>
      <c r="L9" s="26"/>
      <c r="M9" s="26"/>
      <c r="N9" s="26"/>
      <c r="O9" s="26"/>
      <c r="Q9" s="113"/>
      <c r="R9" s="113"/>
      <c r="S9" s="113"/>
      <c r="V9" s="26"/>
    </row>
    <row r="10" spans="2:22" ht="15" customHeight="1">
      <c r="B10" s="112"/>
      <c r="C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13"/>
      <c r="R10" s="113"/>
      <c r="S10" s="113"/>
      <c r="V10" s="26"/>
    </row>
    <row r="11" spans="2:22" ht="15" customHeight="1" thickBot="1">
      <c r="B11" s="112"/>
      <c r="C11" s="115" t="s">
        <v>372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57"/>
      <c r="R11" s="26"/>
      <c r="S11" s="26"/>
      <c r="V11" s="26"/>
    </row>
    <row r="12" spans="2:22" ht="15" customHeight="1" thickBot="1">
      <c r="B12" s="112"/>
      <c r="C12" s="631" t="s">
        <v>363</v>
      </c>
      <c r="D12" s="632" t="s">
        <v>370</v>
      </c>
      <c r="E12" s="632">
        <v>2001</v>
      </c>
      <c r="F12" s="632">
        <v>2002</v>
      </c>
      <c r="G12" s="632">
        <v>2003</v>
      </c>
      <c r="H12" s="632">
        <v>2004</v>
      </c>
      <c r="I12" s="122">
        <v>2005</v>
      </c>
      <c r="J12" s="632">
        <v>2005</v>
      </c>
      <c r="K12" s="632">
        <v>2006</v>
      </c>
      <c r="L12" s="632">
        <v>2007</v>
      </c>
      <c r="M12" s="632">
        <v>2008</v>
      </c>
      <c r="N12" s="632">
        <v>2009</v>
      </c>
      <c r="O12" s="632">
        <v>2010</v>
      </c>
      <c r="P12" s="632">
        <v>2011</v>
      </c>
      <c r="Q12" s="632">
        <v>2012</v>
      </c>
      <c r="R12" s="632">
        <f>+R4</f>
        <v>2013</v>
      </c>
      <c r="S12" s="632">
        <f t="shared" ref="S12:V12" si="2">+S4</f>
        <v>2014</v>
      </c>
      <c r="T12" s="632">
        <f t="shared" si="2"/>
        <v>2015</v>
      </c>
      <c r="U12" s="632">
        <f t="shared" si="2"/>
        <v>2016</v>
      </c>
      <c r="V12" s="632">
        <f t="shared" si="2"/>
        <v>2017</v>
      </c>
    </row>
    <row r="13" spans="2:22" ht="15" customHeight="1">
      <c r="B13" s="112"/>
      <c r="C13" s="633" t="s">
        <v>367</v>
      </c>
      <c r="D13" s="634"/>
      <c r="E13" s="634"/>
      <c r="F13" s="634"/>
      <c r="G13" s="634"/>
      <c r="H13" s="634"/>
      <c r="I13" s="635"/>
      <c r="J13" s="634"/>
      <c r="K13" s="634"/>
      <c r="L13" s="634"/>
      <c r="M13" s="634"/>
      <c r="N13" s="634"/>
      <c r="O13" s="634"/>
      <c r="P13" s="634"/>
      <c r="Q13" s="636"/>
      <c r="R13" s="636"/>
      <c r="S13" s="636"/>
      <c r="T13" s="636"/>
      <c r="U13" s="636"/>
      <c r="V13" s="636"/>
    </row>
    <row r="14" spans="2:22" ht="15" customHeight="1">
      <c r="B14" s="112"/>
      <c r="C14" s="637" t="s">
        <v>364</v>
      </c>
      <c r="D14" s="638">
        <f>+D15+D18</f>
        <v>3663.4481555999946</v>
      </c>
      <c r="E14" s="638">
        <f>+E15+E18</f>
        <v>4186.7978921142794</v>
      </c>
      <c r="F14" s="638">
        <f>+F15+F18</f>
        <v>4971.4664700000021</v>
      </c>
      <c r="G14" s="638">
        <f>+G15+G18</f>
        <v>5403.8900484114774</v>
      </c>
      <c r="H14" s="638">
        <f>+H15+H18</f>
        <v>5404.905895752624</v>
      </c>
      <c r="I14" s="638">
        <f>+J14</f>
        <v>6023.4925899999907</v>
      </c>
      <c r="J14" s="638">
        <f t="shared" ref="J14:Q14" si="3">+J15+J18</f>
        <v>6023.4925899999907</v>
      </c>
      <c r="K14" s="638">
        <f t="shared" si="3"/>
        <v>5952.0944883077746</v>
      </c>
      <c r="L14" s="638">
        <f t="shared" si="3"/>
        <v>7707.2366023885043</v>
      </c>
      <c r="M14" s="638">
        <f t="shared" si="3"/>
        <v>8752.0724540408301</v>
      </c>
      <c r="N14" s="638">
        <f t="shared" si="3"/>
        <v>9114.3549087506181</v>
      </c>
      <c r="O14" s="638">
        <f t="shared" si="3"/>
        <v>10208.373206701215</v>
      </c>
      <c r="P14" s="638">
        <f t="shared" si="3"/>
        <v>11789.731339264432</v>
      </c>
      <c r="Q14" s="639">
        <f t="shared" si="3"/>
        <v>13359.602216631532</v>
      </c>
      <c r="R14" s="639">
        <f t="shared" ref="R14:V14" si="4">+R15+R18</f>
        <v>13343.30907000001</v>
      </c>
      <c r="S14" s="639">
        <f t="shared" si="4"/>
        <v>12061.968700000005</v>
      </c>
      <c r="T14" s="639">
        <f t="shared" si="4"/>
        <v>11445.008430000002</v>
      </c>
      <c r="U14" s="639">
        <f t="shared" si="4"/>
        <v>11560.141810000001</v>
      </c>
      <c r="V14" s="639">
        <f t="shared" si="4"/>
        <v>12522.481279999998</v>
      </c>
    </row>
    <row r="15" spans="2:22" ht="15" customHeight="1">
      <c r="B15" s="112"/>
      <c r="C15" s="640" t="s">
        <v>365</v>
      </c>
      <c r="D15" s="638">
        <f>+D16+D17</f>
        <v>3349.7848655999946</v>
      </c>
      <c r="E15" s="638">
        <f>+E16+E17</f>
        <v>3828.3255606857078</v>
      </c>
      <c r="F15" s="638">
        <f>+F16+F17</f>
        <v>4599.834420000002</v>
      </c>
      <c r="G15" s="638">
        <f>+G16+G17</f>
        <v>4991.9857184114771</v>
      </c>
      <c r="H15" s="638">
        <f>+H16+H17</f>
        <v>5011.1250357526242</v>
      </c>
      <c r="I15" s="638">
        <f>+J15</f>
        <v>5608.7136399999908</v>
      </c>
      <c r="J15" s="638">
        <f t="shared" ref="J15:P15" si="5">+J16+J17</f>
        <v>5608.7136399999908</v>
      </c>
      <c r="K15" s="638">
        <f t="shared" si="5"/>
        <v>5662.8061083077746</v>
      </c>
      <c r="L15" s="638">
        <f t="shared" si="5"/>
        <v>7290.9071623885038</v>
      </c>
      <c r="M15" s="638">
        <f t="shared" si="5"/>
        <v>8236.149221758913</v>
      </c>
      <c r="N15" s="638">
        <f t="shared" si="5"/>
        <v>8487.0758234686109</v>
      </c>
      <c r="O15" s="638">
        <f t="shared" si="5"/>
        <v>9646.9942867012142</v>
      </c>
      <c r="P15" s="638">
        <f t="shared" si="5"/>
        <v>10924.968939264432</v>
      </c>
      <c r="Q15" s="639">
        <f>+Q16+Q17</f>
        <v>12427.399886631532</v>
      </c>
      <c r="R15" s="639">
        <f t="shared" ref="R15:V15" si="6">+R16+R17</f>
        <v>12444.470640000007</v>
      </c>
      <c r="S15" s="639">
        <f t="shared" si="6"/>
        <v>11263.983690000005</v>
      </c>
      <c r="T15" s="639">
        <f t="shared" si="6"/>
        <v>10642.242040000003</v>
      </c>
      <c r="U15" s="639">
        <f t="shared" si="6"/>
        <v>10794.234979999997</v>
      </c>
      <c r="V15" s="639">
        <f t="shared" si="6"/>
        <v>11737.390649999996</v>
      </c>
    </row>
    <row r="16" spans="2:22" ht="15" customHeight="1">
      <c r="B16" s="112"/>
      <c r="C16" s="641" t="s">
        <v>366</v>
      </c>
      <c r="D16" s="642">
        <v>935.66569228927631</v>
      </c>
      <c r="E16" s="642">
        <f>+D16*12/10.5</f>
        <v>1069.3322197591729</v>
      </c>
      <c r="F16" s="642">
        <v>1045.4531876347976</v>
      </c>
      <c r="G16" s="642">
        <v>1213.5986829858994</v>
      </c>
      <c r="H16" s="642">
        <v>1250.6640860032842</v>
      </c>
      <c r="I16" s="642">
        <f>+J16</f>
        <v>1203.1678644105771</v>
      </c>
      <c r="J16" s="642">
        <v>1203.1678644105771</v>
      </c>
      <c r="K16" s="642">
        <v>990.76467170034471</v>
      </c>
      <c r="L16" s="642">
        <v>1191.5457491484149</v>
      </c>
      <c r="M16" s="642">
        <v>1326.8017794306008</v>
      </c>
      <c r="N16" s="642">
        <v>1247.3413638946331</v>
      </c>
      <c r="O16" s="642">
        <v>1406.9809087641486</v>
      </c>
      <c r="P16" s="642">
        <v>1126.8695117853401</v>
      </c>
      <c r="Q16" s="643">
        <v>1410.7368351305499</v>
      </c>
      <c r="R16" s="643">
        <v>1560.5703252623175</v>
      </c>
      <c r="S16" s="643">
        <v>1597.1438200492541</v>
      </c>
      <c r="T16" s="643">
        <v>1363.0020925982367</v>
      </c>
      <c r="U16" s="643">
        <v>1591.0561756378686</v>
      </c>
      <c r="V16" s="643">
        <v>1760.4617564049245</v>
      </c>
    </row>
    <row r="17" spans="2:22" ht="15" customHeight="1">
      <c r="B17" s="112"/>
      <c r="C17" s="644" t="s">
        <v>16</v>
      </c>
      <c r="D17" s="642">
        <v>2414.1191733107185</v>
      </c>
      <c r="E17" s="642">
        <f>+D17*12/10.5</f>
        <v>2758.993340926535</v>
      </c>
      <c r="F17" s="642">
        <v>3554.3812323652041</v>
      </c>
      <c r="G17" s="642">
        <v>3778.3870354255778</v>
      </c>
      <c r="H17" s="642">
        <v>3760.4609497493402</v>
      </c>
      <c r="I17" s="642">
        <f>+J17</f>
        <v>4405.545775589414</v>
      </c>
      <c r="J17" s="642">
        <v>4405.545775589414</v>
      </c>
      <c r="K17" s="642">
        <v>4672.0414366074301</v>
      </c>
      <c r="L17" s="642">
        <v>6099.361413240089</v>
      </c>
      <c r="M17" s="642">
        <v>6909.3474423283114</v>
      </c>
      <c r="N17" s="642">
        <v>7239.7344595739769</v>
      </c>
      <c r="O17" s="642">
        <v>8240.0133779370663</v>
      </c>
      <c r="P17" s="642">
        <v>9798.0994274790919</v>
      </c>
      <c r="Q17" s="643">
        <v>11016.663051500982</v>
      </c>
      <c r="R17" s="643">
        <v>10883.90031473769</v>
      </c>
      <c r="S17" s="643">
        <v>9666.8398699507507</v>
      </c>
      <c r="T17" s="643">
        <v>9279.2399474017657</v>
      </c>
      <c r="U17" s="643">
        <v>9203.1788043621291</v>
      </c>
      <c r="V17" s="643">
        <v>9976.9288935950717</v>
      </c>
    </row>
    <row r="18" spans="2:22" ht="15" customHeight="1">
      <c r="B18" s="112"/>
      <c r="C18" s="645" t="s">
        <v>368</v>
      </c>
      <c r="D18" s="638">
        <v>313.66328999999996</v>
      </c>
      <c r="E18" s="638">
        <f>+D18*12/10.5</f>
        <v>358.47233142857141</v>
      </c>
      <c r="F18" s="638">
        <v>371.63204999999999</v>
      </c>
      <c r="G18" s="638">
        <v>411.90433000000007</v>
      </c>
      <c r="H18" s="638">
        <v>393.78086000000002</v>
      </c>
      <c r="I18" s="638">
        <f>+J18</f>
        <v>414.77895000000001</v>
      </c>
      <c r="J18" s="638">
        <v>414.77895000000001</v>
      </c>
      <c r="K18" s="638">
        <v>289.28837999999996</v>
      </c>
      <c r="L18" s="638">
        <v>416.32943999999998</v>
      </c>
      <c r="M18" s="638">
        <v>515.92323228191651</v>
      </c>
      <c r="N18" s="638">
        <v>627.27908528200771</v>
      </c>
      <c r="O18" s="638">
        <v>561.37892000000022</v>
      </c>
      <c r="P18" s="638">
        <v>864.76239999999984</v>
      </c>
      <c r="Q18" s="639">
        <v>932.20233000000007</v>
      </c>
      <c r="R18" s="697">
        <v>898.83843000000343</v>
      </c>
      <c r="S18" s="697">
        <v>797.98501000000033</v>
      </c>
      <c r="T18" s="697">
        <v>802.76638999999886</v>
      </c>
      <c r="U18" s="697">
        <v>765.90683000000354</v>
      </c>
      <c r="V18" s="697">
        <v>785.09063000000242</v>
      </c>
    </row>
    <row r="19" spans="2:22" ht="15" hidden="1" customHeight="1">
      <c r="B19" s="112"/>
      <c r="C19" s="646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2"/>
      <c r="Q19" s="643"/>
      <c r="R19" s="643"/>
      <c r="S19" s="643"/>
      <c r="T19" s="643"/>
      <c r="U19" s="643"/>
      <c r="V19" s="643"/>
    </row>
    <row r="20" spans="2:22" ht="15" customHeight="1">
      <c r="B20" s="112"/>
      <c r="C20" s="637" t="s">
        <v>369</v>
      </c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>
        <v>2959</v>
      </c>
      <c r="Q20" s="639">
        <v>2278.6965800000003</v>
      </c>
      <c r="R20" s="639">
        <v>2706.3699699999997</v>
      </c>
      <c r="S20" s="639">
        <v>3164.8361</v>
      </c>
      <c r="T20" s="639">
        <v>3637.4319999999998</v>
      </c>
      <c r="U20" s="639">
        <v>4384.7960000000003</v>
      </c>
      <c r="V20" s="639">
        <v>3830.4438400000013</v>
      </c>
    </row>
    <row r="21" spans="2:22" ht="1.5" customHeight="1" thickBot="1">
      <c r="B21" s="112"/>
      <c r="C21" s="134"/>
      <c r="D21" s="135"/>
      <c r="E21" s="135"/>
      <c r="F21" s="135"/>
      <c r="G21" s="135"/>
      <c r="H21" s="135"/>
      <c r="I21" s="117"/>
      <c r="J21" s="135"/>
      <c r="K21" s="135"/>
      <c r="L21" s="135"/>
      <c r="M21" s="135"/>
      <c r="N21" s="135"/>
      <c r="O21" s="135"/>
      <c r="P21" s="135"/>
      <c r="Q21" s="136"/>
      <c r="R21" s="136"/>
      <c r="S21" s="136"/>
      <c r="T21" s="136"/>
      <c r="U21" s="136"/>
      <c r="V21" s="136"/>
    </row>
    <row r="22" spans="2:22" ht="15" customHeight="1">
      <c r="B22" s="11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V22" s="26"/>
    </row>
    <row r="23" spans="2:22" ht="15" customHeight="1">
      <c r="B23" s="1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V23" s="26"/>
    </row>
    <row r="24" spans="2:22" ht="15" customHeight="1">
      <c r="B24" s="112"/>
      <c r="C24" s="115" t="s">
        <v>403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V24" s="26"/>
    </row>
    <row r="25" spans="2:22" ht="15" customHeight="1">
      <c r="C25" s="115" t="s">
        <v>401</v>
      </c>
      <c r="D25" s="358">
        <v>0.5</v>
      </c>
      <c r="M25" s="26"/>
      <c r="N25" s="26"/>
      <c r="O25" s="26"/>
      <c r="P25" s="26"/>
      <c r="Q25" s="26"/>
      <c r="R25" s="26"/>
      <c r="S25" s="26"/>
      <c r="V25" s="26"/>
    </row>
    <row r="26" spans="2:22" ht="15" customHeight="1">
      <c r="B26" s="356"/>
      <c r="C26" s="359" t="s">
        <v>366</v>
      </c>
      <c r="D26" s="350">
        <f t="shared" ref="D26:L26" si="7">+D7/D$6</f>
        <v>3.9336040787785895E-2</v>
      </c>
      <c r="E26" s="351">
        <f t="shared" si="7"/>
        <v>3.9336040787785902E-2</v>
      </c>
      <c r="F26" s="351">
        <f t="shared" si="7"/>
        <v>3.5709938483338068E-2</v>
      </c>
      <c r="G26" s="351">
        <f t="shared" si="7"/>
        <v>3.6856126586354787E-2</v>
      </c>
      <c r="H26" s="351">
        <f t="shared" si="7"/>
        <v>4.1020620835570155E-2</v>
      </c>
      <c r="I26" s="351">
        <f t="shared" si="7"/>
        <v>3.1652805186535536E-2</v>
      </c>
      <c r="J26" s="351">
        <f t="shared" si="7"/>
        <v>3.1652805186535536E-2</v>
      </c>
      <c r="K26" s="351">
        <f t="shared" si="7"/>
        <v>2.854899513390538E-2</v>
      </c>
      <c r="L26" s="352">
        <f t="shared" si="7"/>
        <v>2.2156091839172838E-2</v>
      </c>
      <c r="M26" s="352">
        <f t="shared" ref="M26:Q27" si="8">+M7/M$6</f>
        <v>2.4410621826753829E-2</v>
      </c>
      <c r="N26" s="352">
        <f t="shared" si="8"/>
        <v>2.4246242677842027E-2</v>
      </c>
      <c r="O26" s="352">
        <f t="shared" si="8"/>
        <v>1.9526617175621864E-2</v>
      </c>
      <c r="P26" s="352">
        <f t="shared" si="8"/>
        <v>1.5006560073322159E-2</v>
      </c>
      <c r="Q26" s="352">
        <f t="shared" si="8"/>
        <v>1.6760246227420939E-2</v>
      </c>
      <c r="R26" s="352">
        <f>+R7/R$6</f>
        <v>1.9809336117432675E-2</v>
      </c>
      <c r="S26" s="352">
        <f t="shared" ref="S26:V26" si="9">+S7/S$6</f>
        <v>2.6918537360435705E-2</v>
      </c>
      <c r="T26" s="352">
        <f t="shared" si="9"/>
        <v>2.829611305311654E-2</v>
      </c>
      <c r="U26" s="352">
        <f t="shared" si="9"/>
        <v>2.6329911345850353E-2</v>
      </c>
      <c r="V26" s="352">
        <f t="shared" si="9"/>
        <v>2.9390238525638192E-2</v>
      </c>
    </row>
    <row r="27" spans="2:22" ht="15" customHeight="1">
      <c r="B27" s="112"/>
      <c r="C27" s="360" t="s">
        <v>16</v>
      </c>
      <c r="D27" s="353">
        <f t="shared" ref="D27:L27" si="10">+D8/D$6</f>
        <v>0.96066395921221404</v>
      </c>
      <c r="E27" s="354">
        <f t="shared" si="10"/>
        <v>0.96066395921221415</v>
      </c>
      <c r="F27" s="354">
        <f t="shared" si="10"/>
        <v>0.96429006151666186</v>
      </c>
      <c r="G27" s="354">
        <f t="shared" si="10"/>
        <v>0.96314387341364527</v>
      </c>
      <c r="H27" s="354">
        <f t="shared" si="10"/>
        <v>0.95897937916442988</v>
      </c>
      <c r="I27" s="354">
        <f t="shared" si="10"/>
        <v>0.96834719481346454</v>
      </c>
      <c r="J27" s="354">
        <f t="shared" si="10"/>
        <v>0.96834719481346454</v>
      </c>
      <c r="K27" s="354">
        <f t="shared" si="10"/>
        <v>0.9714510048660947</v>
      </c>
      <c r="L27" s="355">
        <f t="shared" si="10"/>
        <v>0.97784390816082711</v>
      </c>
      <c r="M27" s="355">
        <f t="shared" si="8"/>
        <v>0.9755893781732462</v>
      </c>
      <c r="N27" s="355">
        <f t="shared" si="8"/>
        <v>0.97575375732215797</v>
      </c>
      <c r="O27" s="355">
        <f t="shared" si="8"/>
        <v>0.98047338282437813</v>
      </c>
      <c r="P27" s="355">
        <f t="shared" si="8"/>
        <v>0.98499343992667787</v>
      </c>
      <c r="Q27" s="355">
        <f t="shared" si="8"/>
        <v>0.98323975377257911</v>
      </c>
      <c r="R27" s="355">
        <f>+R8/R$6</f>
        <v>0.98019066388256737</v>
      </c>
      <c r="S27" s="355">
        <f t="shared" ref="S27:V27" si="11">+S8/S$6</f>
        <v>0.9730814626395643</v>
      </c>
      <c r="T27" s="355">
        <f t="shared" si="11"/>
        <v>0.97170388694688348</v>
      </c>
      <c r="U27" s="355">
        <f t="shared" si="11"/>
        <v>0.97367008865414972</v>
      </c>
      <c r="V27" s="355">
        <f t="shared" si="11"/>
        <v>0.97060976147436173</v>
      </c>
    </row>
    <row r="28" spans="2:22" ht="15" customHeight="1">
      <c r="B28" s="112"/>
      <c r="C28" s="359" t="s">
        <v>366</v>
      </c>
      <c r="D28" s="350">
        <f t="shared" ref="D28:L28" si="12">+$D$25*D26</f>
        <v>1.9668020393892947E-2</v>
      </c>
      <c r="E28" s="351">
        <f t="shared" si="12"/>
        <v>1.9668020393892951E-2</v>
      </c>
      <c r="F28" s="351">
        <f t="shared" si="12"/>
        <v>1.7854969241669034E-2</v>
      </c>
      <c r="G28" s="351">
        <f t="shared" si="12"/>
        <v>1.8428063293177394E-2</v>
      </c>
      <c r="H28" s="351">
        <f t="shared" si="12"/>
        <v>2.0510310417785078E-2</v>
      </c>
      <c r="I28" s="351">
        <f t="shared" si="12"/>
        <v>1.5826402593267768E-2</v>
      </c>
      <c r="J28" s="351">
        <f t="shared" si="12"/>
        <v>1.5826402593267768E-2</v>
      </c>
      <c r="K28" s="351">
        <f t="shared" si="12"/>
        <v>1.427449756695269E-2</v>
      </c>
      <c r="L28" s="352">
        <f t="shared" si="12"/>
        <v>1.1078045919586419E-2</v>
      </c>
      <c r="M28" s="352">
        <f t="shared" ref="M28:Q29" si="13">+$D$25*M26</f>
        <v>1.2205310913376914E-2</v>
      </c>
      <c r="N28" s="352">
        <f t="shared" si="13"/>
        <v>1.2123121338921013E-2</v>
      </c>
      <c r="O28" s="352">
        <f t="shared" si="13"/>
        <v>9.7633085878109319E-3</v>
      </c>
      <c r="P28" s="352">
        <f t="shared" si="13"/>
        <v>7.5032800366610797E-3</v>
      </c>
      <c r="Q28" s="352">
        <f t="shared" si="13"/>
        <v>8.3801231137104696E-3</v>
      </c>
      <c r="R28" s="352">
        <f>+$D$25*R26</f>
        <v>9.9046680587163375E-3</v>
      </c>
      <c r="S28" s="352">
        <f t="shared" ref="S28:V28" si="14">+$D$25*S26</f>
        <v>1.3459268680217852E-2</v>
      </c>
      <c r="T28" s="352">
        <f t="shared" si="14"/>
        <v>1.414805652655827E-2</v>
      </c>
      <c r="U28" s="352">
        <f t="shared" si="14"/>
        <v>1.3164955672925176E-2</v>
      </c>
      <c r="V28" s="352">
        <f t="shared" si="14"/>
        <v>1.4695119262819096E-2</v>
      </c>
    </row>
    <row r="29" spans="2:22" ht="15" customHeight="1">
      <c r="B29" s="112"/>
      <c r="C29" s="360" t="s">
        <v>16</v>
      </c>
      <c r="D29" s="353">
        <f t="shared" ref="D29:L29" si="15">+$D$25*D27</f>
        <v>0.48033197960610702</v>
      </c>
      <c r="E29" s="354">
        <f t="shared" si="15"/>
        <v>0.48033197960610707</v>
      </c>
      <c r="F29" s="354">
        <f t="shared" si="15"/>
        <v>0.48214503075833093</v>
      </c>
      <c r="G29" s="354">
        <f t="shared" si="15"/>
        <v>0.48157193670682263</v>
      </c>
      <c r="H29" s="354">
        <f t="shared" si="15"/>
        <v>0.47948968958221494</v>
      </c>
      <c r="I29" s="354">
        <f t="shared" si="15"/>
        <v>0.48417359740673227</v>
      </c>
      <c r="J29" s="354">
        <f t="shared" si="15"/>
        <v>0.48417359740673227</v>
      </c>
      <c r="K29" s="354">
        <f t="shared" si="15"/>
        <v>0.48572550243304735</v>
      </c>
      <c r="L29" s="355">
        <f t="shared" si="15"/>
        <v>0.48892195408041356</v>
      </c>
      <c r="M29" s="355">
        <f t="shared" si="13"/>
        <v>0.4877946890866231</v>
      </c>
      <c r="N29" s="355">
        <f t="shared" si="13"/>
        <v>0.48787687866107898</v>
      </c>
      <c r="O29" s="355">
        <f t="shared" si="13"/>
        <v>0.49023669141218906</v>
      </c>
      <c r="P29" s="355">
        <f t="shared" si="13"/>
        <v>0.49249671996333894</v>
      </c>
      <c r="Q29" s="355">
        <f t="shared" si="13"/>
        <v>0.49161987688628955</v>
      </c>
      <c r="R29" s="355">
        <f t="shared" ref="R29:V29" si="16">+$D$25*R27</f>
        <v>0.49009533194128369</v>
      </c>
      <c r="S29" s="355">
        <f t="shared" si="16"/>
        <v>0.48654073131978215</v>
      </c>
      <c r="T29" s="355">
        <f t="shared" si="16"/>
        <v>0.48585194347344174</v>
      </c>
      <c r="U29" s="355">
        <f t="shared" si="16"/>
        <v>0.48683504432707486</v>
      </c>
      <c r="V29" s="355">
        <f t="shared" si="16"/>
        <v>0.48530488073718087</v>
      </c>
    </row>
    <row r="30" spans="2:22" ht="15" customHeight="1">
      <c r="B30" s="112"/>
      <c r="C30" s="2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2:22" ht="15" customHeight="1">
      <c r="B31" s="2"/>
      <c r="C31" s="115" t="s">
        <v>402</v>
      </c>
      <c r="D31" s="358">
        <v>0.5</v>
      </c>
      <c r="T31" s="2"/>
      <c r="U31" s="2"/>
    </row>
    <row r="32" spans="2:22" ht="15" customHeight="1">
      <c r="B32" s="112"/>
      <c r="C32" s="359" t="s">
        <v>366</v>
      </c>
      <c r="D32" s="350">
        <f t="shared" ref="D32:L32" si="17">+D16/D$15</f>
        <v>0.2793211295142935</v>
      </c>
      <c r="E32" s="351">
        <f t="shared" si="17"/>
        <v>0.2793211295142935</v>
      </c>
      <c r="F32" s="351">
        <f t="shared" si="17"/>
        <v>0.22728061320842005</v>
      </c>
      <c r="G32" s="351">
        <f t="shared" si="17"/>
        <v>0.24310940604455178</v>
      </c>
      <c r="H32" s="351">
        <f t="shared" si="17"/>
        <v>0.24957750546638399</v>
      </c>
      <c r="I32" s="351">
        <f t="shared" si="17"/>
        <v>0.21451761342028133</v>
      </c>
      <c r="J32" s="351">
        <f t="shared" si="17"/>
        <v>0.21451761342028133</v>
      </c>
      <c r="K32" s="351">
        <f t="shared" si="17"/>
        <v>0.17496002030633123</v>
      </c>
      <c r="L32" s="352">
        <f t="shared" si="17"/>
        <v>0.16342901131634543</v>
      </c>
      <c r="M32" s="352">
        <f t="shared" ref="M32:Q33" si="18">+M16/M$15</f>
        <v>0.1610949175040868</v>
      </c>
      <c r="N32" s="352">
        <f t="shared" si="18"/>
        <v>0.14696950867876812</v>
      </c>
      <c r="O32" s="352">
        <f t="shared" si="18"/>
        <v>0.14584655768934482</v>
      </c>
      <c r="P32" s="352">
        <f t="shared" si="18"/>
        <v>0.10314624398934091</v>
      </c>
      <c r="Q32" s="352">
        <f t="shared" si="18"/>
        <v>0.11351826190514036</v>
      </c>
      <c r="R32" s="352">
        <f>+R16/R$15</f>
        <v>0.12540270859302027</v>
      </c>
      <c r="S32" s="352">
        <f t="shared" ref="S32:V32" si="19">+S16/S$15</f>
        <v>0.14179209274487625</v>
      </c>
      <c r="T32" s="352">
        <f t="shared" si="19"/>
        <v>0.12807471277905988</v>
      </c>
      <c r="U32" s="352">
        <f t="shared" si="19"/>
        <v>0.14739869741448494</v>
      </c>
      <c r="V32" s="352">
        <f t="shared" si="19"/>
        <v>0.14998748946001259</v>
      </c>
    </row>
    <row r="33" spans="2:22" ht="15" customHeight="1">
      <c r="B33" s="112"/>
      <c r="C33" s="360" t="s">
        <v>16</v>
      </c>
      <c r="D33" s="353">
        <f t="shared" ref="D33:L33" si="20">+D17/D$15</f>
        <v>0.72067887048570656</v>
      </c>
      <c r="E33" s="354">
        <f t="shared" si="20"/>
        <v>0.72067887048570656</v>
      </c>
      <c r="F33" s="354">
        <f t="shared" si="20"/>
        <v>0.77271938679157992</v>
      </c>
      <c r="G33" s="354">
        <f t="shared" si="20"/>
        <v>0.75689059395544822</v>
      </c>
      <c r="H33" s="354">
        <f t="shared" si="20"/>
        <v>0.75042249453361609</v>
      </c>
      <c r="I33" s="354">
        <f t="shared" si="20"/>
        <v>0.78548238657971869</v>
      </c>
      <c r="J33" s="354">
        <f t="shared" si="20"/>
        <v>0.78548238657971869</v>
      </c>
      <c r="K33" s="354">
        <f t="shared" si="20"/>
        <v>0.82503997969366882</v>
      </c>
      <c r="L33" s="355">
        <f t="shared" si="20"/>
        <v>0.83657098868365454</v>
      </c>
      <c r="M33" s="355">
        <f t="shared" si="18"/>
        <v>0.83890508249591311</v>
      </c>
      <c r="N33" s="355">
        <f t="shared" si="18"/>
        <v>0.85303049132123177</v>
      </c>
      <c r="O33" s="355">
        <f t="shared" si="18"/>
        <v>0.85415344231065526</v>
      </c>
      <c r="P33" s="355">
        <f t="shared" si="18"/>
        <v>0.89685375601065909</v>
      </c>
      <c r="Q33" s="355">
        <f t="shared" si="18"/>
        <v>0.88648173809485964</v>
      </c>
      <c r="R33" s="355">
        <f t="shared" ref="R33:V33" si="21">+R17/R$15</f>
        <v>0.87459729140697973</v>
      </c>
      <c r="S33" s="355">
        <f t="shared" si="21"/>
        <v>0.85820790725512375</v>
      </c>
      <c r="T33" s="355">
        <f t="shared" si="21"/>
        <v>0.87192528722094009</v>
      </c>
      <c r="U33" s="355">
        <f t="shared" si="21"/>
        <v>0.85260130258551503</v>
      </c>
      <c r="V33" s="355">
        <f t="shared" si="21"/>
        <v>0.8500125105399875</v>
      </c>
    </row>
    <row r="34" spans="2:22" ht="15" customHeight="1">
      <c r="B34" s="112"/>
      <c r="C34" s="359" t="s">
        <v>366</v>
      </c>
      <c r="D34" s="350">
        <f t="shared" ref="D34:L34" si="22">+$D$25*D32</f>
        <v>0.13966056475714675</v>
      </c>
      <c r="E34" s="351">
        <f t="shared" si="22"/>
        <v>0.13966056475714675</v>
      </c>
      <c r="F34" s="351">
        <f t="shared" si="22"/>
        <v>0.11364030660421003</v>
      </c>
      <c r="G34" s="351">
        <f t="shared" si="22"/>
        <v>0.12155470302227589</v>
      </c>
      <c r="H34" s="351">
        <f t="shared" si="22"/>
        <v>0.124788752733192</v>
      </c>
      <c r="I34" s="351">
        <f t="shared" si="22"/>
        <v>0.10725880671014067</v>
      </c>
      <c r="J34" s="351">
        <f t="shared" si="22"/>
        <v>0.10725880671014067</v>
      </c>
      <c r="K34" s="351">
        <f t="shared" si="22"/>
        <v>8.7480010153165616E-2</v>
      </c>
      <c r="L34" s="352">
        <f t="shared" si="22"/>
        <v>8.1714505658172717E-2</v>
      </c>
      <c r="M34" s="352">
        <f t="shared" ref="M34:Q35" si="23">+$D$25*M32</f>
        <v>8.0547458752043402E-2</v>
      </c>
      <c r="N34" s="352">
        <f t="shared" si="23"/>
        <v>7.3484754339384062E-2</v>
      </c>
      <c r="O34" s="352">
        <f t="shared" si="23"/>
        <v>7.292327884467241E-2</v>
      </c>
      <c r="P34" s="352">
        <f t="shared" si="23"/>
        <v>5.1573121994670457E-2</v>
      </c>
      <c r="Q34" s="352">
        <f t="shared" si="23"/>
        <v>5.675913095257018E-2</v>
      </c>
      <c r="R34" s="352">
        <f>+$D$25*R32</f>
        <v>6.2701354296510137E-2</v>
      </c>
      <c r="S34" s="352">
        <f t="shared" ref="S34:V34" si="24">+$D$25*S32</f>
        <v>7.0896046372438126E-2</v>
      </c>
      <c r="T34" s="352">
        <f t="shared" si="24"/>
        <v>6.403735638952994E-2</v>
      </c>
      <c r="U34" s="352">
        <f t="shared" si="24"/>
        <v>7.3699348707242471E-2</v>
      </c>
      <c r="V34" s="352">
        <f t="shared" si="24"/>
        <v>7.4993744730006293E-2</v>
      </c>
    </row>
    <row r="35" spans="2:22" ht="15" customHeight="1">
      <c r="B35" s="112"/>
      <c r="C35" s="360" t="s">
        <v>16</v>
      </c>
      <c r="D35" s="353">
        <f t="shared" ref="D35:L35" si="25">+$D$25*D33</f>
        <v>0.36033943524285328</v>
      </c>
      <c r="E35" s="354">
        <f t="shared" si="25"/>
        <v>0.36033943524285328</v>
      </c>
      <c r="F35" s="354">
        <f t="shared" si="25"/>
        <v>0.38635969339578996</v>
      </c>
      <c r="G35" s="354">
        <f t="shared" si="25"/>
        <v>0.37844529697772411</v>
      </c>
      <c r="H35" s="354">
        <f t="shared" si="25"/>
        <v>0.37521124726680805</v>
      </c>
      <c r="I35" s="354">
        <f t="shared" si="25"/>
        <v>0.39274119328985935</v>
      </c>
      <c r="J35" s="354">
        <f t="shared" si="25"/>
        <v>0.39274119328985935</v>
      </c>
      <c r="K35" s="354">
        <f t="shared" si="25"/>
        <v>0.41251998984683441</v>
      </c>
      <c r="L35" s="355">
        <f t="shared" si="25"/>
        <v>0.41828549434182727</v>
      </c>
      <c r="M35" s="355">
        <f t="shared" si="23"/>
        <v>0.41945254124795656</v>
      </c>
      <c r="N35" s="355">
        <f t="shared" si="23"/>
        <v>0.42651524566061588</v>
      </c>
      <c r="O35" s="355">
        <f t="shared" si="23"/>
        <v>0.42707672115532763</v>
      </c>
      <c r="P35" s="355">
        <f t="shared" si="23"/>
        <v>0.44842687800532954</v>
      </c>
      <c r="Q35" s="355">
        <f t="shared" si="23"/>
        <v>0.44324086904742982</v>
      </c>
      <c r="R35" s="355">
        <f>+$D$25*R33</f>
        <v>0.43729864570348986</v>
      </c>
      <c r="S35" s="355">
        <f t="shared" ref="S35:V35" si="26">+$D$25*S33</f>
        <v>0.42910395362756187</v>
      </c>
      <c r="T35" s="355">
        <f t="shared" si="26"/>
        <v>0.43596264361047005</v>
      </c>
      <c r="U35" s="355">
        <f t="shared" si="26"/>
        <v>0.42630065129275752</v>
      </c>
      <c r="V35" s="355">
        <f t="shared" si="26"/>
        <v>0.42500625526999375</v>
      </c>
    </row>
    <row r="36" spans="2:22" ht="15" customHeight="1">
      <c r="B36" s="11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V36" s="26"/>
    </row>
    <row r="37" spans="2:22" ht="15" customHeight="1" thickBot="1">
      <c r="T37" s="2"/>
      <c r="U37" s="2"/>
    </row>
    <row r="38" spans="2:22" ht="15" customHeight="1" thickBot="1">
      <c r="C38" s="120" t="s">
        <v>363</v>
      </c>
      <c r="D38" s="121" t="s">
        <v>370</v>
      </c>
      <c r="E38" s="121">
        <v>2001</v>
      </c>
      <c r="F38" s="121">
        <v>2002</v>
      </c>
      <c r="G38" s="121">
        <v>2003</v>
      </c>
      <c r="H38" s="121">
        <v>2004</v>
      </c>
      <c r="I38" s="122">
        <v>2005</v>
      </c>
      <c r="J38" s="121">
        <v>2005</v>
      </c>
      <c r="K38" s="121">
        <v>2006</v>
      </c>
      <c r="L38" s="121">
        <v>2007</v>
      </c>
      <c r="M38" s="121">
        <v>2008</v>
      </c>
      <c r="N38" s="121">
        <v>2009</v>
      </c>
      <c r="O38" s="121">
        <v>2010</v>
      </c>
      <c r="P38" s="121">
        <v>2011</v>
      </c>
      <c r="Q38" s="121">
        <v>2012</v>
      </c>
      <c r="R38" s="121">
        <v>2013</v>
      </c>
      <c r="S38" s="121">
        <v>2014</v>
      </c>
      <c r="T38" s="121">
        <v>2015</v>
      </c>
      <c r="U38" s="121">
        <v>2016</v>
      </c>
      <c r="V38" s="121">
        <v>2017</v>
      </c>
    </row>
    <row r="39" spans="2:22" ht="15" customHeight="1"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9"/>
      <c r="R39" s="139"/>
      <c r="S39" s="139"/>
      <c r="T39" s="139"/>
      <c r="U39" s="139"/>
      <c r="V39" s="139"/>
    </row>
    <row r="40" spans="2:22" ht="15" customHeight="1">
      <c r="C40" s="140" t="s">
        <v>366</v>
      </c>
      <c r="D40" s="141">
        <f>+D$18*(D16/D$15)</f>
        <v>87.612784449969396</v>
      </c>
      <c r="E40" s="141">
        <f t="shared" ref="E40:L40" si="27">+E$18*(E16/E$15)</f>
        <v>100.12889651425074</v>
      </c>
      <c r="F40" s="141">
        <f t="shared" si="27"/>
        <v>84.464760211902217</v>
      </c>
      <c r="G40" s="141">
        <f t="shared" si="27"/>
        <v>100.13781701347907</v>
      </c>
      <c r="H40" s="141">
        <f t="shared" si="27"/>
        <v>98.2788447392074</v>
      </c>
      <c r="I40" s="141">
        <f t="shared" si="27"/>
        <v>88.977390450970205</v>
      </c>
      <c r="J40" s="141">
        <f t="shared" si="27"/>
        <v>88.977390450970205</v>
      </c>
      <c r="K40" s="141">
        <f t="shared" si="27"/>
        <v>50.613900839185661</v>
      </c>
      <c r="L40" s="141">
        <f t="shared" si="27"/>
        <v>68.040308761087758</v>
      </c>
      <c r="M40" s="141">
        <f t="shared" ref="M40:Q41" si="28">+M$18*(M16/M$15)</f>
        <v>83.112610542897158</v>
      </c>
      <c r="N40" s="141">
        <f t="shared" si="28"/>
        <v>92.190898968363769</v>
      </c>
      <c r="O40" s="142">
        <f t="shared" si="28"/>
        <v>81.875183041362121</v>
      </c>
      <c r="P40" s="142">
        <f t="shared" si="28"/>
        <v>89.196993503208006</v>
      </c>
      <c r="Q40" s="142">
        <f>+Q$18*(Q16/Q$15)</f>
        <v>105.82198824552209</v>
      </c>
      <c r="R40" s="142">
        <f>+R$18*(R16/R$15)</f>
        <v>112.71677370949828</v>
      </c>
      <c r="S40" s="142">
        <f t="shared" ref="S40:V40" si="29">+S$18*(S16/S$15)</f>
        <v>113.14796454694105</v>
      </c>
      <c r="T40" s="142">
        <f t="shared" si="29"/>
        <v>102.81407482793261</v>
      </c>
      <c r="U40" s="142">
        <f t="shared" si="29"/>
        <v>112.89366908285788</v>
      </c>
      <c r="V40" s="142">
        <f t="shared" si="29"/>
        <v>117.75377259228</v>
      </c>
    </row>
    <row r="41" spans="2:22" ht="15" customHeight="1">
      <c r="C41" s="143" t="s">
        <v>16</v>
      </c>
      <c r="D41" s="141">
        <f>+D$18*(D17/D$15)</f>
        <v>226.05050555003058</v>
      </c>
      <c r="E41" s="141">
        <f t="shared" ref="E41:L41" si="30">+E$18*(E17/E$15)</f>
        <v>258.34343491432071</v>
      </c>
      <c r="F41" s="141">
        <f t="shared" si="30"/>
        <v>287.16728978809778</v>
      </c>
      <c r="G41" s="141">
        <f t="shared" si="30"/>
        <v>311.76651298652098</v>
      </c>
      <c r="H41" s="141">
        <f t="shared" si="30"/>
        <v>295.50201526079263</v>
      </c>
      <c r="I41" s="141">
        <f t="shared" si="30"/>
        <v>325.80155954902983</v>
      </c>
      <c r="J41" s="141">
        <f t="shared" si="30"/>
        <v>325.80155954902983</v>
      </c>
      <c r="K41" s="141">
        <f t="shared" si="30"/>
        <v>238.67447916081431</v>
      </c>
      <c r="L41" s="141">
        <f t="shared" si="30"/>
        <v>348.2891312389122</v>
      </c>
      <c r="M41" s="141">
        <f t="shared" si="28"/>
        <v>432.81062173901933</v>
      </c>
      <c r="N41" s="141">
        <f t="shared" si="28"/>
        <v>535.08818631364386</v>
      </c>
      <c r="O41" s="142">
        <f t="shared" si="28"/>
        <v>479.50373695863817</v>
      </c>
      <c r="P41" s="142">
        <f t="shared" si="28"/>
        <v>775.56540649679187</v>
      </c>
      <c r="Q41" s="142">
        <f t="shared" si="28"/>
        <v>826.38034175447797</v>
      </c>
      <c r="R41" s="142">
        <f>+R$18*(R17/R$15)</f>
        <v>786.12165629050514</v>
      </c>
      <c r="S41" s="142">
        <f t="shared" ref="S41:V41" si="31">+S$18*(S17/S$15)</f>
        <v>684.83704545305932</v>
      </c>
      <c r="T41" s="142">
        <f t="shared" si="31"/>
        <v>699.95231517206616</v>
      </c>
      <c r="U41" s="142">
        <f t="shared" si="31"/>
        <v>653.01316091714568</v>
      </c>
      <c r="V41" s="142">
        <f t="shared" si="31"/>
        <v>667.3368574077225</v>
      </c>
    </row>
    <row r="42" spans="2:22" ht="15" customHeight="1">
      <c r="C42" s="144" t="s">
        <v>368</v>
      </c>
      <c r="D42" s="145">
        <f>+D41+D40</f>
        <v>313.66328999999996</v>
      </c>
      <c r="E42" s="145">
        <f t="shared" ref="E42:L42" si="32">+E41+E40</f>
        <v>358.47233142857147</v>
      </c>
      <c r="F42" s="145">
        <f t="shared" si="32"/>
        <v>371.63204999999999</v>
      </c>
      <c r="G42" s="145">
        <f t="shared" si="32"/>
        <v>411.90433000000007</v>
      </c>
      <c r="H42" s="145">
        <f t="shared" si="32"/>
        <v>393.78086000000002</v>
      </c>
      <c r="I42" s="145">
        <f t="shared" si="32"/>
        <v>414.77895000000001</v>
      </c>
      <c r="J42" s="145">
        <f t="shared" si="32"/>
        <v>414.77895000000001</v>
      </c>
      <c r="K42" s="145">
        <f t="shared" si="32"/>
        <v>289.28837999999996</v>
      </c>
      <c r="L42" s="145">
        <f t="shared" si="32"/>
        <v>416.32943999999998</v>
      </c>
      <c r="M42" s="145">
        <f t="shared" ref="M42:R42" si="33">+M41+M40</f>
        <v>515.92323228191651</v>
      </c>
      <c r="N42" s="145">
        <f t="shared" si="33"/>
        <v>627.2790852820076</v>
      </c>
      <c r="O42" s="146">
        <f t="shared" si="33"/>
        <v>561.37892000000033</v>
      </c>
      <c r="P42" s="146">
        <f t="shared" si="33"/>
        <v>864.76239999999984</v>
      </c>
      <c r="Q42" s="146">
        <f t="shared" si="33"/>
        <v>932.20233000000007</v>
      </c>
      <c r="R42" s="146">
        <f t="shared" si="33"/>
        <v>898.83843000000343</v>
      </c>
      <c r="S42" s="146">
        <f t="shared" ref="S42:V42" si="34">+S41+S40</f>
        <v>797.98501000000033</v>
      </c>
      <c r="T42" s="146">
        <f t="shared" si="34"/>
        <v>802.76638999999875</v>
      </c>
      <c r="U42" s="146">
        <f t="shared" si="34"/>
        <v>765.90683000000354</v>
      </c>
      <c r="V42" s="146">
        <f t="shared" si="34"/>
        <v>785.09063000000253</v>
      </c>
    </row>
    <row r="43" spans="2:22" ht="15" customHeight="1"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149"/>
      <c r="Q43" s="149"/>
      <c r="R43" s="149"/>
      <c r="S43" s="149"/>
      <c r="T43" s="149"/>
      <c r="U43" s="149"/>
      <c r="V43" s="149"/>
    </row>
    <row r="44" spans="2:22" ht="15" customHeight="1">
      <c r="C44" s="140" t="s">
        <v>366</v>
      </c>
      <c r="D44" s="141">
        <f t="shared" ref="D44:L44" si="35">+D28*D20+D34*D20</f>
        <v>0</v>
      </c>
      <c r="E44" s="141">
        <f t="shared" si="35"/>
        <v>0</v>
      </c>
      <c r="F44" s="141">
        <f t="shared" si="35"/>
        <v>0</v>
      </c>
      <c r="G44" s="141">
        <f t="shared" si="35"/>
        <v>0</v>
      </c>
      <c r="H44" s="141">
        <f t="shared" si="35"/>
        <v>0</v>
      </c>
      <c r="I44" s="141">
        <f t="shared" si="35"/>
        <v>0</v>
      </c>
      <c r="J44" s="141">
        <f t="shared" si="35"/>
        <v>0</v>
      </c>
      <c r="K44" s="141">
        <f t="shared" si="35"/>
        <v>0</v>
      </c>
      <c r="L44" s="141">
        <f t="shared" si="35"/>
        <v>0</v>
      </c>
      <c r="M44" s="141">
        <f t="shared" ref="M44:R44" si="36">+M28*M20+M34*M20</f>
        <v>0</v>
      </c>
      <c r="N44" s="141">
        <f t="shared" si="36"/>
        <v>0</v>
      </c>
      <c r="O44" s="142">
        <f t="shared" si="36"/>
        <v>0</v>
      </c>
      <c r="P44" s="142">
        <f t="shared" si="36"/>
        <v>174.80707361071001</v>
      </c>
      <c r="Q44" s="142">
        <f t="shared" si="36"/>
        <v>148.43259546458484</v>
      </c>
      <c r="R44" s="142">
        <f t="shared" si="36"/>
        <v>196.49875854333359</v>
      </c>
      <c r="S44" s="142">
        <f t="shared" ref="S44:V44" si="37">+S28*S20+S34*S20</f>
        <v>266.97074630551901</v>
      </c>
      <c r="T44" s="142">
        <f t="shared" si="37"/>
        <v>284.39412287419253</v>
      </c>
      <c r="U44" s="142">
        <f t="shared" si="37"/>
        <v>380.88225438894159</v>
      </c>
      <c r="V44" s="142">
        <f t="shared" si="37"/>
        <v>343.54815659791592</v>
      </c>
    </row>
    <row r="45" spans="2:22" ht="15" customHeight="1">
      <c r="C45" s="143" t="s">
        <v>16</v>
      </c>
      <c r="D45" s="141">
        <f t="shared" ref="D45:L45" si="38">+D20*D29+D20*D35</f>
        <v>0</v>
      </c>
      <c r="E45" s="141">
        <f t="shared" si="38"/>
        <v>0</v>
      </c>
      <c r="F45" s="141">
        <f t="shared" si="38"/>
        <v>0</v>
      </c>
      <c r="G45" s="141">
        <f t="shared" si="38"/>
        <v>0</v>
      </c>
      <c r="H45" s="141">
        <f t="shared" si="38"/>
        <v>0</v>
      </c>
      <c r="I45" s="141">
        <f t="shared" si="38"/>
        <v>0</v>
      </c>
      <c r="J45" s="141">
        <f t="shared" si="38"/>
        <v>0</v>
      </c>
      <c r="K45" s="141">
        <f t="shared" si="38"/>
        <v>0</v>
      </c>
      <c r="L45" s="141">
        <f t="shared" si="38"/>
        <v>0</v>
      </c>
      <c r="M45" s="141">
        <f t="shared" ref="M45:R45" si="39">+M20*M29+M20*M35</f>
        <v>0</v>
      </c>
      <c r="N45" s="141">
        <f t="shared" si="39"/>
        <v>0</v>
      </c>
      <c r="O45" s="142">
        <f t="shared" si="39"/>
        <v>0</v>
      </c>
      <c r="P45" s="142">
        <f t="shared" si="39"/>
        <v>2784.1929263892898</v>
      </c>
      <c r="Q45" s="142">
        <f t="shared" si="39"/>
        <v>2130.2639845354156</v>
      </c>
      <c r="R45" s="142">
        <f t="shared" si="39"/>
        <v>2509.8712114566661</v>
      </c>
      <c r="S45" s="142">
        <f t="shared" ref="S45:V45" si="40">+S20*S29+S20*S35</f>
        <v>2897.8653536944812</v>
      </c>
      <c r="T45" s="142">
        <f t="shared" si="40"/>
        <v>3353.0378771258074</v>
      </c>
      <c r="U45" s="142">
        <f t="shared" si="40"/>
        <v>4003.9137456110593</v>
      </c>
      <c r="V45" s="142">
        <f t="shared" si="40"/>
        <v>3486.8956834020855</v>
      </c>
    </row>
    <row r="46" spans="2:22" ht="15" customHeight="1">
      <c r="C46" s="144" t="s">
        <v>369</v>
      </c>
      <c r="D46" s="145">
        <f>+D45+D44</f>
        <v>0</v>
      </c>
      <c r="E46" s="145">
        <f t="shared" ref="E46:L46" si="41">+E45+E44</f>
        <v>0</v>
      </c>
      <c r="F46" s="145">
        <f t="shared" si="41"/>
        <v>0</v>
      </c>
      <c r="G46" s="145">
        <f t="shared" si="41"/>
        <v>0</v>
      </c>
      <c r="H46" s="145">
        <f t="shared" si="41"/>
        <v>0</v>
      </c>
      <c r="I46" s="145">
        <f t="shared" si="41"/>
        <v>0</v>
      </c>
      <c r="J46" s="145">
        <f t="shared" si="41"/>
        <v>0</v>
      </c>
      <c r="K46" s="145">
        <f t="shared" si="41"/>
        <v>0</v>
      </c>
      <c r="L46" s="145">
        <f t="shared" si="41"/>
        <v>0</v>
      </c>
      <c r="M46" s="145">
        <f>+M45+M44</f>
        <v>0</v>
      </c>
      <c r="N46" s="145">
        <f>+N45+N44</f>
        <v>0</v>
      </c>
      <c r="O46" s="146">
        <f>+O45+O44</f>
        <v>0</v>
      </c>
      <c r="P46" s="146">
        <f>+P45+P44</f>
        <v>2959</v>
      </c>
      <c r="Q46" s="146">
        <f>+Q45+Q44</f>
        <v>2278.6965800000003</v>
      </c>
      <c r="R46" s="146">
        <f t="shared" ref="R46:V46" si="42">+R45+R44</f>
        <v>2706.3699699999997</v>
      </c>
      <c r="S46" s="146">
        <f t="shared" si="42"/>
        <v>3164.8361000000004</v>
      </c>
      <c r="T46" s="146">
        <f t="shared" si="42"/>
        <v>3637.4319999999998</v>
      </c>
      <c r="U46" s="146">
        <f t="shared" si="42"/>
        <v>4384.7960000000012</v>
      </c>
      <c r="V46" s="146">
        <f t="shared" si="42"/>
        <v>3830.4438400000013</v>
      </c>
    </row>
    <row r="47" spans="2:22" ht="15" customHeight="1" thickBot="1">
      <c r="C47" s="134"/>
      <c r="D47" s="135"/>
      <c r="E47" s="135"/>
      <c r="F47" s="135"/>
      <c r="G47" s="135"/>
      <c r="H47" s="135"/>
      <c r="I47" s="117"/>
      <c r="J47" s="135"/>
      <c r="K47" s="135"/>
      <c r="L47" s="135"/>
      <c r="M47" s="135"/>
      <c r="N47" s="135"/>
      <c r="O47" s="135"/>
      <c r="P47" s="135"/>
      <c r="Q47" s="136"/>
      <c r="R47" s="136"/>
      <c r="S47" s="136"/>
      <c r="T47" s="136"/>
      <c r="U47" s="136"/>
      <c r="V47" s="136"/>
    </row>
    <row r="48" spans="2:22" ht="15" customHeight="1">
      <c r="B48" s="112"/>
      <c r="C48" s="26"/>
      <c r="D48" s="26"/>
      <c r="F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V48" s="26"/>
    </row>
    <row r="49" spans="2:22" ht="15" customHeight="1" thickBot="1">
      <c r="B49" s="112"/>
      <c r="C49" s="115" t="s">
        <v>372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V49" s="26"/>
    </row>
    <row r="50" spans="2:22" ht="15" customHeight="1" thickBot="1">
      <c r="B50" s="112"/>
      <c r="C50" s="120" t="s">
        <v>363</v>
      </c>
      <c r="D50" s="121" t="s">
        <v>370</v>
      </c>
      <c r="E50" s="121">
        <v>2001</v>
      </c>
      <c r="F50" s="121">
        <v>2002</v>
      </c>
      <c r="G50" s="121">
        <v>2003</v>
      </c>
      <c r="H50" s="121">
        <v>2004</v>
      </c>
      <c r="I50" s="122">
        <v>2005</v>
      </c>
      <c r="J50" s="121">
        <v>2005</v>
      </c>
      <c r="K50" s="121">
        <v>2006</v>
      </c>
      <c r="L50" s="121">
        <v>2007</v>
      </c>
      <c r="M50" s="121">
        <v>2008</v>
      </c>
      <c r="N50" s="121">
        <v>2009</v>
      </c>
      <c r="O50" s="121">
        <v>2010</v>
      </c>
      <c r="P50" s="121">
        <v>2011</v>
      </c>
      <c r="Q50" s="123">
        <v>2012</v>
      </c>
      <c r="R50" s="123">
        <v>2013</v>
      </c>
      <c r="S50" s="123">
        <v>2014</v>
      </c>
      <c r="T50" s="123">
        <v>2015</v>
      </c>
      <c r="U50" s="123">
        <v>2016</v>
      </c>
      <c r="V50" s="123">
        <v>2017</v>
      </c>
    </row>
    <row r="51" spans="2:22" ht="15" customHeight="1">
      <c r="C51" s="124" t="s">
        <v>364</v>
      </c>
      <c r="D51" s="125"/>
      <c r="E51" s="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6"/>
      <c r="R51" s="126"/>
      <c r="S51" s="126"/>
      <c r="T51" s="126"/>
      <c r="U51" s="126"/>
      <c r="V51" s="126"/>
    </row>
    <row r="52" spans="2:22" ht="15" customHeight="1">
      <c r="C52" s="127" t="s">
        <v>365</v>
      </c>
      <c r="D52" s="128">
        <f t="shared" ref="D52:Q52" si="43">+D53+D54</f>
        <v>3663.4481555999946</v>
      </c>
      <c r="E52" s="128">
        <f t="shared" si="43"/>
        <v>4186.7978921142794</v>
      </c>
      <c r="F52" s="128">
        <f t="shared" si="43"/>
        <v>4971.4664700000012</v>
      </c>
      <c r="G52" s="128">
        <f t="shared" si="43"/>
        <v>5403.8900484114765</v>
      </c>
      <c r="H52" s="128">
        <f t="shared" si="43"/>
        <v>5404.9058957526249</v>
      </c>
      <c r="I52" s="128">
        <f t="shared" si="43"/>
        <v>6023.4925899999907</v>
      </c>
      <c r="J52" s="128">
        <f t="shared" si="43"/>
        <v>6023.4925899999907</v>
      </c>
      <c r="K52" s="128">
        <f t="shared" si="43"/>
        <v>5952.0944883077746</v>
      </c>
      <c r="L52" s="128">
        <f t="shared" si="43"/>
        <v>7707.2366023885033</v>
      </c>
      <c r="M52" s="128">
        <f t="shared" si="43"/>
        <v>8752.0724540408282</v>
      </c>
      <c r="N52" s="128">
        <f t="shared" si="43"/>
        <v>9114.3549087506181</v>
      </c>
      <c r="O52" s="128">
        <f t="shared" si="43"/>
        <v>10208.373206701215</v>
      </c>
      <c r="P52" s="128">
        <f t="shared" si="43"/>
        <v>14748.73133926443</v>
      </c>
      <c r="Q52" s="129">
        <f t="shared" si="43"/>
        <v>15638.298796631532</v>
      </c>
      <c r="R52" s="129">
        <f>+R53+R54</f>
        <v>16049.67904000001</v>
      </c>
      <c r="S52" s="129">
        <f t="shared" ref="S52:V52" si="44">+S53+S54</f>
        <v>15226.804800000007</v>
      </c>
      <c r="T52" s="129">
        <f t="shared" si="44"/>
        <v>15082.440430000001</v>
      </c>
      <c r="U52" s="129">
        <f t="shared" si="44"/>
        <v>15944.937810000001</v>
      </c>
      <c r="V52" s="129">
        <f t="shared" si="44"/>
        <v>16352.92512</v>
      </c>
    </row>
    <row r="53" spans="2:22" ht="15" customHeight="1">
      <c r="C53" s="130" t="s">
        <v>366</v>
      </c>
      <c r="D53" s="125">
        <f t="shared" ref="D53:L53" si="45">+D16+D40+D44</f>
        <v>1023.2784767392457</v>
      </c>
      <c r="E53" s="125">
        <f t="shared" si="45"/>
        <v>1169.4611162734236</v>
      </c>
      <c r="F53" s="125">
        <f t="shared" si="45"/>
        <v>1129.9179478466999</v>
      </c>
      <c r="G53" s="125">
        <f t="shared" si="45"/>
        <v>1313.7364999993783</v>
      </c>
      <c r="H53" s="125">
        <f t="shared" si="45"/>
        <v>1348.9429307424916</v>
      </c>
      <c r="I53" s="125">
        <f t="shared" si="45"/>
        <v>1292.1452548615473</v>
      </c>
      <c r="J53" s="125">
        <f t="shared" si="45"/>
        <v>1292.1452548615473</v>
      </c>
      <c r="K53" s="125">
        <f t="shared" si="45"/>
        <v>1041.3785725395303</v>
      </c>
      <c r="L53" s="125">
        <f t="shared" si="45"/>
        <v>1259.5860579095026</v>
      </c>
      <c r="M53" s="125">
        <f t="shared" ref="M53:Q54" si="46">+M16+M40+M44</f>
        <v>1409.9143899734979</v>
      </c>
      <c r="N53" s="125">
        <f t="shared" si="46"/>
        <v>1339.532262862997</v>
      </c>
      <c r="O53" s="125">
        <f t="shared" si="46"/>
        <v>1488.8560918055107</v>
      </c>
      <c r="P53" s="125">
        <f t="shared" si="46"/>
        <v>1390.8735788992581</v>
      </c>
      <c r="Q53" s="126">
        <f t="shared" si="46"/>
        <v>1664.9914188406569</v>
      </c>
      <c r="R53" s="126">
        <f>+R16+R40+R44</f>
        <v>1869.7858575151495</v>
      </c>
      <c r="S53" s="126">
        <f t="shared" ref="S53:V53" si="47">+S16+S40+S44</f>
        <v>1977.2625309017142</v>
      </c>
      <c r="T53" s="126">
        <f t="shared" si="47"/>
        <v>1750.210290300362</v>
      </c>
      <c r="U53" s="126">
        <f t="shared" si="47"/>
        <v>2084.832099109668</v>
      </c>
      <c r="V53" s="126">
        <f t="shared" si="47"/>
        <v>2221.7636855951205</v>
      </c>
    </row>
    <row r="54" spans="2:22" ht="15" customHeight="1" thickBot="1">
      <c r="C54" s="131" t="s">
        <v>16</v>
      </c>
      <c r="D54" s="132">
        <f t="shared" ref="D54:L54" si="48">+D17+D41+D45</f>
        <v>2640.1696788607492</v>
      </c>
      <c r="E54" s="132">
        <f t="shared" si="48"/>
        <v>3017.3367758408558</v>
      </c>
      <c r="F54" s="132">
        <f t="shared" si="48"/>
        <v>3841.5485221533017</v>
      </c>
      <c r="G54" s="132">
        <f t="shared" si="48"/>
        <v>4090.1535484120986</v>
      </c>
      <c r="H54" s="132">
        <f t="shared" si="48"/>
        <v>4055.9629650101328</v>
      </c>
      <c r="I54" s="132">
        <f t="shared" si="48"/>
        <v>4731.3473351384437</v>
      </c>
      <c r="J54" s="132">
        <f t="shared" si="48"/>
        <v>4731.3473351384437</v>
      </c>
      <c r="K54" s="132">
        <f t="shared" si="48"/>
        <v>4910.7159157682445</v>
      </c>
      <c r="L54" s="132">
        <f t="shared" si="48"/>
        <v>6447.6505444790009</v>
      </c>
      <c r="M54" s="132">
        <f t="shared" si="46"/>
        <v>7342.158064067331</v>
      </c>
      <c r="N54" s="132">
        <f t="shared" si="46"/>
        <v>7774.8226458876206</v>
      </c>
      <c r="O54" s="132">
        <f t="shared" si="46"/>
        <v>8719.5171148957052</v>
      </c>
      <c r="P54" s="132">
        <f t="shared" si="46"/>
        <v>13357.857760365172</v>
      </c>
      <c r="Q54" s="133">
        <f t="shared" si="46"/>
        <v>13973.307377790876</v>
      </c>
      <c r="R54" s="133">
        <f>+R17+R41+R45</f>
        <v>14179.893182484861</v>
      </c>
      <c r="S54" s="133">
        <f t="shared" ref="S54:V54" si="49">+S17+S41+S45</f>
        <v>13249.542269098292</v>
      </c>
      <c r="T54" s="133">
        <f t="shared" si="49"/>
        <v>13332.230139699639</v>
      </c>
      <c r="U54" s="133">
        <f t="shared" si="49"/>
        <v>13860.105710890333</v>
      </c>
      <c r="V54" s="133">
        <f t="shared" si="49"/>
        <v>14131.161434404879</v>
      </c>
    </row>
    <row r="55" spans="2:22" ht="15" customHeight="1">
      <c r="D55" s="119"/>
      <c r="E55" s="119"/>
      <c r="F55" s="119"/>
      <c r="G55" s="119"/>
      <c r="H55" s="119"/>
      <c r="I55" s="119"/>
      <c r="J55" s="119"/>
      <c r="K55" s="119"/>
      <c r="L55" s="119"/>
    </row>
    <row r="65" spans="2:17" ht="15" customHeight="1">
      <c r="B65" s="112"/>
      <c r="C65" s="26"/>
      <c r="D65" s="26"/>
      <c r="F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80" spans="2:17" ht="15" customHeight="1">
      <c r="B80" s="112"/>
      <c r="C80" s="26"/>
      <c r="D80" s="26"/>
      <c r="F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95" spans="2:17" ht="15" customHeight="1">
      <c r="B95" s="112"/>
      <c r="C95" s="26"/>
      <c r="D95" s="26"/>
      <c r="F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110" spans="2:17" ht="15" customHeight="1">
      <c r="B110" s="112"/>
      <c r="C110" s="26"/>
      <c r="D110" s="26"/>
      <c r="F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25" spans="2:17" ht="15" customHeight="1">
      <c r="B125" s="112"/>
      <c r="C125" s="26"/>
      <c r="D125" s="26"/>
      <c r="F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50" ht="16.5" customHeight="1"/>
    <row r="175" spans="22:22" ht="15" customHeight="1">
      <c r="V175" s="26"/>
    </row>
  </sheetData>
  <phoneticPr fontId="0" type="noConversion"/>
  <pageMargins left="0.56999999999999995" right="0.6" top="0.31" bottom="0.16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T73"/>
  <sheetViews>
    <sheetView showGridLines="0" topLeftCell="A2" zoomScaleNormal="100" workbookViewId="0">
      <selection activeCell="D11" sqref="D11"/>
    </sheetView>
  </sheetViews>
  <sheetFormatPr baseColWidth="10" defaultColWidth="11.42578125" defaultRowHeight="15" customHeight="1"/>
  <cols>
    <col min="1" max="1" width="4.7109375" style="2" customWidth="1"/>
    <col min="2" max="2" width="25.7109375" style="2" customWidth="1"/>
    <col min="3" max="11" width="10.42578125" style="2" bestFit="1" customWidth="1"/>
    <col min="12" max="15" width="11.5703125" style="2" bestFit="1" customWidth="1"/>
    <col min="16" max="20" width="11.5703125" style="2" customWidth="1"/>
    <col min="21" max="16384" width="11.42578125" style="2"/>
  </cols>
  <sheetData>
    <row r="2" spans="2:20" ht="15" customHeight="1">
      <c r="B2" s="4" t="s">
        <v>87</v>
      </c>
      <c r="C2" s="4"/>
      <c r="D2" s="4"/>
      <c r="E2" s="4"/>
      <c r="F2" s="4"/>
      <c r="G2" s="4"/>
      <c r="H2" s="4"/>
      <c r="I2" s="150"/>
      <c r="J2" s="150"/>
      <c r="K2" s="52"/>
    </row>
    <row r="3" spans="2:20" ht="15" customHeight="1" thickBot="1"/>
    <row r="4" spans="2:20" ht="15" customHeight="1" thickBot="1">
      <c r="B4" s="5" t="s">
        <v>79</v>
      </c>
      <c r="C4" s="38">
        <v>2001</v>
      </c>
      <c r="D4" s="38">
        <f>+C4+1</f>
        <v>2002</v>
      </c>
      <c r="E4" s="38">
        <f>+D4+1</f>
        <v>2003</v>
      </c>
      <c r="F4" s="38">
        <f>+E4+1</f>
        <v>2004</v>
      </c>
      <c r="G4" s="39">
        <f>+F4+1</f>
        <v>2005</v>
      </c>
      <c r="H4" s="38">
        <f>+F4+1</f>
        <v>2005</v>
      </c>
      <c r="I4" s="38">
        <f t="shared" ref="I4:O4" si="0">+H4+1</f>
        <v>2006</v>
      </c>
      <c r="J4" s="151">
        <f t="shared" si="0"/>
        <v>2007</v>
      </c>
      <c r="K4" s="38">
        <f t="shared" si="0"/>
        <v>2008</v>
      </c>
      <c r="L4" s="151">
        <f t="shared" si="0"/>
        <v>2009</v>
      </c>
      <c r="M4" s="38">
        <f t="shared" si="0"/>
        <v>2010</v>
      </c>
      <c r="N4" s="151">
        <f t="shared" si="0"/>
        <v>2011</v>
      </c>
      <c r="O4" s="38">
        <f t="shared" si="0"/>
        <v>2012</v>
      </c>
      <c r="P4" s="151">
        <f t="shared" ref="P4:T4" si="1">+O4+1</f>
        <v>2013</v>
      </c>
      <c r="Q4" s="38">
        <f t="shared" si="1"/>
        <v>2014</v>
      </c>
      <c r="R4" s="151">
        <f t="shared" si="1"/>
        <v>2015</v>
      </c>
      <c r="S4" s="38">
        <f t="shared" si="1"/>
        <v>2016</v>
      </c>
      <c r="T4" s="151">
        <f t="shared" si="1"/>
        <v>2017</v>
      </c>
    </row>
    <row r="5" spans="2:20" ht="15" customHeight="1">
      <c r="B5" s="59" t="s">
        <v>201</v>
      </c>
      <c r="C5" s="152">
        <f>+'INPUT MO'!E53*1000</f>
        <v>1169461.1162734237</v>
      </c>
      <c r="D5" s="152">
        <f>+'INPUT MO'!F53*1000</f>
        <v>1129917.9478467</v>
      </c>
      <c r="E5" s="152">
        <f>+'INPUT MO'!G53*1000</f>
        <v>1313736.4999993783</v>
      </c>
      <c r="F5" s="152">
        <f>+'INPUT MO'!H53*1000</f>
        <v>1348942.9307424917</v>
      </c>
      <c r="G5" s="152">
        <f>+'INPUT MO'!I53*1000</f>
        <v>1292145.2548615474</v>
      </c>
      <c r="H5" s="152">
        <f>+'INPUT MO'!J53*1000</f>
        <v>1292145.2548615474</v>
      </c>
      <c r="I5" s="152">
        <f>+'INPUT MO'!K53*1000</f>
        <v>1041378.5725395303</v>
      </c>
      <c r="J5" s="152">
        <f>+'INPUT MO'!L53*1000</f>
        <v>1259586.0579095026</v>
      </c>
      <c r="K5" s="152">
        <f>+'INPUT MO'!M53*1000</f>
        <v>1409914.3899734979</v>
      </c>
      <c r="L5" s="152">
        <f>+'INPUT MO'!N53*1000</f>
        <v>1339532.2628629969</v>
      </c>
      <c r="M5" s="152">
        <f>+'INPUT MO'!O53*1000</f>
        <v>1488856.0918055107</v>
      </c>
      <c r="N5" s="152">
        <f>+'INPUT MO'!P53*1000</f>
        <v>1390873.578899258</v>
      </c>
      <c r="O5" s="152">
        <f>+'INPUT MO'!Q53*1000</f>
        <v>1664991.418840657</v>
      </c>
      <c r="P5" s="152">
        <f>+'INPUT MO'!R53*1000</f>
        <v>1869785.8575151495</v>
      </c>
      <c r="Q5" s="152">
        <f>+'INPUT MO'!S53*1000</f>
        <v>1977262.5309017142</v>
      </c>
      <c r="R5" s="152">
        <f>+'INPUT MO'!T53*1000</f>
        <v>1750210.290300362</v>
      </c>
      <c r="S5" s="152">
        <f>+'INPUT MO'!U53*1000</f>
        <v>2084832.0991096681</v>
      </c>
      <c r="T5" s="152">
        <f>+'INPUT MO'!V53*1000</f>
        <v>2221763.6855951203</v>
      </c>
    </row>
    <row r="6" spans="2:20" ht="15" customHeight="1" thickBot="1">
      <c r="B6" s="59" t="s">
        <v>16</v>
      </c>
      <c r="C6" s="152">
        <f>+'INPUT MO'!E54*1000</f>
        <v>3017336.7758408557</v>
      </c>
      <c r="D6" s="152">
        <f>+'INPUT MO'!F54*1000</f>
        <v>3841548.5221533016</v>
      </c>
      <c r="E6" s="152">
        <f>+'INPUT MO'!G54*1000</f>
        <v>4090153.5484120985</v>
      </c>
      <c r="F6" s="152">
        <f>+'INPUT MO'!H54*1000</f>
        <v>4055962.9650101326</v>
      </c>
      <c r="G6" s="152">
        <f>+'INPUT MO'!I54*1000</f>
        <v>4731347.3351384439</v>
      </c>
      <c r="H6" s="152">
        <f>+'INPUT MO'!J54*1000</f>
        <v>4731347.3351384439</v>
      </c>
      <c r="I6" s="152">
        <f>+'INPUT MO'!K54*1000</f>
        <v>4910715.9157682443</v>
      </c>
      <c r="J6" s="152">
        <f>+'INPUT MO'!L54*1000</f>
        <v>6447650.5444790013</v>
      </c>
      <c r="K6" s="152">
        <f>+'INPUT MO'!M54*1000</f>
        <v>7342158.0640673311</v>
      </c>
      <c r="L6" s="152">
        <f>+'INPUT MO'!N54*1000</f>
        <v>7774822.6458876207</v>
      </c>
      <c r="M6" s="152">
        <f>+'INPUT MO'!O54*1000</f>
        <v>8719517.1148957051</v>
      </c>
      <c r="N6" s="152">
        <f>+'INPUT MO'!P54*1000</f>
        <v>13357857.760365171</v>
      </c>
      <c r="O6" s="152">
        <f>+'INPUT MO'!Q54*1000</f>
        <v>13973307.377790876</v>
      </c>
      <c r="P6" s="152">
        <f>+'INPUT MO'!R54*1000</f>
        <v>14179893.18248486</v>
      </c>
      <c r="Q6" s="152">
        <f>+'INPUT MO'!S54*1000</f>
        <v>13249542.269098293</v>
      </c>
      <c r="R6" s="152">
        <f>+'INPUT MO'!T54*1000</f>
        <v>13332230.13969964</v>
      </c>
      <c r="S6" s="152">
        <f>+'INPUT MO'!U54*1000</f>
        <v>13860105.710890334</v>
      </c>
      <c r="T6" s="152">
        <f>+'INPUT MO'!V54*1000</f>
        <v>14131161.43440488</v>
      </c>
    </row>
    <row r="7" spans="2:20" ht="15" customHeight="1" thickBot="1">
      <c r="B7" s="5" t="s">
        <v>12</v>
      </c>
      <c r="C7" s="153">
        <f t="shared" ref="C7:I7" si="2">SUM(C5:C6)</f>
        <v>4186797.8921142793</v>
      </c>
      <c r="D7" s="153">
        <f t="shared" si="2"/>
        <v>4971466.4700000016</v>
      </c>
      <c r="E7" s="153">
        <f t="shared" si="2"/>
        <v>5403890.0484114774</v>
      </c>
      <c r="F7" s="153">
        <f t="shared" si="2"/>
        <v>5404905.8957526246</v>
      </c>
      <c r="G7" s="154">
        <f t="shared" si="2"/>
        <v>6023492.5899999915</v>
      </c>
      <c r="H7" s="153">
        <f t="shared" si="2"/>
        <v>6023492.5899999915</v>
      </c>
      <c r="I7" s="153">
        <f t="shared" si="2"/>
        <v>5952094.488307775</v>
      </c>
      <c r="J7" s="153">
        <f t="shared" ref="J7:T7" si="3">SUM(J5:J6)</f>
        <v>7707236.602388504</v>
      </c>
      <c r="K7" s="153">
        <f t="shared" si="3"/>
        <v>8752072.4540408291</v>
      </c>
      <c r="L7" s="153">
        <f t="shared" si="3"/>
        <v>9114354.9087506179</v>
      </c>
      <c r="M7" s="153">
        <f t="shared" si="3"/>
        <v>10208373.206701215</v>
      </c>
      <c r="N7" s="153">
        <f t="shared" si="3"/>
        <v>14748731.33926443</v>
      </c>
      <c r="O7" s="153">
        <f t="shared" si="3"/>
        <v>15638298.796631534</v>
      </c>
      <c r="P7" s="153">
        <f t="shared" si="3"/>
        <v>16049679.040000008</v>
      </c>
      <c r="Q7" s="153">
        <f t="shared" si="3"/>
        <v>15226804.800000008</v>
      </c>
      <c r="R7" s="153">
        <f t="shared" si="3"/>
        <v>15082440.430000002</v>
      </c>
      <c r="S7" s="153">
        <f t="shared" si="3"/>
        <v>15944937.810000002</v>
      </c>
      <c r="T7" s="153">
        <f t="shared" si="3"/>
        <v>16352925.120000001</v>
      </c>
    </row>
    <row r="8" spans="2:20" s="25" customFormat="1" ht="15" customHeight="1">
      <c r="B8" s="115"/>
      <c r="C8" s="116"/>
      <c r="D8" s="116"/>
      <c r="E8" s="116"/>
      <c r="F8" s="116"/>
      <c r="G8" s="116"/>
      <c r="H8" s="116"/>
      <c r="I8" s="116"/>
      <c r="J8" s="116"/>
    </row>
    <row r="9" spans="2:20" ht="15" customHeight="1" thickBot="1"/>
    <row r="10" spans="2:20" ht="15" customHeight="1" thickBot="1">
      <c r="B10" s="5" t="s">
        <v>19</v>
      </c>
      <c r="C10" s="38">
        <f t="shared" ref="C10:T10" si="4">+C4</f>
        <v>2001</v>
      </c>
      <c r="D10" s="38">
        <f t="shared" si="4"/>
        <v>2002</v>
      </c>
      <c r="E10" s="38">
        <f t="shared" si="4"/>
        <v>2003</v>
      </c>
      <c r="F10" s="38">
        <f t="shared" si="4"/>
        <v>2004</v>
      </c>
      <c r="G10" s="39">
        <f t="shared" si="4"/>
        <v>2005</v>
      </c>
      <c r="H10" s="38">
        <f t="shared" si="4"/>
        <v>2005</v>
      </c>
      <c r="I10" s="38">
        <f t="shared" si="4"/>
        <v>2006</v>
      </c>
      <c r="J10" s="38">
        <f t="shared" si="4"/>
        <v>2007</v>
      </c>
      <c r="K10" s="38">
        <f t="shared" si="4"/>
        <v>2008</v>
      </c>
      <c r="L10" s="38">
        <f t="shared" si="4"/>
        <v>2009</v>
      </c>
      <c r="M10" s="38">
        <f t="shared" si="4"/>
        <v>2010</v>
      </c>
      <c r="N10" s="38">
        <f t="shared" si="4"/>
        <v>2011</v>
      </c>
      <c r="O10" s="38">
        <f t="shared" si="4"/>
        <v>2012</v>
      </c>
      <c r="P10" s="38">
        <f t="shared" si="4"/>
        <v>2013</v>
      </c>
      <c r="Q10" s="38">
        <f t="shared" si="4"/>
        <v>2014</v>
      </c>
      <c r="R10" s="38">
        <f t="shared" si="4"/>
        <v>2015</v>
      </c>
      <c r="S10" s="38">
        <f t="shared" si="4"/>
        <v>2016</v>
      </c>
      <c r="T10" s="38">
        <f t="shared" si="4"/>
        <v>2017</v>
      </c>
    </row>
    <row r="11" spans="2:20" ht="15" customHeight="1">
      <c r="B11" s="59" t="s">
        <v>201</v>
      </c>
      <c r="C11" s="152">
        <f>+'INPUT MO'!E7</f>
        <v>15532.800000000003</v>
      </c>
      <c r="D11" s="152">
        <f>+'INPUT MO'!F7</f>
        <v>18306.400000000001</v>
      </c>
      <c r="E11" s="152">
        <f>+'INPUT MO'!G7</f>
        <v>20143.2</v>
      </c>
      <c r="F11" s="152">
        <f>+'INPUT MO'!H7</f>
        <v>21823.200000000001</v>
      </c>
      <c r="G11" s="152">
        <f>+'INPUT MO'!I7</f>
        <v>18849.599999999999</v>
      </c>
      <c r="H11" s="152">
        <f>+'INPUT MO'!J7</f>
        <v>18849.599999999999</v>
      </c>
      <c r="I11" s="152">
        <f>+'INPUT MO'!K7</f>
        <v>17301.501867231735</v>
      </c>
      <c r="J11" s="152">
        <f>+'INPUT MO'!L7</f>
        <v>17068</v>
      </c>
      <c r="K11" s="152">
        <f>+'INPUT MO'!M7</f>
        <v>20368.004737284438</v>
      </c>
      <c r="L11" s="152">
        <f>+'INPUT MO'!N7</f>
        <v>20516.00601199529</v>
      </c>
      <c r="M11" s="152">
        <f>+'INPUT MO'!O7</f>
        <v>17706.01696996863</v>
      </c>
      <c r="N11" s="152">
        <f>+'INPUT MO'!P7</f>
        <v>14343</v>
      </c>
      <c r="O11" s="152">
        <f>+'INPUT MO'!Q7</f>
        <v>18018</v>
      </c>
      <c r="P11" s="152">
        <f>+'INPUT MO'!R7</f>
        <v>14836.142857142855</v>
      </c>
      <c r="Q11" s="152">
        <f>+'INPUT MO'!S7</f>
        <v>18170.301369863017</v>
      </c>
      <c r="R11" s="152">
        <f>+'INPUT MO'!T7</f>
        <v>18503.468493150685</v>
      </c>
      <c r="S11" s="152">
        <f>+'INPUT MO'!U7</f>
        <v>17561.922716627636</v>
      </c>
      <c r="T11" s="152">
        <f>+'INPUT MO'!V7</f>
        <v>19521.857142857141</v>
      </c>
    </row>
    <row r="12" spans="2:20" ht="15" customHeight="1" thickBot="1">
      <c r="B12" s="59" t="s">
        <v>16</v>
      </c>
      <c r="C12" s="152">
        <f>+'INPUT MO'!E8</f>
        <v>379341.71428571426</v>
      </c>
      <c r="D12" s="152">
        <f>+'INPUT MO'!F8</f>
        <v>494335.2</v>
      </c>
      <c r="E12" s="152">
        <f>+'INPUT MO'!G8</f>
        <v>526392.80000000005</v>
      </c>
      <c r="F12" s="152">
        <f>+'INPUT MO'!H8</f>
        <v>510182.40000000002</v>
      </c>
      <c r="G12" s="152">
        <f>+'INPUT MO'!I8</f>
        <v>576661.6</v>
      </c>
      <c r="H12" s="152">
        <f>+'INPUT MO'!J8</f>
        <v>576661.6</v>
      </c>
      <c r="I12" s="152">
        <f>+'INPUT MO'!K8</f>
        <v>588726.89899526001</v>
      </c>
      <c r="J12" s="152">
        <f>+'INPUT MO'!L8</f>
        <v>753284.46666666667</v>
      </c>
      <c r="K12" s="152">
        <f>+'INPUT MO'!M8</f>
        <v>814023.06001475244</v>
      </c>
      <c r="L12" s="152">
        <f>+'INPUT MO'!N8</f>
        <v>825635.96419592085</v>
      </c>
      <c r="M12" s="152">
        <f>+'INPUT MO'!O8</f>
        <v>889057.13666392479</v>
      </c>
      <c r="N12" s="152">
        <f>+'INPUT MO'!P8</f>
        <v>941439</v>
      </c>
      <c r="O12" s="152">
        <f>+'INPUT MO'!Q8</f>
        <v>1057025.872</v>
      </c>
      <c r="P12" s="152">
        <f>+'INPUT MO'!R8</f>
        <v>734110.85714285739</v>
      </c>
      <c r="Q12" s="152">
        <f>+'INPUT MO'!S8</f>
        <v>656840.4217821809</v>
      </c>
      <c r="R12" s="152">
        <f>+'INPUT MO'!T8</f>
        <v>635419.1553816048</v>
      </c>
      <c r="S12" s="152">
        <f>+'INPUT MO'!U8</f>
        <v>649433.21015515213</v>
      </c>
      <c r="T12" s="152">
        <f>+'INPUT MO'!V8</f>
        <v>644707.42857142864</v>
      </c>
    </row>
    <row r="13" spans="2:20" ht="15" customHeight="1" thickBot="1">
      <c r="B13" s="5" t="s">
        <v>12</v>
      </c>
      <c r="C13" s="153">
        <f t="shared" ref="C13:I13" si="5">SUM(C11:C12)</f>
        <v>394874.51428571425</v>
      </c>
      <c r="D13" s="153">
        <f t="shared" si="5"/>
        <v>512641.60000000003</v>
      </c>
      <c r="E13" s="153">
        <f t="shared" si="5"/>
        <v>546536</v>
      </c>
      <c r="F13" s="153">
        <f t="shared" si="5"/>
        <v>532005.6</v>
      </c>
      <c r="G13" s="154">
        <f t="shared" si="5"/>
        <v>595511.19999999995</v>
      </c>
      <c r="H13" s="153">
        <f t="shared" si="5"/>
        <v>595511.19999999995</v>
      </c>
      <c r="I13" s="153">
        <f t="shared" si="5"/>
        <v>606028.40086249169</v>
      </c>
      <c r="J13" s="153">
        <f t="shared" ref="J13:T13" si="6">SUM(J11:J12)</f>
        <v>770352.46666666667</v>
      </c>
      <c r="K13" s="153">
        <f t="shared" si="6"/>
        <v>834391.06475203682</v>
      </c>
      <c r="L13" s="153">
        <f t="shared" si="6"/>
        <v>846151.97020791611</v>
      </c>
      <c r="M13" s="153">
        <f t="shared" si="6"/>
        <v>906763.15363389347</v>
      </c>
      <c r="N13" s="153">
        <f t="shared" si="6"/>
        <v>955782</v>
      </c>
      <c r="O13" s="153">
        <f t="shared" si="6"/>
        <v>1075043.872</v>
      </c>
      <c r="P13" s="153">
        <f t="shared" si="6"/>
        <v>748947.00000000023</v>
      </c>
      <c r="Q13" s="153">
        <f t="shared" si="6"/>
        <v>675010.72315204388</v>
      </c>
      <c r="R13" s="153">
        <f t="shared" si="6"/>
        <v>653922.62387475546</v>
      </c>
      <c r="S13" s="153">
        <f t="shared" si="6"/>
        <v>666995.13287177973</v>
      </c>
      <c r="T13" s="153">
        <f t="shared" si="6"/>
        <v>664229.2857142858</v>
      </c>
    </row>
    <row r="14" spans="2:20" ht="15" customHeight="1">
      <c r="C14" s="155"/>
      <c r="D14" s="119"/>
    </row>
    <row r="16" spans="2:20" s="25" customFormat="1" ht="15" customHeight="1" thickBot="1">
      <c r="B16" s="156"/>
      <c r="C16" s="157"/>
      <c r="D16" s="157"/>
      <c r="E16" s="157"/>
      <c r="F16" s="157"/>
      <c r="G16" s="157"/>
      <c r="H16" s="157"/>
      <c r="I16" s="157"/>
      <c r="J16" s="157"/>
    </row>
    <row r="17" spans="2:20" s="25" customFormat="1" ht="15" customHeight="1" thickBot="1">
      <c r="B17" s="5" t="s">
        <v>291</v>
      </c>
      <c r="C17" s="38">
        <v>2001</v>
      </c>
      <c r="D17" s="38">
        <f>+C17+1</f>
        <v>2002</v>
      </c>
      <c r="E17" s="38">
        <f>+D17+1</f>
        <v>2003</v>
      </c>
      <c r="F17" s="38">
        <f>+E17+1</f>
        <v>2004</v>
      </c>
      <c r="G17" s="39">
        <f>+F17+1</f>
        <v>2005</v>
      </c>
      <c r="H17" s="38">
        <f>+F17+1</f>
        <v>2005</v>
      </c>
      <c r="I17" s="38">
        <f t="shared" ref="I17:O17" si="7">+H17+1</f>
        <v>2006</v>
      </c>
      <c r="J17" s="151">
        <f t="shared" si="7"/>
        <v>2007</v>
      </c>
      <c r="K17" s="38">
        <f t="shared" si="7"/>
        <v>2008</v>
      </c>
      <c r="L17" s="151">
        <f t="shared" si="7"/>
        <v>2009</v>
      </c>
      <c r="M17" s="38">
        <f t="shared" si="7"/>
        <v>2010</v>
      </c>
      <c r="N17" s="151">
        <f t="shared" si="7"/>
        <v>2011</v>
      </c>
      <c r="O17" s="38">
        <f t="shared" si="7"/>
        <v>2012</v>
      </c>
      <c r="P17" s="151">
        <f t="shared" ref="P17:T17" si="8">+O17+1</f>
        <v>2013</v>
      </c>
      <c r="Q17" s="38">
        <f t="shared" si="8"/>
        <v>2014</v>
      </c>
      <c r="R17" s="151">
        <f t="shared" si="8"/>
        <v>2015</v>
      </c>
      <c r="S17" s="38">
        <f t="shared" si="8"/>
        <v>2016</v>
      </c>
      <c r="T17" s="151">
        <f t="shared" si="8"/>
        <v>2017</v>
      </c>
    </row>
    <row r="18" spans="2:20" ht="15" customHeight="1">
      <c r="B18" s="158" t="s">
        <v>201</v>
      </c>
      <c r="C18" s="159">
        <f t="shared" ref="C18:I19" si="9">($C5/$C11)*C11</f>
        <v>1169461.1162734237</v>
      </c>
      <c r="D18" s="159">
        <f t="shared" si="9"/>
        <v>1378284.8539186625</v>
      </c>
      <c r="E18" s="159">
        <f t="shared" si="9"/>
        <v>1516577.124363851</v>
      </c>
      <c r="F18" s="159">
        <f t="shared" si="9"/>
        <v>1643063.9570881089</v>
      </c>
      <c r="G18" s="159">
        <f t="shared" si="9"/>
        <v>1419182.2631661724</v>
      </c>
      <c r="H18" s="159">
        <f t="shared" si="9"/>
        <v>1419182.2631661724</v>
      </c>
      <c r="I18" s="159">
        <f t="shared" si="9"/>
        <v>1302626.2931898658</v>
      </c>
      <c r="J18" s="159">
        <f t="shared" ref="J18:O18" si="10">($C5/$C11)*J11</f>
        <v>1285045.9886533525</v>
      </c>
      <c r="K18" s="159">
        <f t="shared" si="10"/>
        <v>1533502.6238879685</v>
      </c>
      <c r="L18" s="159">
        <f t="shared" si="10"/>
        <v>1544645.607505426</v>
      </c>
      <c r="M18" s="159">
        <f t="shared" si="10"/>
        <v>1333082.1468412452</v>
      </c>
      <c r="N18" s="159">
        <f t="shared" si="10"/>
        <v>1079881.334383351</v>
      </c>
      <c r="O18" s="159">
        <f t="shared" si="10"/>
        <v>1356571.2809676649</v>
      </c>
      <c r="P18" s="159">
        <f t="shared" ref="P18:S18" si="11">($C5/$C11)*P11</f>
        <v>1117009.9522884646</v>
      </c>
      <c r="Q18" s="159">
        <f t="shared" si="11"/>
        <v>1368038.0178090569</v>
      </c>
      <c r="R18" s="159">
        <f t="shared" si="11"/>
        <v>1393122.0976855508</v>
      </c>
      <c r="S18" s="159">
        <f t="shared" si="11"/>
        <v>1322233.3220085851</v>
      </c>
      <c r="T18" s="159">
        <f>($C5/$C11)*T11</f>
        <v>1469796.356485374</v>
      </c>
    </row>
    <row r="19" spans="2:20" ht="15" customHeight="1" thickBot="1">
      <c r="B19" s="160" t="s">
        <v>16</v>
      </c>
      <c r="C19" s="161">
        <f t="shared" si="9"/>
        <v>3017336.7758408557</v>
      </c>
      <c r="D19" s="161">
        <f t="shared" si="9"/>
        <v>3932010.961043986</v>
      </c>
      <c r="E19" s="161">
        <f t="shared" si="9"/>
        <v>4187001.5718375607</v>
      </c>
      <c r="F19" s="161">
        <f t="shared" si="9"/>
        <v>4058061.7947735209</v>
      </c>
      <c r="G19" s="161">
        <f t="shared" si="9"/>
        <v>4586846.6012801891</v>
      </c>
      <c r="H19" s="161">
        <f t="shared" si="9"/>
        <v>4586846.6012801891</v>
      </c>
      <c r="I19" s="161">
        <f t="shared" si="9"/>
        <v>4682815.6682162182</v>
      </c>
      <c r="J19" s="161">
        <f t="shared" ref="J19:O19" si="12">($C6/$C12)*J12</f>
        <v>5991729.4574966673</v>
      </c>
      <c r="K19" s="161">
        <f t="shared" si="12"/>
        <v>6474852.6799640674</v>
      </c>
      <c r="L19" s="161">
        <f t="shared" si="12"/>
        <v>6567223.3356040213</v>
      </c>
      <c r="M19" s="161">
        <f t="shared" si="12"/>
        <v>7071684.1656368664</v>
      </c>
      <c r="N19" s="161">
        <f t="shared" si="12"/>
        <v>7488336.7948596198</v>
      </c>
      <c r="O19" s="161">
        <f t="shared" si="12"/>
        <v>8407730.8571412209</v>
      </c>
      <c r="P19" s="161">
        <f>($C6/$C12)*P12</f>
        <v>5839219.8995886007</v>
      </c>
      <c r="Q19" s="161">
        <f t="shared" ref="Q19:T19" si="13">($C6/$C12)*Q12</f>
        <v>5224600.105564585</v>
      </c>
      <c r="R19" s="161">
        <f t="shared" si="13"/>
        <v>5054212.3721268112</v>
      </c>
      <c r="S19" s="161">
        <f t="shared" si="13"/>
        <v>5165682.1136670839</v>
      </c>
      <c r="T19" s="161">
        <f t="shared" si="13"/>
        <v>5128092.5894197701</v>
      </c>
    </row>
    <row r="20" spans="2:20" ht="15" customHeight="1">
      <c r="B20" s="2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2:20" ht="15" customHeight="1">
      <c r="B21" s="26"/>
      <c r="D21" s="119"/>
    </row>
    <row r="22" spans="2:20" ht="15" customHeight="1" thickBot="1"/>
    <row r="23" spans="2:20" ht="15" customHeight="1" thickBot="1">
      <c r="B23" s="5" t="s">
        <v>78</v>
      </c>
      <c r="C23" s="38">
        <v>2001</v>
      </c>
      <c r="D23" s="38">
        <f>+C23+1</f>
        <v>2002</v>
      </c>
      <c r="E23" s="38">
        <f>+D23+1</f>
        <v>2003</v>
      </c>
      <c r="F23" s="38">
        <f>+E23+1</f>
        <v>2004</v>
      </c>
      <c r="G23" s="39">
        <f>+F23+1</f>
        <v>2005</v>
      </c>
      <c r="H23" s="38">
        <f>+F23+1</f>
        <v>2005</v>
      </c>
      <c r="I23" s="38">
        <f t="shared" ref="I23:O23" si="14">+H23+1</f>
        <v>2006</v>
      </c>
      <c r="J23" s="151">
        <f t="shared" si="14"/>
        <v>2007</v>
      </c>
      <c r="K23" s="38">
        <f t="shared" si="14"/>
        <v>2008</v>
      </c>
      <c r="L23" s="151">
        <f t="shared" si="14"/>
        <v>2009</v>
      </c>
      <c r="M23" s="38">
        <f t="shared" si="14"/>
        <v>2010</v>
      </c>
      <c r="N23" s="151">
        <f t="shared" si="14"/>
        <v>2011</v>
      </c>
      <c r="O23" s="38">
        <f t="shared" si="14"/>
        <v>2012</v>
      </c>
      <c r="P23" s="151">
        <f t="shared" ref="P23:T23" si="15">+O23+1</f>
        <v>2013</v>
      </c>
      <c r="Q23" s="38">
        <f t="shared" si="15"/>
        <v>2014</v>
      </c>
      <c r="R23" s="151">
        <f t="shared" si="15"/>
        <v>2015</v>
      </c>
      <c r="S23" s="38">
        <f t="shared" si="15"/>
        <v>2016</v>
      </c>
      <c r="T23" s="151">
        <f t="shared" si="15"/>
        <v>2017</v>
      </c>
    </row>
    <row r="24" spans="2:20" ht="15" customHeight="1">
      <c r="B24" s="158" t="s">
        <v>201</v>
      </c>
      <c r="C24" s="162">
        <f t="shared" ref="C24:I25" si="16">C5/C18</f>
        <v>1</v>
      </c>
      <c r="D24" s="162">
        <f t="shared" si="16"/>
        <v>0.81980001785130296</v>
      </c>
      <c r="E24" s="162">
        <f t="shared" si="16"/>
        <v>0.86625103260109049</v>
      </c>
      <c r="F24" s="162">
        <f t="shared" si="16"/>
        <v>0.82099234477343908</v>
      </c>
      <c r="G24" s="162">
        <f t="shared" si="16"/>
        <v>0.91048576944499882</v>
      </c>
      <c r="H24" s="162">
        <f t="shared" si="16"/>
        <v>0.91048576944499882</v>
      </c>
      <c r="I24" s="162">
        <f t="shared" si="16"/>
        <v>0.79944538044707114</v>
      </c>
      <c r="J24" s="162">
        <f t="shared" ref="J24:O25" si="17">J5/J18</f>
        <v>0.98018753338895659</v>
      </c>
      <c r="K24" s="162">
        <f t="shared" si="17"/>
        <v>0.91940787580713046</v>
      </c>
      <c r="L24" s="162">
        <f t="shared" si="17"/>
        <v>0.86721009424700113</v>
      </c>
      <c r="M24" s="162">
        <f t="shared" si="17"/>
        <v>1.116852472545202</v>
      </c>
      <c r="N24" s="162">
        <f t="shared" si="17"/>
        <v>1.2879874247418992</v>
      </c>
      <c r="O24" s="162">
        <f t="shared" si="17"/>
        <v>1.2273526958738141</v>
      </c>
      <c r="P24" s="162">
        <f t="shared" ref="P24:T24" si="18">P5/P18</f>
        <v>1.6739204997094623</v>
      </c>
      <c r="Q24" s="162">
        <f t="shared" si="18"/>
        <v>1.445327180357417</v>
      </c>
      <c r="R24" s="162">
        <f t="shared" si="18"/>
        <v>1.256322251443758</v>
      </c>
      <c r="S24" s="162">
        <f t="shared" si="18"/>
        <v>1.5767505359361467</v>
      </c>
      <c r="T24" s="162">
        <f t="shared" si="18"/>
        <v>1.5116132760785144</v>
      </c>
    </row>
    <row r="25" spans="2:20" ht="15" customHeight="1" thickBot="1">
      <c r="B25" s="160" t="s">
        <v>16</v>
      </c>
      <c r="C25" s="163">
        <f t="shared" si="16"/>
        <v>1</v>
      </c>
      <c r="D25" s="163">
        <f t="shared" si="16"/>
        <v>0.97699334010333838</v>
      </c>
      <c r="E25" s="163">
        <f t="shared" si="16"/>
        <v>0.97686936062387042</v>
      </c>
      <c r="F25" s="163">
        <f t="shared" si="16"/>
        <v>0.99948279994994371</v>
      </c>
      <c r="G25" s="163">
        <f t="shared" si="16"/>
        <v>1.0315032845916243</v>
      </c>
      <c r="H25" s="163">
        <f t="shared" si="16"/>
        <v>1.0315032845916243</v>
      </c>
      <c r="I25" s="163">
        <f t="shared" si="16"/>
        <v>1.0486673539381144</v>
      </c>
      <c r="J25" s="163">
        <f t="shared" si="17"/>
        <v>1.0760917344844232</v>
      </c>
      <c r="K25" s="163">
        <f t="shared" si="17"/>
        <v>1.1339498251113995</v>
      </c>
      <c r="L25" s="163">
        <f t="shared" si="17"/>
        <v>1.1838827840278605</v>
      </c>
      <c r="M25" s="163">
        <f t="shared" si="17"/>
        <v>1.2330184593460896</v>
      </c>
      <c r="N25" s="163">
        <f t="shared" si="17"/>
        <v>1.7838217118565891</v>
      </c>
      <c r="O25" s="163">
        <f t="shared" si="17"/>
        <v>1.6619594056013884</v>
      </c>
      <c r="P25" s="163">
        <f t="shared" ref="P25:T25" si="19">P6/P19</f>
        <v>2.4283882823943479</v>
      </c>
      <c r="Q25" s="163">
        <f t="shared" si="19"/>
        <v>2.5359916551290791</v>
      </c>
      <c r="R25" s="163">
        <f t="shared" si="19"/>
        <v>2.6378452581899405</v>
      </c>
      <c r="S25" s="163">
        <f t="shared" si="19"/>
        <v>2.6831123955963165</v>
      </c>
      <c r="T25" s="163">
        <f t="shared" si="19"/>
        <v>2.755636952335875</v>
      </c>
    </row>
    <row r="26" spans="2:20" ht="15" customHeight="1">
      <c r="B26" s="26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</row>
    <row r="28" spans="2:20" ht="15" customHeight="1" thickBot="1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</row>
    <row r="29" spans="2:20" ht="15" customHeight="1">
      <c r="B29" s="17" t="s">
        <v>69</v>
      </c>
      <c r="C29" s="164">
        <v>2001</v>
      </c>
      <c r="D29" s="6">
        <f>C29+1</f>
        <v>2002</v>
      </c>
      <c r="E29" s="6">
        <f>D29+1</f>
        <v>2003</v>
      </c>
      <c r="F29" s="6">
        <f>E29+1</f>
        <v>2004</v>
      </c>
      <c r="G29" s="7">
        <f>F29+1</f>
        <v>2005</v>
      </c>
      <c r="H29" s="6">
        <f>F29+1</f>
        <v>2005</v>
      </c>
      <c r="I29" s="6">
        <f t="shared" ref="I29:O29" si="20">H29+1</f>
        <v>2006</v>
      </c>
      <c r="J29" s="6">
        <f t="shared" si="20"/>
        <v>2007</v>
      </c>
      <c r="K29" s="6">
        <f t="shared" si="20"/>
        <v>2008</v>
      </c>
      <c r="L29" s="6">
        <f t="shared" si="20"/>
        <v>2009</v>
      </c>
      <c r="M29" s="6">
        <f t="shared" si="20"/>
        <v>2010</v>
      </c>
      <c r="N29" s="6">
        <f t="shared" si="20"/>
        <v>2011</v>
      </c>
      <c r="O29" s="6">
        <f t="shared" si="20"/>
        <v>2012</v>
      </c>
      <c r="P29" s="6">
        <f t="shared" ref="P29:T29" si="21">O29+1</f>
        <v>2013</v>
      </c>
      <c r="Q29" s="6">
        <f t="shared" si="21"/>
        <v>2014</v>
      </c>
      <c r="R29" s="6">
        <f t="shared" si="21"/>
        <v>2015</v>
      </c>
      <c r="S29" s="6">
        <f t="shared" si="21"/>
        <v>2016</v>
      </c>
      <c r="T29" s="6">
        <f t="shared" si="21"/>
        <v>2017</v>
      </c>
    </row>
    <row r="30" spans="2:20" ht="15" customHeight="1">
      <c r="B30" s="165" t="s">
        <v>86</v>
      </c>
      <c r="C30" s="37"/>
      <c r="D30" s="36">
        <f>SUMPRODUCT(C24:C25,D18:D19)</f>
        <v>5310295.8149626488</v>
      </c>
      <c r="E30" s="36">
        <f>SUMPRODUCT(D24:D25,E18:E19)</f>
        <v>5333962.604313869</v>
      </c>
      <c r="F30" s="36">
        <f>SUMPRODUCT(E24:E25,F18:F19)</f>
        <v>5387502.0802897736</v>
      </c>
      <c r="G30" s="36">
        <f>SUMPRODUCT(F24:F25,G18:G19)</f>
        <v>5749612.057886079</v>
      </c>
      <c r="H30" s="36"/>
      <c r="I30" s="36">
        <f t="shared" ref="I30:O30" si="22">SUMPRODUCT(H24:H25,I18:I19)</f>
        <v>6016362.445756413</v>
      </c>
      <c r="J30" s="36">
        <f t="shared" si="22"/>
        <v>7310655.1549970452</v>
      </c>
      <c r="K30" s="36">
        <f t="shared" si="22"/>
        <v>8470655.6052678898</v>
      </c>
      <c r="L30" s="36">
        <f t="shared" si="22"/>
        <v>8867061.0897470601</v>
      </c>
      <c r="M30" s="36">
        <f t="shared" si="22"/>
        <v>9528107.4319811016</v>
      </c>
      <c r="N30" s="36">
        <f t="shared" si="22"/>
        <v>10439325.636223901</v>
      </c>
      <c r="O30" s="36">
        <f t="shared" si="22"/>
        <v>16745139.601067482</v>
      </c>
      <c r="P30" s="36">
        <f>SUMPRODUCT(O24:O25,P18:P19)</f>
        <v>11075511.609755198</v>
      </c>
      <c r="Q30" s="36">
        <f t="shared" ref="Q30:S30" si="23">SUMPRODUCT(P24:P25,Q18:Q19)</f>
        <v>14977344.558941791</v>
      </c>
      <c r="R30" s="36">
        <f t="shared" si="23"/>
        <v>14830957.632305207</v>
      </c>
      <c r="S30" s="36">
        <f t="shared" si="23"/>
        <v>15287421.212893093</v>
      </c>
      <c r="T30" s="36">
        <f>SUMPRODUCT(S24:S25,T18:T19)</f>
        <v>16076750.985243106</v>
      </c>
    </row>
    <row r="31" spans="2:20" ht="15" customHeight="1">
      <c r="B31" s="166" t="s">
        <v>75</v>
      </c>
      <c r="C31" s="37"/>
      <c r="D31" s="36">
        <f>SUMPRODUCT(C24:C25,C18:C19)</f>
        <v>4186797.8921142793</v>
      </c>
      <c r="E31" s="36">
        <f>SUMPRODUCT(D24:D25,D18:D19)</f>
        <v>4971466.4700000016</v>
      </c>
      <c r="F31" s="36">
        <f>SUMPRODUCT(E24:E25,E18:E19)</f>
        <v>5403890.0484114774</v>
      </c>
      <c r="G31" s="36">
        <f>SUMPRODUCT(F24:F25,F18:F19)</f>
        <v>5404905.8957526246</v>
      </c>
      <c r="H31" s="36"/>
      <c r="I31" s="36">
        <f t="shared" ref="I31:O31" si="24">SUMPRODUCT(H24:H25,H18:H19)</f>
        <v>6023492.5899999915</v>
      </c>
      <c r="J31" s="36">
        <f t="shared" si="24"/>
        <v>5952094.4883077741</v>
      </c>
      <c r="K31" s="36">
        <f t="shared" si="24"/>
        <v>7707236.602388503</v>
      </c>
      <c r="L31" s="36">
        <f t="shared" si="24"/>
        <v>8752072.4540408291</v>
      </c>
      <c r="M31" s="36">
        <f t="shared" si="24"/>
        <v>9114354.9087506179</v>
      </c>
      <c r="N31" s="36">
        <f t="shared" si="24"/>
        <v>10208373.206701215</v>
      </c>
      <c r="O31" s="36">
        <f t="shared" si="24"/>
        <v>14748731.33926443</v>
      </c>
      <c r="P31" s="36">
        <f t="shared" ref="P31:T31" si="25">SUMPRODUCT(O24:O25,O18:O19)</f>
        <v>15638298.796631534</v>
      </c>
      <c r="Q31" s="36">
        <f t="shared" si="25"/>
        <v>16049679.040000008</v>
      </c>
      <c r="R31" s="36">
        <f t="shared" si="25"/>
        <v>15226804.800000006</v>
      </c>
      <c r="S31" s="36">
        <f t="shared" si="25"/>
        <v>15082440.430000002</v>
      </c>
      <c r="T31" s="36">
        <f t="shared" si="25"/>
        <v>15944937.810000002</v>
      </c>
    </row>
    <row r="32" spans="2:20" ht="3" customHeight="1" thickBot="1">
      <c r="B32" s="385"/>
      <c r="C32" s="14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</row>
    <row r="33" spans="2:20" ht="15" hidden="1" customHeight="1">
      <c r="B33" s="385"/>
      <c r="C33" s="14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</row>
    <row r="34" spans="2:20" ht="15" hidden="1" customHeight="1" thickBot="1">
      <c r="B34" s="385"/>
      <c r="C34" s="14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</row>
    <row r="35" spans="2:20" ht="15" customHeight="1">
      <c r="B35" s="17" t="s">
        <v>70</v>
      </c>
      <c r="C35" s="164">
        <v>2001</v>
      </c>
      <c r="D35" s="6">
        <f>C35+1</f>
        <v>2002</v>
      </c>
      <c r="E35" s="6">
        <f>D35+1</f>
        <v>2003</v>
      </c>
      <c r="F35" s="6">
        <f>E35+1</f>
        <v>2004</v>
      </c>
      <c r="G35" s="7">
        <f>F35+1</f>
        <v>2005</v>
      </c>
      <c r="H35" s="6">
        <f>F35+1</f>
        <v>2005</v>
      </c>
      <c r="I35" s="6">
        <f t="shared" ref="I35:O35" si="26">H35+1</f>
        <v>2006</v>
      </c>
      <c r="J35" s="6">
        <f t="shared" si="26"/>
        <v>2007</v>
      </c>
      <c r="K35" s="6">
        <f t="shared" si="26"/>
        <v>2008</v>
      </c>
      <c r="L35" s="6">
        <f t="shared" si="26"/>
        <v>2009</v>
      </c>
      <c r="M35" s="6">
        <f t="shared" si="26"/>
        <v>2010</v>
      </c>
      <c r="N35" s="6">
        <f t="shared" si="26"/>
        <v>2011</v>
      </c>
      <c r="O35" s="6">
        <f t="shared" si="26"/>
        <v>2012</v>
      </c>
      <c r="P35" s="6">
        <f t="shared" ref="P35:T35" si="27">O35+1</f>
        <v>2013</v>
      </c>
      <c r="Q35" s="6">
        <f t="shared" si="27"/>
        <v>2014</v>
      </c>
      <c r="R35" s="6">
        <f t="shared" si="27"/>
        <v>2015</v>
      </c>
      <c r="S35" s="6">
        <f t="shared" si="27"/>
        <v>2016</v>
      </c>
      <c r="T35" s="6">
        <f t="shared" si="27"/>
        <v>2017</v>
      </c>
    </row>
    <row r="36" spans="2:20" ht="15" customHeight="1">
      <c r="B36" s="165" t="s">
        <v>86</v>
      </c>
      <c r="C36" s="37"/>
      <c r="D36" s="36">
        <f>SUMPRODUCT(D24:D25,D18:D19)</f>
        <v>4971466.4700000016</v>
      </c>
      <c r="E36" s="36">
        <f>SUMPRODUCT(E24:E25,E18:E19)</f>
        <v>5403890.0484114774</v>
      </c>
      <c r="F36" s="36">
        <f>SUMPRODUCT(F24:F25,F18:F19)</f>
        <v>5404905.8957526246</v>
      </c>
      <c r="G36" s="36">
        <f>SUMPRODUCT(G24:G25,G18:G19)</f>
        <v>6023492.5899999915</v>
      </c>
      <c r="H36" s="36"/>
      <c r="I36" s="36">
        <f t="shared" ref="I36:O36" si="28">SUMPRODUCT(I24:I25,I18:I19)</f>
        <v>5952094.4883077741</v>
      </c>
      <c r="J36" s="36">
        <f t="shared" si="28"/>
        <v>7707236.602388503</v>
      </c>
      <c r="K36" s="36">
        <f t="shared" si="28"/>
        <v>8752072.4540408291</v>
      </c>
      <c r="L36" s="36">
        <f t="shared" si="28"/>
        <v>9114354.9087506179</v>
      </c>
      <c r="M36" s="36">
        <f t="shared" si="28"/>
        <v>10208373.206701215</v>
      </c>
      <c r="N36" s="36">
        <f t="shared" si="28"/>
        <v>14748731.33926443</v>
      </c>
      <c r="O36" s="36">
        <f t="shared" si="28"/>
        <v>15638298.796631534</v>
      </c>
      <c r="P36" s="36">
        <f t="shared" ref="P36:T36" si="29">SUMPRODUCT(P24:P25,P18:P19)</f>
        <v>16049679.040000008</v>
      </c>
      <c r="Q36" s="36">
        <f t="shared" si="29"/>
        <v>15226804.800000006</v>
      </c>
      <c r="R36" s="36">
        <f t="shared" si="29"/>
        <v>15082440.430000002</v>
      </c>
      <c r="S36" s="36">
        <f t="shared" si="29"/>
        <v>15944937.810000002</v>
      </c>
      <c r="T36" s="36">
        <f t="shared" si="29"/>
        <v>16352925.120000001</v>
      </c>
    </row>
    <row r="37" spans="2:20" ht="15" customHeight="1">
      <c r="B37" s="166" t="s">
        <v>75</v>
      </c>
      <c r="C37" s="37"/>
      <c r="D37" s="36">
        <f>SUMPRODUCT(D24:D25,C18:C19)</f>
        <v>3906642.1788427527</v>
      </c>
      <c r="E37" s="36">
        <f>SUMPRODUCT(E24:E25,D18:D19)</f>
        <v>5035001.7114065737</v>
      </c>
      <c r="F37" s="36">
        <f>SUMPRODUCT(F24:F25,E18:E19)</f>
        <v>5429934.2637762576</v>
      </c>
      <c r="G37" s="36">
        <f>SUMPRODUCT(G24:G25,F18:F19)</f>
        <v>5681890.4216013802</v>
      </c>
      <c r="H37" s="36"/>
      <c r="I37" s="36">
        <f t="shared" ref="I37:O37" si="30">SUMPRODUCT(I24:I25,H18:H19)</f>
        <v>5944634.9925851449</v>
      </c>
      <c r="J37" s="36">
        <f t="shared" si="30"/>
        <v>6315957.2879309971</v>
      </c>
      <c r="K37" s="36">
        <f t="shared" si="30"/>
        <v>7975801.9731854191</v>
      </c>
      <c r="L37" s="36">
        <f t="shared" si="30"/>
        <v>8995335.5719160233</v>
      </c>
      <c r="M37" s="36">
        <f t="shared" si="30"/>
        <v>9822648.8653966784</v>
      </c>
      <c r="N37" s="36">
        <f t="shared" si="30"/>
        <v>14331616.795334948</v>
      </c>
      <c r="O37" s="36">
        <f t="shared" si="30"/>
        <v>13770707.035507118</v>
      </c>
      <c r="P37" s="36">
        <f t="shared" ref="P37:T37" si="31">SUMPRODUCT(P24:P25,O18:O19)</f>
        <v>22688027.571536027</v>
      </c>
      <c r="Q37" s="36">
        <f t="shared" si="31"/>
        <v>16422657.78259261</v>
      </c>
      <c r="R37" s="36">
        <f t="shared" si="31"/>
        <v>15500383.216996733</v>
      </c>
      <c r="S37" s="36">
        <f t="shared" si="31"/>
        <v>15757625.879779892</v>
      </c>
      <c r="T37" s="36">
        <f t="shared" si="31"/>
        <v>16233449.960063078</v>
      </c>
    </row>
    <row r="38" spans="2:20" ht="3.75" customHeight="1" thickBot="1">
      <c r="B38" s="385"/>
      <c r="C38" s="14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</row>
    <row r="39" spans="2:20" ht="15" hidden="1" customHeight="1">
      <c r="B39" s="385"/>
      <c r="C39" s="14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2:20" ht="15" hidden="1" customHeight="1">
      <c r="B40" s="385"/>
      <c r="C40" s="14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</row>
    <row r="41" spans="2:20" ht="15" hidden="1" customHeight="1" thickBot="1"/>
    <row r="42" spans="2:20" ht="15" customHeight="1" thickBot="1">
      <c r="B42" s="1"/>
      <c r="C42" s="164">
        <v>2001</v>
      </c>
      <c r="D42" s="6">
        <f>C42+1</f>
        <v>2002</v>
      </c>
      <c r="E42" s="6">
        <f>D42+1</f>
        <v>2003</v>
      </c>
      <c r="F42" s="6">
        <f>E42+1</f>
        <v>2004</v>
      </c>
      <c r="G42" s="6">
        <f>F42+1</f>
        <v>2005</v>
      </c>
      <c r="H42" s="6">
        <f>F42+1</f>
        <v>2005</v>
      </c>
      <c r="I42" s="6">
        <f t="shared" ref="I42:O42" si="32">H42+1</f>
        <v>2006</v>
      </c>
      <c r="J42" s="6">
        <f t="shared" si="32"/>
        <v>2007</v>
      </c>
      <c r="K42" s="6">
        <f t="shared" si="32"/>
        <v>2008</v>
      </c>
      <c r="L42" s="6">
        <f t="shared" si="32"/>
        <v>2009</v>
      </c>
      <c r="M42" s="6">
        <f t="shared" si="32"/>
        <v>2010</v>
      </c>
      <c r="N42" s="6">
        <f t="shared" si="32"/>
        <v>2011</v>
      </c>
      <c r="O42" s="6">
        <f t="shared" si="32"/>
        <v>2012</v>
      </c>
      <c r="P42" s="6">
        <f t="shared" ref="P42:T42" si="33">O42+1</f>
        <v>2013</v>
      </c>
      <c r="Q42" s="6">
        <f t="shared" si="33"/>
        <v>2014</v>
      </c>
      <c r="R42" s="6">
        <f t="shared" si="33"/>
        <v>2015</v>
      </c>
      <c r="S42" s="6">
        <f t="shared" si="33"/>
        <v>2016</v>
      </c>
      <c r="T42" s="6">
        <f t="shared" si="33"/>
        <v>2017</v>
      </c>
    </row>
    <row r="43" spans="2:20" ht="15" customHeight="1" thickBot="1">
      <c r="B43" s="167" t="s">
        <v>68</v>
      </c>
      <c r="C43" s="168"/>
      <c r="D43" s="42">
        <f>((D30/D31)*(D36/D37))^0.5</f>
        <v>1.2704535725634398</v>
      </c>
      <c r="E43" s="42">
        <f>((E30/E31)*(E36/E37))^0.5</f>
        <v>1.0730900467921298</v>
      </c>
      <c r="F43" s="42">
        <f>((F30/F31)*(F36/F37))^0.5</f>
        <v>0.99617871008133985</v>
      </c>
      <c r="G43" s="42">
        <f>((G30/G31)*(G36/G37))^0.5</f>
        <v>1.0619473026527564</v>
      </c>
      <c r="H43" s="42"/>
      <c r="I43" s="42">
        <f t="shared" ref="I43:T43" si="34">((I30/I31)*(I36/I37))^0.5</f>
        <v>1.0000348095233957</v>
      </c>
      <c r="J43" s="42">
        <f t="shared" si="34"/>
        <v>1.2242581233678085</v>
      </c>
      <c r="K43" s="42">
        <f t="shared" si="34"/>
        <v>1.0981898806073529</v>
      </c>
      <c r="L43" s="42">
        <f t="shared" si="34"/>
        <v>1.0131848362408042</v>
      </c>
      <c r="M43" s="42">
        <f t="shared" si="34"/>
        <v>1.0423277844348391</v>
      </c>
      <c r="N43" s="42">
        <f t="shared" si="34"/>
        <v>1.0258590441003794</v>
      </c>
      <c r="O43" s="42">
        <f t="shared" si="34"/>
        <v>1.13549097785336</v>
      </c>
      <c r="P43" s="42">
        <f t="shared" si="34"/>
        <v>0.70781856643284102</v>
      </c>
      <c r="Q43" s="42">
        <f t="shared" si="34"/>
        <v>0.93017979819574159</v>
      </c>
      <c r="R43" s="42">
        <f t="shared" si="34"/>
        <v>0.97351982181657504</v>
      </c>
      <c r="S43" s="42">
        <f t="shared" si="34"/>
        <v>1.0127385198478607</v>
      </c>
      <c r="T43" s="42">
        <f t="shared" si="34"/>
        <v>1.0078131909026573</v>
      </c>
    </row>
    <row r="44" spans="2:20" ht="3" customHeight="1" thickBot="1"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</row>
    <row r="45" spans="2:20" ht="15" hidden="1" customHeight="1" thickBot="1"/>
    <row r="46" spans="2:20" ht="15" customHeight="1" thickBot="1">
      <c r="B46" s="169" t="s">
        <v>221</v>
      </c>
      <c r="C46" s="40">
        <v>2001</v>
      </c>
      <c r="D46" s="170">
        <f>+D42</f>
        <v>2002</v>
      </c>
      <c r="E46" s="170">
        <f>D46+1</f>
        <v>2003</v>
      </c>
      <c r="F46" s="170">
        <f>E46+1</f>
        <v>2004</v>
      </c>
      <c r="G46" s="171">
        <f>F46+1</f>
        <v>2005</v>
      </c>
      <c r="H46" s="170">
        <f>F46+1</f>
        <v>2005</v>
      </c>
      <c r="I46" s="170">
        <f t="shared" ref="I46:O46" si="35">H46+1</f>
        <v>2006</v>
      </c>
      <c r="J46" s="172">
        <f t="shared" si="35"/>
        <v>2007</v>
      </c>
      <c r="K46" s="170">
        <f t="shared" si="35"/>
        <v>2008</v>
      </c>
      <c r="L46" s="172">
        <f t="shared" si="35"/>
        <v>2009</v>
      </c>
      <c r="M46" s="170">
        <f t="shared" si="35"/>
        <v>2010</v>
      </c>
      <c r="N46" s="172">
        <f t="shared" si="35"/>
        <v>2011</v>
      </c>
      <c r="O46" s="170">
        <f t="shared" si="35"/>
        <v>2012</v>
      </c>
      <c r="P46" s="172">
        <f t="shared" ref="P46:T46" si="36">O46+1</f>
        <v>2013</v>
      </c>
      <c r="Q46" s="170">
        <f t="shared" si="36"/>
        <v>2014</v>
      </c>
      <c r="R46" s="172">
        <f t="shared" si="36"/>
        <v>2015</v>
      </c>
      <c r="S46" s="170">
        <f t="shared" si="36"/>
        <v>2016</v>
      </c>
      <c r="T46" s="172">
        <f t="shared" si="36"/>
        <v>2017</v>
      </c>
    </row>
    <row r="47" spans="2:20" s="52" customFormat="1" ht="15" customHeight="1" thickBot="1">
      <c r="B47" s="173"/>
      <c r="C47" s="174"/>
      <c r="D47" s="175">
        <f>LN(D43)</f>
        <v>0.23937398046059127</v>
      </c>
      <c r="E47" s="175">
        <f>LN(E43)</f>
        <v>7.0542380716549571E-2</v>
      </c>
      <c r="F47" s="175">
        <f>LN(F43)</f>
        <v>-3.8286097002700344E-3</v>
      </c>
      <c r="G47" s="175">
        <f>LN(G43)</f>
        <v>6.0104300734313415E-2</v>
      </c>
      <c r="H47" s="175"/>
      <c r="I47" s="175">
        <f t="shared" ref="I47:T47" si="37">LN(I43)</f>
        <v>3.4808917558339885E-5</v>
      </c>
      <c r="J47" s="175">
        <f t="shared" si="37"/>
        <v>0.2023350469614151</v>
      </c>
      <c r="K47" s="175">
        <f t="shared" si="37"/>
        <v>9.3663261294004624E-2</v>
      </c>
      <c r="L47" s="175">
        <f t="shared" si="37"/>
        <v>1.3098672828102354E-2</v>
      </c>
      <c r="M47" s="175">
        <f t="shared" si="37"/>
        <v>4.1456466257932714E-2</v>
      </c>
      <c r="N47" s="175">
        <f t="shared" si="37"/>
        <v>2.5530353392784085E-2</v>
      </c>
      <c r="O47" s="175">
        <f t="shared" si="37"/>
        <v>0.12706513700426597</v>
      </c>
      <c r="P47" s="175">
        <f t="shared" si="37"/>
        <v>-0.3455674802296671</v>
      </c>
      <c r="Q47" s="175">
        <f t="shared" si="37"/>
        <v>-7.2377380127670352E-2</v>
      </c>
      <c r="R47" s="175">
        <f t="shared" si="37"/>
        <v>-2.683709298367017E-2</v>
      </c>
      <c r="S47" s="175">
        <f t="shared" si="37"/>
        <v>1.2658067413467472E-2</v>
      </c>
      <c r="T47" s="175">
        <f t="shared" si="37"/>
        <v>7.7828259886427165E-3</v>
      </c>
    </row>
    <row r="48" spans="2:20" ht="15" customHeight="1">
      <c r="B48" s="618"/>
      <c r="C48" s="618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75"/>
      <c r="R48" s="675"/>
      <c r="S48" s="675"/>
      <c r="T48" s="620">
        <f>+AVERAGE($D$47:T47)</f>
        <v>2.7814671183021878E-2</v>
      </c>
    </row>
    <row r="49" spans="2:20" ht="15" customHeight="1">
      <c r="D49" s="176"/>
      <c r="E49" s="176"/>
      <c r="F49" s="176"/>
      <c r="G49" s="176"/>
      <c r="H49" s="176"/>
      <c r="I49" s="176"/>
      <c r="J49" s="176"/>
    </row>
    <row r="52" spans="2:20" ht="15" customHeight="1" thickBot="1"/>
    <row r="53" spans="2:20" ht="15" customHeight="1">
      <c r="B53" s="17" t="s">
        <v>80</v>
      </c>
      <c r="C53" s="164">
        <v>2001</v>
      </c>
      <c r="D53" s="6">
        <f>C53+1</f>
        <v>2002</v>
      </c>
      <c r="E53" s="6">
        <f>D53+1</f>
        <v>2003</v>
      </c>
      <c r="F53" s="6">
        <f>E53+1</f>
        <v>2004</v>
      </c>
      <c r="G53" s="7">
        <f>F53+1</f>
        <v>2005</v>
      </c>
      <c r="H53" s="6">
        <f>F53+1</f>
        <v>2005</v>
      </c>
      <c r="I53" s="6">
        <f t="shared" ref="I53:O53" si="38">H53+1</f>
        <v>2006</v>
      </c>
      <c r="J53" s="6">
        <f t="shared" si="38"/>
        <v>2007</v>
      </c>
      <c r="K53" s="6">
        <f t="shared" si="38"/>
        <v>2008</v>
      </c>
      <c r="L53" s="6">
        <f t="shared" si="38"/>
        <v>2009</v>
      </c>
      <c r="M53" s="6">
        <f t="shared" si="38"/>
        <v>2010</v>
      </c>
      <c r="N53" s="6">
        <f t="shared" si="38"/>
        <v>2011</v>
      </c>
      <c r="O53" s="6">
        <f t="shared" si="38"/>
        <v>2012</v>
      </c>
      <c r="P53" s="6">
        <f t="shared" ref="P53:T53" si="39">O53+1</f>
        <v>2013</v>
      </c>
      <c r="Q53" s="6">
        <f t="shared" si="39"/>
        <v>2014</v>
      </c>
      <c r="R53" s="6">
        <f t="shared" si="39"/>
        <v>2015</v>
      </c>
      <c r="S53" s="6">
        <f t="shared" si="39"/>
        <v>2016</v>
      </c>
      <c r="T53" s="6">
        <f t="shared" si="39"/>
        <v>2017</v>
      </c>
    </row>
    <row r="54" spans="2:20" ht="15" customHeight="1">
      <c r="B54" s="165" t="s">
        <v>86</v>
      </c>
      <c r="C54" s="37"/>
      <c r="D54" s="36">
        <f>SUMPRODUCT(C18:C19,D24:D25)</f>
        <v>3906642.1788427527</v>
      </c>
      <c r="E54" s="36">
        <f t="shared" ref="E54:J54" si="40">SUMPRODUCT(D18:D19,E24:E25)</f>
        <v>5035001.7114065737</v>
      </c>
      <c r="F54" s="36">
        <f t="shared" si="40"/>
        <v>5429934.2637762576</v>
      </c>
      <c r="G54" s="36">
        <f t="shared" si="40"/>
        <v>5681890.4216013802</v>
      </c>
      <c r="H54" s="36"/>
      <c r="I54" s="36">
        <f t="shared" si="40"/>
        <v>5944634.9925851449</v>
      </c>
      <c r="J54" s="36">
        <f t="shared" si="40"/>
        <v>6315957.2879309971</v>
      </c>
      <c r="K54" s="36">
        <f>SUMPRODUCT(J18:J19,K24:K25)</f>
        <v>7975801.9731854191</v>
      </c>
      <c r="L54" s="36">
        <f>SUMPRODUCT(K18:K19,L24:L25)</f>
        <v>8995335.5719160233</v>
      </c>
      <c r="M54" s="36">
        <f>SUMPRODUCT(L18:L19,M24:M25)</f>
        <v>9822648.8653966784</v>
      </c>
      <c r="N54" s="36">
        <f>SUMPRODUCT(M18:M19,N24:N25)</f>
        <v>14331616.795334948</v>
      </c>
      <c r="O54" s="36">
        <f>SUMPRODUCT(N18:N19,O24:O25)</f>
        <v>13770707.035507118</v>
      </c>
      <c r="P54" s="36">
        <f t="shared" ref="P54:T54" si="41">SUMPRODUCT(O18:O19,P24:P25)</f>
        <v>22688027.571536027</v>
      </c>
      <c r="Q54" s="36">
        <f t="shared" si="41"/>
        <v>16422657.78259261</v>
      </c>
      <c r="R54" s="36">
        <f t="shared" si="41"/>
        <v>15500383.216996733</v>
      </c>
      <c r="S54" s="36">
        <f t="shared" si="41"/>
        <v>15757625.879779892</v>
      </c>
      <c r="T54" s="36">
        <f t="shared" si="41"/>
        <v>16233449.960063078</v>
      </c>
    </row>
    <row r="55" spans="2:20" ht="15" customHeight="1">
      <c r="B55" s="166" t="s">
        <v>75</v>
      </c>
      <c r="C55" s="37"/>
      <c r="D55" s="36">
        <f>SUMPRODUCT(C18:C19,C24:C25)</f>
        <v>4186797.8921142793</v>
      </c>
      <c r="E55" s="36">
        <f t="shared" ref="E55:J55" si="42">SUMPRODUCT(D18:D19,D24:D25)</f>
        <v>4971466.4700000016</v>
      </c>
      <c r="F55" s="36">
        <f t="shared" si="42"/>
        <v>5403890.0484114774</v>
      </c>
      <c r="G55" s="36">
        <f t="shared" si="42"/>
        <v>5404905.8957526246</v>
      </c>
      <c r="H55" s="36"/>
      <c r="I55" s="36">
        <f t="shared" si="42"/>
        <v>6023492.5899999915</v>
      </c>
      <c r="J55" s="36">
        <f t="shared" si="42"/>
        <v>5952094.4883077741</v>
      </c>
      <c r="K55" s="36">
        <f>SUMPRODUCT(J18:J19,J24:J25)</f>
        <v>7707236.602388503</v>
      </c>
      <c r="L55" s="36">
        <f>SUMPRODUCT(K18:K19,K24:K25)</f>
        <v>8752072.4540408291</v>
      </c>
      <c r="M55" s="36">
        <f>SUMPRODUCT(L18:L19,L24:L25)</f>
        <v>9114354.9087506179</v>
      </c>
      <c r="N55" s="36">
        <f>SUMPRODUCT(M18:M19,M24:M25)</f>
        <v>10208373.206701215</v>
      </c>
      <c r="O55" s="36">
        <f>SUMPRODUCT(N18:N19,N24:N25)</f>
        <v>14748731.33926443</v>
      </c>
      <c r="P55" s="36">
        <f t="shared" ref="P55:T55" si="43">SUMPRODUCT(O18:O19,O24:O25)</f>
        <v>15638298.796631534</v>
      </c>
      <c r="Q55" s="36">
        <f t="shared" si="43"/>
        <v>16049679.040000008</v>
      </c>
      <c r="R55" s="36">
        <f t="shared" si="43"/>
        <v>15226804.800000006</v>
      </c>
      <c r="S55" s="36">
        <f t="shared" si="43"/>
        <v>15082440.430000002</v>
      </c>
      <c r="T55" s="36">
        <f t="shared" si="43"/>
        <v>15944937.810000002</v>
      </c>
    </row>
    <row r="56" spans="2:20" ht="15" customHeight="1">
      <c r="B56" s="385"/>
      <c r="C56" s="14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</row>
    <row r="57" spans="2:20" ht="15" customHeight="1">
      <c r="B57" s="385"/>
      <c r="C57" s="14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</row>
    <row r="58" spans="2:20" ht="15" customHeight="1">
      <c r="B58" s="385"/>
      <c r="C58" s="14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</row>
    <row r="59" spans="2:20" ht="15" customHeight="1" thickBot="1"/>
    <row r="60" spans="2:20" ht="15" customHeight="1">
      <c r="B60" s="17" t="s">
        <v>81</v>
      </c>
      <c r="C60" s="164">
        <v>2001</v>
      </c>
      <c r="D60" s="6">
        <f>C60+1</f>
        <v>2002</v>
      </c>
      <c r="E60" s="6">
        <f>D60+1</f>
        <v>2003</v>
      </c>
      <c r="F60" s="6">
        <f>E60+1</f>
        <v>2004</v>
      </c>
      <c r="G60" s="7">
        <f>F60+1</f>
        <v>2005</v>
      </c>
      <c r="H60" s="6">
        <f>F60+1</f>
        <v>2005</v>
      </c>
      <c r="I60" s="6">
        <f t="shared" ref="I60:O60" si="44">H60+1</f>
        <v>2006</v>
      </c>
      <c r="J60" s="6">
        <f t="shared" si="44"/>
        <v>2007</v>
      </c>
      <c r="K60" s="6">
        <f t="shared" si="44"/>
        <v>2008</v>
      </c>
      <c r="L60" s="6">
        <f t="shared" si="44"/>
        <v>2009</v>
      </c>
      <c r="M60" s="6">
        <f t="shared" si="44"/>
        <v>2010</v>
      </c>
      <c r="N60" s="6">
        <f t="shared" si="44"/>
        <v>2011</v>
      </c>
      <c r="O60" s="6">
        <f t="shared" si="44"/>
        <v>2012</v>
      </c>
      <c r="P60" s="6">
        <f t="shared" ref="P60:T60" si="45">O60+1</f>
        <v>2013</v>
      </c>
      <c r="Q60" s="6">
        <f t="shared" si="45"/>
        <v>2014</v>
      </c>
      <c r="R60" s="6">
        <f t="shared" si="45"/>
        <v>2015</v>
      </c>
      <c r="S60" s="6">
        <f t="shared" si="45"/>
        <v>2016</v>
      </c>
      <c r="T60" s="6">
        <f t="shared" si="45"/>
        <v>2017</v>
      </c>
    </row>
    <row r="61" spans="2:20" ht="15" customHeight="1">
      <c r="B61" s="165" t="s">
        <v>86</v>
      </c>
      <c r="C61" s="37"/>
      <c r="D61" s="36">
        <f>SUMPRODUCT(D18:D19,D24:D25)</f>
        <v>4971466.4700000016</v>
      </c>
      <c r="E61" s="36">
        <f>SUMPRODUCT(E18:E19,E24:E25)</f>
        <v>5403890.0484114774</v>
      </c>
      <c r="F61" s="36">
        <f>SUMPRODUCT(F18:F19,F24:F25)</f>
        <v>5404905.8957526246</v>
      </c>
      <c r="G61" s="36">
        <f>SUMPRODUCT(G18:G19,G24:G25)</f>
        <v>6023492.5899999915</v>
      </c>
      <c r="H61" s="36"/>
      <c r="I61" s="36">
        <f>SUMPRODUCT(I18:I19,I24:I25)</f>
        <v>5952094.4883077741</v>
      </c>
      <c r="J61" s="36">
        <f t="shared" ref="J61:O61" si="46">SUMPRODUCT(J18:J19,J24:J25)</f>
        <v>7707236.602388503</v>
      </c>
      <c r="K61" s="36">
        <f t="shared" si="46"/>
        <v>8752072.4540408291</v>
      </c>
      <c r="L61" s="36">
        <f t="shared" si="46"/>
        <v>9114354.9087506179</v>
      </c>
      <c r="M61" s="36">
        <f t="shared" si="46"/>
        <v>10208373.206701215</v>
      </c>
      <c r="N61" s="36">
        <f t="shared" si="46"/>
        <v>14748731.33926443</v>
      </c>
      <c r="O61" s="36">
        <f t="shared" si="46"/>
        <v>15638298.796631534</v>
      </c>
      <c r="P61" s="36">
        <f t="shared" ref="P61:T61" si="47">SUMPRODUCT(P18:P19,P24:P25)</f>
        <v>16049679.040000008</v>
      </c>
      <c r="Q61" s="36">
        <f t="shared" si="47"/>
        <v>15226804.800000006</v>
      </c>
      <c r="R61" s="36">
        <f t="shared" si="47"/>
        <v>15082440.430000002</v>
      </c>
      <c r="S61" s="36">
        <f t="shared" si="47"/>
        <v>15944937.810000002</v>
      </c>
      <c r="T61" s="36">
        <f t="shared" si="47"/>
        <v>16352925.120000001</v>
      </c>
    </row>
    <row r="62" spans="2:20" ht="15" customHeight="1">
      <c r="B62" s="166" t="s">
        <v>75</v>
      </c>
      <c r="C62" s="37"/>
      <c r="D62" s="36">
        <f>SUMPRODUCT(D18:D19,C24:C25)</f>
        <v>5310295.8149626488</v>
      </c>
      <c r="E62" s="36">
        <f t="shared" ref="E62:J62" si="48">SUMPRODUCT(E18:E19,D24:D25)</f>
        <v>5333962.604313869</v>
      </c>
      <c r="F62" s="36">
        <f t="shared" si="48"/>
        <v>5387502.0802897736</v>
      </c>
      <c r="G62" s="36">
        <f t="shared" si="48"/>
        <v>5749612.057886079</v>
      </c>
      <c r="H62" s="36"/>
      <c r="I62" s="36">
        <f t="shared" si="48"/>
        <v>6016362.445756413</v>
      </c>
      <c r="J62" s="36">
        <f t="shared" si="48"/>
        <v>7310655.1549970452</v>
      </c>
      <c r="K62" s="36">
        <f>SUMPRODUCT(K18:K19,J24:J25)</f>
        <v>8470655.6052678898</v>
      </c>
      <c r="L62" s="36">
        <f>SUMPRODUCT(L18:L19,K24:K25)</f>
        <v>8867061.0897470601</v>
      </c>
      <c r="M62" s="36">
        <f>SUMPRODUCT(M18:M19,L24:L25)</f>
        <v>9528107.4319811016</v>
      </c>
      <c r="N62" s="36">
        <f>SUMPRODUCT(N18:N19,M24:M25)</f>
        <v>10439325.636223901</v>
      </c>
      <c r="O62" s="36">
        <f>SUMPRODUCT(O18:O19,N24:N25)</f>
        <v>16745139.601067482</v>
      </c>
      <c r="P62" s="36">
        <f t="shared" ref="P62:T62" si="49">SUMPRODUCT(P18:P19,O24:O25)</f>
        <v>11075511.609755198</v>
      </c>
      <c r="Q62" s="36">
        <f t="shared" si="49"/>
        <v>14977344.558941791</v>
      </c>
      <c r="R62" s="36">
        <f t="shared" si="49"/>
        <v>14830957.632305207</v>
      </c>
      <c r="S62" s="36">
        <f t="shared" si="49"/>
        <v>15287421.212893093</v>
      </c>
      <c r="T62" s="36">
        <f t="shared" si="49"/>
        <v>16076750.985243106</v>
      </c>
    </row>
    <row r="63" spans="2:20" ht="15" customHeight="1">
      <c r="B63" s="385"/>
      <c r="C63" s="14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2:20" ht="15" customHeight="1">
      <c r="B64" s="385"/>
      <c r="C64" s="14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</row>
    <row r="65" spans="2:20" ht="15" customHeight="1">
      <c r="B65" s="385"/>
      <c r="C65" s="14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</row>
    <row r="66" spans="2:20" ht="15" customHeight="1" thickBot="1"/>
    <row r="67" spans="2:20" ht="15" customHeight="1" thickBot="1">
      <c r="B67" s="1"/>
      <c r="C67" s="164">
        <v>2001</v>
      </c>
      <c r="D67" s="6">
        <f>C67+1</f>
        <v>2002</v>
      </c>
      <c r="E67" s="6">
        <f>D67+1</f>
        <v>2003</v>
      </c>
      <c r="F67" s="6">
        <f>E67+1</f>
        <v>2004</v>
      </c>
      <c r="G67" s="6">
        <f>F67+1</f>
        <v>2005</v>
      </c>
      <c r="H67" s="6">
        <f>F67+1</f>
        <v>2005</v>
      </c>
      <c r="I67" s="6">
        <f t="shared" ref="I67:O67" si="50">H67+1</f>
        <v>2006</v>
      </c>
      <c r="J67" s="6">
        <f t="shared" si="50"/>
        <v>2007</v>
      </c>
      <c r="K67" s="6">
        <f t="shared" si="50"/>
        <v>2008</v>
      </c>
      <c r="L67" s="6">
        <f t="shared" si="50"/>
        <v>2009</v>
      </c>
      <c r="M67" s="6">
        <f t="shared" si="50"/>
        <v>2010</v>
      </c>
      <c r="N67" s="6">
        <f t="shared" si="50"/>
        <v>2011</v>
      </c>
      <c r="O67" s="6">
        <f t="shared" si="50"/>
        <v>2012</v>
      </c>
      <c r="P67" s="6">
        <f t="shared" ref="P67:T67" si="51">O67+1</f>
        <v>2013</v>
      </c>
      <c r="Q67" s="6">
        <f t="shared" si="51"/>
        <v>2014</v>
      </c>
      <c r="R67" s="6">
        <f t="shared" si="51"/>
        <v>2015</v>
      </c>
      <c r="S67" s="6">
        <f t="shared" si="51"/>
        <v>2016</v>
      </c>
      <c r="T67" s="6">
        <f t="shared" si="51"/>
        <v>2017</v>
      </c>
    </row>
    <row r="68" spans="2:20" ht="15" customHeight="1" thickBot="1">
      <c r="B68" s="167" t="s">
        <v>82</v>
      </c>
      <c r="C68" s="168"/>
      <c r="D68" s="42">
        <f>((D54/D55)*(D61/D62))^0.5</f>
        <v>0.93463861257090919</v>
      </c>
      <c r="E68" s="42">
        <f>((E54/E55)*(E61/E62))^0.5</f>
        <v>1.012944900986374</v>
      </c>
      <c r="F68" s="42">
        <f>((F54/F55)*(F61/F62))^0.5</f>
        <v>1.0040246537453146</v>
      </c>
      <c r="G68" s="42">
        <f>((G54/G55)*(G61/G62))^0.5</f>
        <v>1.0494391876252169</v>
      </c>
      <c r="H68" s="42"/>
      <c r="I68" s="42">
        <f t="shared" ref="I68:T68" si="52">((I54/I55)*(I61/I62))^0.5</f>
        <v>0.9881123313455189</v>
      </c>
      <c r="J68" s="42">
        <f t="shared" si="52"/>
        <v>1.0576838672671276</v>
      </c>
      <c r="K68" s="42">
        <f t="shared" si="52"/>
        <v>1.0340338959399091</v>
      </c>
      <c r="L68" s="42">
        <f t="shared" si="52"/>
        <v>1.0278419767403224</v>
      </c>
      <c r="M68" s="42">
        <f t="shared" si="52"/>
        <v>1.0745491591315437</v>
      </c>
      <c r="N68" s="42">
        <f t="shared" si="52"/>
        <v>1.4083494680019697</v>
      </c>
      <c r="O68" s="42">
        <f t="shared" si="52"/>
        <v>0.93379416176878649</v>
      </c>
      <c r="P68" s="42">
        <f t="shared" si="52"/>
        <v>1.4499562382950142</v>
      </c>
      <c r="Q68" s="42">
        <f t="shared" si="52"/>
        <v>1.0199421160361575</v>
      </c>
      <c r="R68" s="42">
        <f t="shared" si="52"/>
        <v>1.0174616286833686</v>
      </c>
      <c r="S68" s="42">
        <f t="shared" si="52"/>
        <v>1.0438879447074885</v>
      </c>
      <c r="T68" s="42">
        <f t="shared" si="52"/>
        <v>1.0176362760502378</v>
      </c>
    </row>
    <row r="69" spans="2:20" ht="15" customHeight="1"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</row>
    <row r="70" spans="2:20" ht="15" customHeight="1" thickBot="1"/>
    <row r="71" spans="2:20" ht="15" customHeight="1" thickBot="1">
      <c r="B71" s="169" t="s">
        <v>221</v>
      </c>
      <c r="C71" s="40">
        <v>2001</v>
      </c>
      <c r="D71" s="170">
        <f>+D67</f>
        <v>2002</v>
      </c>
      <c r="E71" s="170">
        <f>D71+1</f>
        <v>2003</v>
      </c>
      <c r="F71" s="170">
        <f>E71+1</f>
        <v>2004</v>
      </c>
      <c r="G71" s="171">
        <f>F71+1</f>
        <v>2005</v>
      </c>
      <c r="H71" s="170">
        <f>F71+1</f>
        <v>2005</v>
      </c>
      <c r="I71" s="170">
        <f t="shared" ref="I71:O71" si="53">H71+1</f>
        <v>2006</v>
      </c>
      <c r="J71" s="172">
        <f t="shared" si="53"/>
        <v>2007</v>
      </c>
      <c r="K71" s="170">
        <f t="shared" si="53"/>
        <v>2008</v>
      </c>
      <c r="L71" s="172">
        <f t="shared" si="53"/>
        <v>2009</v>
      </c>
      <c r="M71" s="170">
        <f t="shared" si="53"/>
        <v>2010</v>
      </c>
      <c r="N71" s="172">
        <f t="shared" si="53"/>
        <v>2011</v>
      </c>
      <c r="O71" s="170">
        <f t="shared" si="53"/>
        <v>2012</v>
      </c>
      <c r="P71" s="172">
        <f t="shared" ref="P71:T71" si="54">O71+1</f>
        <v>2013</v>
      </c>
      <c r="Q71" s="170">
        <f t="shared" si="54"/>
        <v>2014</v>
      </c>
      <c r="R71" s="172">
        <f t="shared" si="54"/>
        <v>2015</v>
      </c>
      <c r="S71" s="170">
        <f t="shared" si="54"/>
        <v>2016</v>
      </c>
      <c r="T71" s="172">
        <f t="shared" si="54"/>
        <v>2017</v>
      </c>
    </row>
    <row r="72" spans="2:20" ht="15" customHeight="1" thickBot="1">
      <c r="B72" s="615"/>
      <c r="C72" s="616"/>
      <c r="D72" s="617">
        <f>LN(D68)</f>
        <v>-6.7595335027280531E-2</v>
      </c>
      <c r="E72" s="617">
        <f>LN(E68)</f>
        <v>1.2861831868569177E-2</v>
      </c>
      <c r="F72" s="617">
        <f>LN(F68)</f>
        <v>4.0165764912772186E-3</v>
      </c>
      <c r="G72" s="617">
        <f>LN(G68)</f>
        <v>4.8255914459864102E-2</v>
      </c>
      <c r="H72" s="617"/>
      <c r="I72" s="617">
        <f t="shared" ref="I72:T72" si="55">LN(I68)</f>
        <v>-1.1958892003289732E-2</v>
      </c>
      <c r="J72" s="617">
        <f t="shared" si="55"/>
        <v>5.6081486580850798E-2</v>
      </c>
      <c r="K72" s="617">
        <f t="shared" si="55"/>
        <v>3.346755692215958E-2</v>
      </c>
      <c r="L72" s="617">
        <f t="shared" si="55"/>
        <v>2.7461436092777885E-2</v>
      </c>
      <c r="M72" s="617">
        <f t="shared" si="55"/>
        <v>7.1901186757985611E-2</v>
      </c>
      <c r="N72" s="617">
        <f t="shared" si="55"/>
        <v>0.34241842864484745</v>
      </c>
      <c r="O72" s="617">
        <f t="shared" si="55"/>
        <v>-6.849924858651292E-2</v>
      </c>
      <c r="P72" s="617">
        <f t="shared" si="55"/>
        <v>0.37153337549084586</v>
      </c>
      <c r="Q72" s="617">
        <f t="shared" si="55"/>
        <v>1.9745876701735852E-2</v>
      </c>
      <c r="R72" s="617">
        <f t="shared" si="55"/>
        <v>1.7310926255824834E-2</v>
      </c>
      <c r="S72" s="617">
        <f t="shared" si="55"/>
        <v>4.2952151044222904E-2</v>
      </c>
      <c r="T72" s="617">
        <f t="shared" si="55"/>
        <v>1.7482561602597715E-2</v>
      </c>
    </row>
    <row r="73" spans="2:20" ht="15" customHeight="1">
      <c r="B73" s="618"/>
      <c r="C73" s="618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75"/>
      <c r="Q73" s="675"/>
      <c r="R73" s="675"/>
      <c r="S73" s="675"/>
      <c r="T73" s="620">
        <f>+AVERAGE($D$72:T72)</f>
        <v>5.7339739581029746E-2</v>
      </c>
    </row>
  </sheetData>
  <phoneticPr fontId="0" type="noConversion"/>
  <pageMargins left="0.75" right="0.75" top="1" bottom="1" header="0" footer="0"/>
  <pageSetup paperSize="9" scale="4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Y65"/>
  <sheetViews>
    <sheetView showGridLines="0" zoomScale="85" zoomScaleNormal="85" workbookViewId="0">
      <selection activeCell="AD34" sqref="AD34:AD35"/>
    </sheetView>
  </sheetViews>
  <sheetFormatPr baseColWidth="10" defaultColWidth="9.140625" defaultRowHeight="15"/>
  <cols>
    <col min="1" max="1" width="9.140625" style="398" customWidth="1"/>
    <col min="2" max="2" width="32.140625" style="398" bestFit="1" customWidth="1"/>
    <col min="3" max="19" width="9" style="398" customWidth="1"/>
    <col min="20" max="21" width="5.7109375" style="398" customWidth="1"/>
    <col min="22" max="22" width="24.140625" style="398" customWidth="1"/>
    <col min="23" max="39" width="9" style="398" customWidth="1"/>
    <col min="40" max="40" width="10.140625" style="398" customWidth="1"/>
    <col min="41" max="42" width="9.140625" style="398" customWidth="1"/>
    <col min="43" max="43" width="22.28515625" style="398" bestFit="1" customWidth="1"/>
    <col min="44" max="47" width="9.140625" style="398" customWidth="1"/>
    <col min="48" max="48" width="17.28515625" style="398" bestFit="1" customWidth="1"/>
    <col min="49" max="52" width="9.140625" style="398" customWidth="1"/>
    <col min="53" max="53" width="41.140625" style="398" bestFit="1" customWidth="1"/>
    <col min="54" max="16384" width="9.140625" style="398"/>
  </cols>
  <sheetData>
    <row r="3" spans="1:51">
      <c r="B3" s="822" t="s">
        <v>285</v>
      </c>
      <c r="C3" s="822"/>
      <c r="D3" s="822"/>
      <c r="E3" s="822"/>
      <c r="F3" s="822"/>
      <c r="G3" s="822"/>
      <c r="H3" s="822"/>
      <c r="I3" s="822"/>
      <c r="J3" s="399"/>
      <c r="K3" s="399"/>
      <c r="L3" s="399"/>
      <c r="M3" s="399"/>
      <c r="N3" s="399"/>
      <c r="O3" s="399"/>
      <c r="P3" s="399"/>
      <c r="Q3" s="399"/>
      <c r="R3" s="399"/>
      <c r="S3" s="399"/>
      <c r="V3" s="822" t="s">
        <v>285</v>
      </c>
      <c r="W3" s="822"/>
      <c r="X3" s="822"/>
      <c r="Y3" s="822"/>
      <c r="Z3" s="822"/>
      <c r="AA3" s="822"/>
      <c r="AB3" s="822"/>
      <c r="AC3" s="822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Q3" s="400" t="s">
        <v>392</v>
      </c>
      <c r="AR3" s="400"/>
      <c r="AS3" s="400"/>
      <c r="AT3" s="400"/>
      <c r="AU3" s="400"/>
      <c r="AV3" s="400"/>
      <c r="AW3" s="400"/>
      <c r="AX3" s="400"/>
    </row>
    <row r="4" spans="1:51" ht="15.75" thickBot="1">
      <c r="B4" s="400" t="s">
        <v>284</v>
      </c>
      <c r="V4" s="629" t="s">
        <v>283</v>
      </c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</row>
    <row r="5" spans="1:51" ht="15.75" thickBot="1">
      <c r="A5" s="401"/>
      <c r="B5" s="402" t="s">
        <v>280</v>
      </c>
      <c r="C5" s="403">
        <v>2001</v>
      </c>
      <c r="D5" s="403">
        <v>2002</v>
      </c>
      <c r="E5" s="403">
        <v>2003</v>
      </c>
      <c r="F5" s="403">
        <v>2004</v>
      </c>
      <c r="G5" s="403">
        <v>2005</v>
      </c>
      <c r="H5" s="403">
        <v>2006</v>
      </c>
      <c r="I5" s="179">
        <v>2007</v>
      </c>
      <c r="J5" s="178">
        <v>2008</v>
      </c>
      <c r="K5" s="179">
        <v>2009</v>
      </c>
      <c r="L5" s="178">
        <v>2010</v>
      </c>
      <c r="M5" s="179">
        <v>2011</v>
      </c>
      <c r="N5" s="179">
        <v>2012</v>
      </c>
      <c r="O5" s="179">
        <v>2013</v>
      </c>
      <c r="P5" s="179">
        <v>2014</v>
      </c>
      <c r="Q5" s="179">
        <v>2015</v>
      </c>
      <c r="R5" s="179">
        <v>2016</v>
      </c>
      <c r="S5" s="179">
        <v>2017</v>
      </c>
      <c r="V5" s="402" t="s">
        <v>280</v>
      </c>
      <c r="W5" s="403">
        <v>2001</v>
      </c>
      <c r="X5" s="403">
        <v>2002</v>
      </c>
      <c r="Y5" s="403">
        <v>2003</v>
      </c>
      <c r="Z5" s="403">
        <v>2004</v>
      </c>
      <c r="AA5" s="403">
        <v>2005</v>
      </c>
      <c r="AB5" s="779">
        <v>2006</v>
      </c>
      <c r="AC5" s="779">
        <v>2007</v>
      </c>
      <c r="AD5" s="779">
        <v>2008</v>
      </c>
      <c r="AE5" s="779">
        <v>2009</v>
      </c>
      <c r="AF5" s="779">
        <v>2010</v>
      </c>
      <c r="AG5" s="779">
        <v>2011</v>
      </c>
      <c r="AH5" s="779">
        <v>2012</v>
      </c>
      <c r="AI5" s="779">
        <v>2013</v>
      </c>
      <c r="AJ5" s="779">
        <v>2014</v>
      </c>
      <c r="AK5" s="779">
        <v>2015</v>
      </c>
      <c r="AL5" s="779">
        <v>2016</v>
      </c>
      <c r="AM5" s="779">
        <v>2017</v>
      </c>
      <c r="AQ5" s="402" t="s">
        <v>49</v>
      </c>
      <c r="AR5" s="403">
        <v>2001</v>
      </c>
      <c r="AS5" s="403">
        <v>2002</v>
      </c>
      <c r="AT5" s="403">
        <v>2003</v>
      </c>
      <c r="AU5" s="403">
        <v>2004</v>
      </c>
      <c r="AV5" s="403">
        <v>2005</v>
      </c>
      <c r="AW5" s="403">
        <v>2006</v>
      </c>
      <c r="AX5" s="404">
        <v>2007</v>
      </c>
    </row>
    <row r="6" spans="1:51" ht="15.75" thickBot="1">
      <c r="A6" s="401"/>
      <c r="B6" s="405" t="s">
        <v>216</v>
      </c>
      <c r="C6" s="406">
        <v>0</v>
      </c>
      <c r="D6" s="406">
        <v>3284</v>
      </c>
      <c r="E6" s="406">
        <v>59</v>
      </c>
      <c r="F6" s="406">
        <v>87</v>
      </c>
      <c r="G6" s="406">
        <v>0</v>
      </c>
      <c r="H6" s="406">
        <v>228</v>
      </c>
      <c r="I6" s="142">
        <v>4</v>
      </c>
      <c r="J6" s="589">
        <f>26-422</f>
        <v>-396</v>
      </c>
      <c r="K6" s="589">
        <v>120</v>
      </c>
      <c r="L6" s="589">
        <v>129</v>
      </c>
      <c r="M6" s="589">
        <v>208</v>
      </c>
      <c r="N6" s="142">
        <v>8</v>
      </c>
      <c r="O6" s="142">
        <v>73</v>
      </c>
      <c r="P6" s="142">
        <v>474</v>
      </c>
      <c r="Q6" s="142">
        <v>272</v>
      </c>
      <c r="R6" s="142">
        <v>2474</v>
      </c>
      <c r="S6" s="142">
        <v>91</v>
      </c>
      <c r="V6" s="405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Q6" s="402" t="s">
        <v>280</v>
      </c>
      <c r="AR6" s="406"/>
      <c r="AS6" s="406"/>
      <c r="AT6" s="406"/>
      <c r="AU6" s="406"/>
      <c r="AV6" s="406">
        <v>5795560.4088661578</v>
      </c>
      <c r="AW6" s="406"/>
      <c r="AX6" s="407"/>
    </row>
    <row r="7" spans="1:51">
      <c r="A7" s="401"/>
      <c r="B7" s="405" t="s">
        <v>286</v>
      </c>
      <c r="C7" s="406">
        <v>333.68</v>
      </c>
      <c r="D7" s="406">
        <v>184.32</v>
      </c>
      <c r="E7" s="406">
        <v>127</v>
      </c>
      <c r="F7" s="406">
        <v>268</v>
      </c>
      <c r="G7" s="406">
        <v>78</v>
      </c>
      <c r="H7" s="406">
        <v>90</v>
      </c>
      <c r="I7" s="142">
        <v>86</v>
      </c>
      <c r="J7" s="589">
        <f>116+144</f>
        <v>260</v>
      </c>
      <c r="K7" s="589">
        <v>137</v>
      </c>
      <c r="L7" s="589">
        <v>252</v>
      </c>
      <c r="M7" s="589">
        <v>145</v>
      </c>
      <c r="N7" s="142">
        <v>163</v>
      </c>
      <c r="O7" s="142">
        <v>58</v>
      </c>
      <c r="P7" s="142">
        <v>246</v>
      </c>
      <c r="Q7" s="142">
        <v>35</v>
      </c>
      <c r="R7" s="142">
        <v>471</v>
      </c>
      <c r="S7" s="142">
        <v>168</v>
      </c>
      <c r="T7" s="408"/>
      <c r="U7" s="409"/>
      <c r="V7" s="405" t="s">
        <v>269</v>
      </c>
      <c r="W7" s="406">
        <v>2348.6489999999999</v>
      </c>
      <c r="X7" s="410">
        <v>1261</v>
      </c>
      <c r="Y7" s="410">
        <v>232</v>
      </c>
      <c r="Z7" s="410">
        <v>1391</v>
      </c>
      <c r="AA7" s="410">
        <v>148162</v>
      </c>
      <c r="AB7" s="410">
        <v>18425</v>
      </c>
      <c r="AC7" s="410">
        <f>3847+1220</f>
        <v>5067</v>
      </c>
      <c r="AD7" s="410">
        <f>516+1204-283-1204</f>
        <v>233</v>
      </c>
      <c r="AE7" s="410">
        <f>54510-311</f>
        <v>54199</v>
      </c>
      <c r="AF7" s="410">
        <f>4940-210+531-531</f>
        <v>4730</v>
      </c>
      <c r="AG7" s="410">
        <f>3183-147+1</f>
        <v>3037</v>
      </c>
      <c r="AH7" s="410">
        <f>29315+19</f>
        <v>29334</v>
      </c>
      <c r="AI7" s="410">
        <v>7682</v>
      </c>
      <c r="AJ7" s="410">
        <v>13472</v>
      </c>
      <c r="AK7" s="410">
        <v>7947</v>
      </c>
      <c r="AL7" s="410">
        <v>5374</v>
      </c>
      <c r="AM7" s="410">
        <v>3213</v>
      </c>
      <c r="AN7" s="409"/>
      <c r="AQ7" s="402" t="s">
        <v>281</v>
      </c>
      <c r="AR7" s="406"/>
      <c r="AS7" s="406"/>
      <c r="AT7" s="406"/>
      <c r="AU7" s="406"/>
      <c r="AV7" s="406"/>
      <c r="AW7" s="406">
        <f>+AV6/20</f>
        <v>289778.02044330788</v>
      </c>
      <c r="AX7" s="407">
        <f>+AV6/20</f>
        <v>289778.02044330788</v>
      </c>
    </row>
    <row r="8" spans="1:51">
      <c r="A8" s="401"/>
      <c r="B8" s="405" t="s">
        <v>215</v>
      </c>
      <c r="C8" s="406">
        <v>322.17899999999997</v>
      </c>
      <c r="D8" s="406">
        <v>151.82100000000003</v>
      </c>
      <c r="E8" s="406">
        <v>143</v>
      </c>
      <c r="F8" s="406">
        <v>76</v>
      </c>
      <c r="G8" s="406">
        <v>4</v>
      </c>
      <c r="H8" s="406">
        <v>1091</v>
      </c>
      <c r="I8" s="142">
        <v>125</v>
      </c>
      <c r="J8" s="589">
        <f>243+221</f>
        <v>464</v>
      </c>
      <c r="K8" s="589">
        <v>164</v>
      </c>
      <c r="L8" s="589">
        <v>240</v>
      </c>
      <c r="M8" s="589">
        <v>103</v>
      </c>
      <c r="N8" s="142">
        <v>1263</v>
      </c>
      <c r="O8" s="142">
        <v>202</v>
      </c>
      <c r="P8" s="142">
        <v>255</v>
      </c>
      <c r="Q8" s="142">
        <v>1541</v>
      </c>
      <c r="R8" s="142">
        <v>499</v>
      </c>
      <c r="S8" s="142">
        <v>992</v>
      </c>
      <c r="T8" s="408"/>
      <c r="U8" s="409"/>
      <c r="V8" s="405" t="s">
        <v>271</v>
      </c>
      <c r="W8" s="406">
        <v>3798.3879999999999</v>
      </c>
      <c r="X8" s="410">
        <v>325</v>
      </c>
      <c r="Y8" s="410">
        <v>-49</v>
      </c>
      <c r="Z8" s="410">
        <v>0</v>
      </c>
      <c r="AA8" s="410">
        <v>0</v>
      </c>
      <c r="AB8" s="410">
        <v>1</v>
      </c>
      <c r="AC8" s="410">
        <v>0</v>
      </c>
      <c r="AD8" s="410"/>
      <c r="AE8" s="410"/>
      <c r="AF8" s="410"/>
      <c r="AG8" s="410"/>
      <c r="AH8" s="410"/>
      <c r="AI8" s="410">
        <v>0</v>
      </c>
      <c r="AJ8" s="410">
        <v>0</v>
      </c>
      <c r="AK8" s="410">
        <v>0</v>
      </c>
      <c r="AL8" s="410">
        <v>0</v>
      </c>
      <c r="AM8" s="410">
        <v>0</v>
      </c>
      <c r="AN8" s="411"/>
    </row>
    <row r="9" spans="1:51">
      <c r="A9" s="401"/>
      <c r="B9" s="405" t="s">
        <v>217</v>
      </c>
      <c r="C9" s="406">
        <v>250.07599999999999</v>
      </c>
      <c r="D9" s="406">
        <v>67.924000000000007</v>
      </c>
      <c r="E9" s="406">
        <v>0</v>
      </c>
      <c r="F9" s="406">
        <v>65</v>
      </c>
      <c r="G9" s="406">
        <v>0</v>
      </c>
      <c r="H9" s="406">
        <v>133</v>
      </c>
      <c r="I9" s="142">
        <v>85</v>
      </c>
      <c r="J9" s="589">
        <f>37-21</f>
        <v>16</v>
      </c>
      <c r="K9" s="589">
        <v>4</v>
      </c>
      <c r="L9" s="589">
        <v>61</v>
      </c>
      <c r="M9" s="589"/>
      <c r="N9" s="142">
        <v>40</v>
      </c>
      <c r="O9" s="142">
        <v>1600</v>
      </c>
      <c r="P9" s="142">
        <v>136</v>
      </c>
      <c r="Q9" s="142">
        <v>14</v>
      </c>
      <c r="R9" s="142">
        <v>656</v>
      </c>
      <c r="S9" s="142">
        <v>2</v>
      </c>
      <c r="T9" s="408"/>
      <c r="U9" s="409"/>
      <c r="V9" s="405" t="s">
        <v>273</v>
      </c>
      <c r="W9" s="406">
        <v>548.43200000000002</v>
      </c>
      <c r="X9" s="410">
        <v>21</v>
      </c>
      <c r="Y9" s="410">
        <v>202</v>
      </c>
      <c r="Z9" s="410">
        <v>19</v>
      </c>
      <c r="AA9" s="410">
        <v>411</v>
      </c>
      <c r="AB9" s="410">
        <v>578</v>
      </c>
      <c r="AC9" s="410">
        <v>0</v>
      </c>
      <c r="AD9" s="410">
        <v>283</v>
      </c>
      <c r="AE9" s="410">
        <v>311</v>
      </c>
      <c r="AF9" s="410">
        <v>210</v>
      </c>
      <c r="AG9" s="410">
        <f>147</f>
        <v>147</v>
      </c>
      <c r="AH9" s="410">
        <v>651</v>
      </c>
      <c r="AI9" s="410">
        <v>263</v>
      </c>
      <c r="AJ9" s="410">
        <v>407</v>
      </c>
      <c r="AK9" s="410">
        <v>339</v>
      </c>
      <c r="AL9" s="410">
        <v>255</v>
      </c>
      <c r="AM9" s="410">
        <v>550</v>
      </c>
      <c r="AN9" s="411"/>
    </row>
    <row r="10" spans="1:51">
      <c r="A10" s="401"/>
      <c r="B10" s="405" t="s">
        <v>274</v>
      </c>
      <c r="C10" s="406">
        <v>3.0059999999999998</v>
      </c>
      <c r="D10" s="406">
        <v>35.994</v>
      </c>
      <c r="E10" s="406">
        <v>18</v>
      </c>
      <c r="F10" s="406">
        <v>14</v>
      </c>
      <c r="G10" s="406">
        <v>18</v>
      </c>
      <c r="H10" s="406">
        <v>1033</v>
      </c>
      <c r="I10" s="142">
        <v>22</v>
      </c>
      <c r="J10" s="589">
        <f>35+76</f>
        <v>111</v>
      </c>
      <c r="K10" s="589">
        <v>134</v>
      </c>
      <c r="L10" s="589">
        <v>31</v>
      </c>
      <c r="M10" s="589">
        <v>87</v>
      </c>
      <c r="N10" s="142">
        <v>166</v>
      </c>
      <c r="O10" s="142">
        <v>68</v>
      </c>
      <c r="P10" s="142">
        <v>701</v>
      </c>
      <c r="Q10" s="142">
        <v>77</v>
      </c>
      <c r="R10" s="142">
        <v>122</v>
      </c>
      <c r="S10" s="142">
        <v>141</v>
      </c>
      <c r="T10" s="408"/>
      <c r="U10" s="409"/>
      <c r="V10" s="405" t="s">
        <v>409</v>
      </c>
      <c r="W10" s="406">
        <v>3304</v>
      </c>
      <c r="X10" s="410">
        <v>5982</v>
      </c>
      <c r="Y10" s="410">
        <v>49688</v>
      </c>
      <c r="Z10" s="410">
        <v>71630</v>
      </c>
      <c r="AA10" s="410">
        <v>-130604</v>
      </c>
      <c r="AB10" s="410">
        <v>2331</v>
      </c>
      <c r="AC10" s="410">
        <f>9505-1220</f>
        <v>8285</v>
      </c>
      <c r="AD10" s="410">
        <f>44571-516-1204</f>
        <v>42851</v>
      </c>
      <c r="AE10" s="410">
        <f>8169-AE7-AE9</f>
        <v>-46341</v>
      </c>
      <c r="AF10" s="410">
        <f>6145-4730-210-531</f>
        <v>674</v>
      </c>
      <c r="AG10" s="410">
        <f>18315-3036-147-1</f>
        <v>15131</v>
      </c>
      <c r="AH10" s="410">
        <f>12957-29315-651</f>
        <v>-17009</v>
      </c>
      <c r="AI10" s="410">
        <v>8905</v>
      </c>
      <c r="AJ10" s="410">
        <v>-2945</v>
      </c>
      <c r="AK10" s="410">
        <v>6315</v>
      </c>
      <c r="AL10" s="410">
        <v>12231</v>
      </c>
      <c r="AM10" s="410">
        <v>17889</v>
      </c>
      <c r="AN10" s="411"/>
      <c r="AQ10"/>
      <c r="AR10"/>
      <c r="AS10"/>
      <c r="AT10"/>
      <c r="AU10"/>
      <c r="AV10"/>
      <c r="AW10"/>
      <c r="AX10"/>
      <c r="AY10"/>
    </row>
    <row r="11" spans="1:51" ht="15.75" thickBot="1">
      <c r="A11" s="401"/>
      <c r="B11" s="412" t="s">
        <v>12</v>
      </c>
      <c r="C11" s="413">
        <f t="shared" ref="C11:H11" si="0">SUM(C6:C10)</f>
        <v>908.94099999999992</v>
      </c>
      <c r="D11" s="413">
        <f t="shared" si="0"/>
        <v>3724.0590000000002</v>
      </c>
      <c r="E11" s="413">
        <f t="shared" si="0"/>
        <v>347</v>
      </c>
      <c r="F11" s="413">
        <f t="shared" si="0"/>
        <v>510</v>
      </c>
      <c r="G11" s="413">
        <f t="shared" si="0"/>
        <v>100</v>
      </c>
      <c r="H11" s="413">
        <f t="shared" si="0"/>
        <v>2575</v>
      </c>
      <c r="I11" s="595">
        <f t="shared" ref="I11:N11" si="1">SUM(I6:I10)</f>
        <v>322</v>
      </c>
      <c r="J11" s="596">
        <f t="shared" si="1"/>
        <v>455</v>
      </c>
      <c r="K11" s="596">
        <f t="shared" si="1"/>
        <v>559</v>
      </c>
      <c r="L11" s="596">
        <f t="shared" si="1"/>
        <v>713</v>
      </c>
      <c r="M11" s="596">
        <f t="shared" si="1"/>
        <v>543</v>
      </c>
      <c r="N11" s="596">
        <f t="shared" si="1"/>
        <v>1640</v>
      </c>
      <c r="O11" s="596">
        <f t="shared" ref="O11:S11" si="2">SUM(O6:O10)</f>
        <v>2001</v>
      </c>
      <c r="P11" s="596">
        <f t="shared" si="2"/>
        <v>1812</v>
      </c>
      <c r="Q11" s="596">
        <f t="shared" si="2"/>
        <v>1939</v>
      </c>
      <c r="R11" s="596">
        <f t="shared" si="2"/>
        <v>4222</v>
      </c>
      <c r="S11" s="596">
        <f t="shared" si="2"/>
        <v>1394</v>
      </c>
      <c r="V11" s="412" t="s">
        <v>12</v>
      </c>
      <c r="W11" s="413">
        <f t="shared" ref="W11:AB11" si="3">SUM(W6:W10)</f>
        <v>9999.469000000001</v>
      </c>
      <c r="X11" s="413">
        <f t="shared" si="3"/>
        <v>7589</v>
      </c>
      <c r="Y11" s="413">
        <f t="shared" si="3"/>
        <v>50073</v>
      </c>
      <c r="Z11" s="413">
        <f t="shared" si="3"/>
        <v>73040</v>
      </c>
      <c r="AA11" s="413">
        <f t="shared" si="3"/>
        <v>17969</v>
      </c>
      <c r="AB11" s="413">
        <f t="shared" si="3"/>
        <v>21335</v>
      </c>
      <c r="AC11" s="413">
        <f t="shared" ref="AC11:AH11" si="4">SUM(AC6:AC10)</f>
        <v>13352</v>
      </c>
      <c r="AD11" s="413">
        <f t="shared" si="4"/>
        <v>43367</v>
      </c>
      <c r="AE11" s="413">
        <f t="shared" si="4"/>
        <v>8169</v>
      </c>
      <c r="AF11" s="413">
        <f t="shared" si="4"/>
        <v>5614</v>
      </c>
      <c r="AG11" s="413">
        <f t="shared" si="4"/>
        <v>18315</v>
      </c>
      <c r="AH11" s="413">
        <f t="shared" si="4"/>
        <v>12976</v>
      </c>
      <c r="AI11" s="413">
        <f t="shared" ref="AI11:AM11" si="5">SUM(AI6:AI10)</f>
        <v>16850</v>
      </c>
      <c r="AJ11" s="413">
        <f t="shared" si="5"/>
        <v>10934</v>
      </c>
      <c r="AK11" s="413">
        <f t="shared" si="5"/>
        <v>14601</v>
      </c>
      <c r="AL11" s="413">
        <f t="shared" si="5"/>
        <v>17860</v>
      </c>
      <c r="AM11" s="413">
        <f t="shared" si="5"/>
        <v>21652</v>
      </c>
      <c r="AN11" s="411"/>
      <c r="AQ11"/>
      <c r="AR11"/>
      <c r="AS11"/>
      <c r="AT11"/>
      <c r="AU11"/>
      <c r="AV11"/>
      <c r="AW11"/>
      <c r="AX11"/>
      <c r="AY11"/>
    </row>
    <row r="12" spans="1:51">
      <c r="A12" s="401"/>
      <c r="V12" s="604"/>
      <c r="W12" s="628"/>
      <c r="X12" s="628"/>
      <c r="Y12" s="628"/>
      <c r="Z12" s="628"/>
      <c r="AA12" s="628"/>
      <c r="AB12" s="628"/>
      <c r="AC12" s="628"/>
      <c r="AD12" s="628"/>
      <c r="AE12" s="628"/>
      <c r="AF12" s="628"/>
      <c r="AG12" s="628"/>
      <c r="AH12" s="628"/>
      <c r="AI12" s="628"/>
      <c r="AJ12" s="628"/>
      <c r="AK12" s="628"/>
      <c r="AL12" s="628"/>
      <c r="AM12" s="628"/>
      <c r="AQ12"/>
      <c r="AR12"/>
      <c r="AS12"/>
      <c r="AT12"/>
      <c r="AU12"/>
      <c r="AV12"/>
      <c r="AW12"/>
      <c r="AX12"/>
      <c r="AY12"/>
    </row>
    <row r="13" spans="1:51" ht="15.75" thickBot="1">
      <c r="A13" s="401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Q13"/>
      <c r="AR13"/>
      <c r="AS13"/>
      <c r="AT13"/>
      <c r="AU13"/>
      <c r="AV13"/>
      <c r="AW13"/>
      <c r="AX13"/>
      <c r="AY13"/>
    </row>
    <row r="14" spans="1:51">
      <c r="A14" s="415"/>
      <c r="B14" s="402" t="s">
        <v>282</v>
      </c>
      <c r="C14" s="403">
        <v>2001</v>
      </c>
      <c r="D14" s="403">
        <v>2002</v>
      </c>
      <c r="E14" s="403">
        <v>2003</v>
      </c>
      <c r="F14" s="403">
        <v>2004</v>
      </c>
      <c r="G14" s="403">
        <v>2005</v>
      </c>
      <c r="H14" s="403">
        <v>2006</v>
      </c>
      <c r="I14" s="404">
        <v>2007</v>
      </c>
      <c r="J14" s="403">
        <v>2008</v>
      </c>
      <c r="K14" s="404">
        <v>2009</v>
      </c>
      <c r="L14" s="403">
        <v>2010</v>
      </c>
      <c r="M14" s="404">
        <v>2011</v>
      </c>
      <c r="N14" s="403">
        <v>2012</v>
      </c>
      <c r="O14" s="403">
        <v>2013</v>
      </c>
      <c r="P14" s="403">
        <v>2014</v>
      </c>
      <c r="Q14" s="403">
        <v>2015</v>
      </c>
      <c r="R14" s="403">
        <v>2016</v>
      </c>
      <c r="S14" s="403">
        <v>2017</v>
      </c>
      <c r="V14" s="402" t="s">
        <v>282</v>
      </c>
      <c r="W14" s="403">
        <v>2001</v>
      </c>
      <c r="X14" s="403">
        <v>2002</v>
      </c>
      <c r="Y14" s="403">
        <v>2003</v>
      </c>
      <c r="Z14" s="403">
        <v>2004</v>
      </c>
      <c r="AA14" s="403">
        <v>2005</v>
      </c>
      <c r="AB14" s="779">
        <v>2006</v>
      </c>
      <c r="AC14" s="779">
        <v>2007</v>
      </c>
      <c r="AD14" s="779">
        <v>2008</v>
      </c>
      <c r="AE14" s="779">
        <v>2009</v>
      </c>
      <c r="AF14" s="779">
        <v>2010</v>
      </c>
      <c r="AG14" s="779">
        <v>2011</v>
      </c>
      <c r="AH14" s="779">
        <v>2012</v>
      </c>
      <c r="AI14" s="779">
        <v>2013</v>
      </c>
      <c r="AJ14" s="779">
        <v>2014</v>
      </c>
      <c r="AK14" s="779">
        <v>2015</v>
      </c>
      <c r="AL14" s="779">
        <v>2016</v>
      </c>
      <c r="AM14" s="779">
        <v>2017</v>
      </c>
      <c r="AQ14"/>
      <c r="AR14"/>
      <c r="AS14"/>
      <c r="AT14"/>
      <c r="AU14"/>
      <c r="AV14"/>
      <c r="AW14"/>
      <c r="AX14"/>
      <c r="AY14"/>
    </row>
    <row r="15" spans="1:51">
      <c r="A15" s="415"/>
      <c r="B15" s="405" t="s">
        <v>216</v>
      </c>
      <c r="C15" s="406">
        <f>+Depreciaciones!B47</f>
        <v>0</v>
      </c>
      <c r="D15" s="406">
        <f>+Depreciaciones!C47</f>
        <v>3284</v>
      </c>
      <c r="E15" s="406">
        <f>+Depreciaciones!D47</f>
        <v>3014.6</v>
      </c>
      <c r="F15" s="406">
        <f>+Depreciaciones!E47</f>
        <v>2767.2999999999997</v>
      </c>
      <c r="G15" s="406">
        <f>+Depreciaciones!F47</f>
        <v>2424.2999999999997</v>
      </c>
      <c r="H15" s="406">
        <f>+Depreciaciones!G47</f>
        <v>2309.2999999999997</v>
      </c>
      <c r="I15" s="406">
        <f>+Depreciaciones!H47</f>
        <v>1947.4999999999998</v>
      </c>
      <c r="J15" s="406">
        <f>+Depreciaciones!I47</f>
        <v>1185.2999999999993</v>
      </c>
      <c r="K15" s="406">
        <f>+Depreciaciones!J47</f>
        <v>978.69999999999925</v>
      </c>
      <c r="L15" s="406">
        <f>+Depreciaciones!K47</f>
        <v>769.09999999999923</v>
      </c>
      <c r="M15" s="406">
        <f>+Depreciaciones!L47</f>
        <v>625.59999999999923</v>
      </c>
      <c r="N15" s="406">
        <f>+Depreciaciones!M47</f>
        <v>261.29999999999916</v>
      </c>
      <c r="O15" s="406">
        <f>+Depreciaciones!N47</f>
        <v>289.59999999999917</v>
      </c>
      <c r="P15" s="406">
        <f>+Depreciaciones!O47</f>
        <v>717.49999999999909</v>
      </c>
      <c r="Q15" s="406">
        <f>+Depreciaciones!P47</f>
        <v>904.69999999999914</v>
      </c>
      <c r="R15" s="406">
        <f>+Depreciaciones!Q47</f>
        <v>3266.6999999999989</v>
      </c>
      <c r="S15" s="406">
        <f>+Depreciaciones!R47</f>
        <v>3021.0999999999995</v>
      </c>
      <c r="V15" s="405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Q15"/>
      <c r="AR15"/>
      <c r="AS15"/>
      <c r="AT15"/>
      <c r="AU15"/>
      <c r="AV15"/>
      <c r="AW15"/>
      <c r="AX15"/>
      <c r="AY15"/>
    </row>
    <row r="16" spans="1:51">
      <c r="A16" s="415"/>
      <c r="B16" s="405" t="s">
        <v>286</v>
      </c>
      <c r="C16" s="406">
        <f>+Depreciaciones!B87</f>
        <v>381.3485714285714</v>
      </c>
      <c r="D16" s="406">
        <f>+Depreciaciones!C87</f>
        <v>470.33142857142855</v>
      </c>
      <c r="E16" s="406">
        <f>+Depreciaciones!D87</f>
        <v>455.91428571428571</v>
      </c>
      <c r="F16" s="406">
        <f>+Depreciaciones!E87</f>
        <v>550.74714285714288</v>
      </c>
      <c r="G16" s="406">
        <f>+Depreciaciones!F87</f>
        <v>388.58000000000004</v>
      </c>
      <c r="H16" s="406">
        <f>+Depreciaciones!G87</f>
        <v>314.25</v>
      </c>
      <c r="I16" s="406">
        <f>+Depreciaciones!H87</f>
        <v>259.5</v>
      </c>
      <c r="J16" s="406">
        <f>+Depreciaciones!I87</f>
        <v>389</v>
      </c>
      <c r="K16" s="406">
        <f>+Depreciaciones!J87</f>
        <v>397.5</v>
      </c>
      <c r="L16" s="406">
        <f>+Depreciaciones!K87</f>
        <v>506.25</v>
      </c>
      <c r="M16" s="406">
        <f>+Depreciaciones!L87</f>
        <v>467.5</v>
      </c>
      <c r="N16" s="406">
        <f>+Depreciaciones!M87</f>
        <v>432</v>
      </c>
      <c r="O16" s="406">
        <f>+Depreciaciones!N87</f>
        <v>315.75</v>
      </c>
      <c r="P16" s="406">
        <f>+Depreciaciones!O87</f>
        <v>407.25</v>
      </c>
      <c r="Q16" s="406">
        <f>+Depreciaciones!P87</f>
        <v>289.25</v>
      </c>
      <c r="R16" s="406">
        <f>+Depreciaciones!Q87</f>
        <v>634.75</v>
      </c>
      <c r="S16" s="406">
        <f>+Depreciaciones!R87</f>
        <v>600.25</v>
      </c>
      <c r="V16" s="405" t="s">
        <v>269</v>
      </c>
      <c r="W16" s="406">
        <f>+Depreciaciones!U47</f>
        <v>2684.1702857142859</v>
      </c>
      <c r="X16" s="406">
        <f>+Depreciaciones!V47</f>
        <v>3852.6126896551727</v>
      </c>
      <c r="Y16" s="406">
        <f>+Depreciaciones!W47</f>
        <v>3948.5723349753698</v>
      </c>
      <c r="Z16" s="406">
        <f>+Depreciaciones!X47</f>
        <v>5195.5319802955673</v>
      </c>
      <c r="AA16" s="406">
        <f>+Depreciaciones!Y47</f>
        <v>153165.52610837438</v>
      </c>
      <c r="AB16" s="406">
        <f>+Depreciaciones!Z47</f>
        <v>166289.48575369461</v>
      </c>
      <c r="AC16" s="406">
        <f>+Depreciaciones!AA47</f>
        <v>165420.1005714286</v>
      </c>
      <c r="AD16" s="406">
        <f>+Depreciaciones!AB47</f>
        <v>159541.99125123155</v>
      </c>
      <c r="AE16" s="406">
        <f>+Depreciaciones!AC47</f>
        <v>207621.84744827592</v>
      </c>
      <c r="AF16" s="406">
        <f>+Depreciaciones!AD47</f>
        <v>204363.77261083748</v>
      </c>
      <c r="AG16" s="406">
        <f>+Depreciaciones!AE47</f>
        <v>199249.59432512321</v>
      </c>
      <c r="AH16" s="406">
        <f>+Depreciaciones!AF47</f>
        <v>220327.69190147784</v>
      </c>
      <c r="AI16" s="406">
        <f>+Depreciaciones!AG47</f>
        <v>218742.27223645322</v>
      </c>
      <c r="AJ16" s="406">
        <f>+Depreciaciones!AH47</f>
        <v>222681.95601970443</v>
      </c>
      <c r="AK16" s="406">
        <f>+Depreciaciones!AI47</f>
        <v>220632.08807881773</v>
      </c>
      <c r="AL16" s="406">
        <f>+Depreciaciones!AJ47</f>
        <v>215735.18565517248</v>
      </c>
      <c r="AM16" s="406">
        <f>+Depreciaciones!AK47</f>
        <v>208491.97288669948</v>
      </c>
    </row>
    <row r="17" spans="1:39">
      <c r="A17" s="415"/>
      <c r="B17" s="405" t="s">
        <v>215</v>
      </c>
      <c r="C17" s="406">
        <f>+Depreciaciones!B128</f>
        <v>368.2045714285714</v>
      </c>
      <c r="D17" s="406">
        <f>+Depreciaciones!C128</f>
        <v>483.20511428571427</v>
      </c>
      <c r="E17" s="406">
        <f>+Depreciaciones!D128</f>
        <v>574.20255714285713</v>
      </c>
      <c r="F17" s="406">
        <f>+Depreciaciones!E128</f>
        <v>583.9</v>
      </c>
      <c r="G17" s="406">
        <f>+Depreciaciones!F128</f>
        <v>513.9974428571428</v>
      </c>
      <c r="H17" s="406">
        <f>+Depreciaciones!G128</f>
        <v>1530.6948857142856</v>
      </c>
      <c r="I17" s="406">
        <f>+Depreciaciones!H128</f>
        <v>1472.2923285714285</v>
      </c>
      <c r="J17" s="406">
        <f>+Depreciaciones!I128</f>
        <v>1740.3897714285713</v>
      </c>
      <c r="K17" s="406">
        <f>+Depreciaciones!J128</f>
        <v>1662.0872142857143</v>
      </c>
      <c r="L17" s="406">
        <f>+Depreciaciones!K128</f>
        <v>1643.3846571428569</v>
      </c>
      <c r="M17" s="406">
        <f>+Depreciaciones!L128</f>
        <v>1463.6820999999998</v>
      </c>
      <c r="N17" s="406">
        <f>+Depreciaciones!M128</f>
        <v>2470.5</v>
      </c>
      <c r="O17" s="406">
        <f>+Depreciaciones!N128</f>
        <v>2305.1999999999998</v>
      </c>
      <c r="P17" s="406">
        <f>+Depreciaciones!O128</f>
        <v>2187</v>
      </c>
      <c r="Q17" s="406">
        <f>+Depreciaciones!P128</f>
        <v>3336.9</v>
      </c>
      <c r="R17" s="406">
        <f>+Depreciaciones!Q128</f>
        <v>3291.1000000000004</v>
      </c>
      <c r="S17" s="406">
        <f>+Depreciaciones!R128</f>
        <v>3797.5</v>
      </c>
      <c r="V17" s="405" t="s">
        <v>271</v>
      </c>
      <c r="W17" s="406">
        <f>+Depreciaciones!U87</f>
        <v>3798.3879999999999</v>
      </c>
      <c r="X17" s="406">
        <f>+Depreciaciones!V87</f>
        <v>3996.7750666666666</v>
      </c>
      <c r="Y17" s="406">
        <f>+Depreciaciones!W87</f>
        <v>3810.3287999999998</v>
      </c>
      <c r="Z17" s="406">
        <f>+Depreciaciones!X87</f>
        <v>3721.8825333333334</v>
      </c>
      <c r="AA17" s="406">
        <f>+Depreciaciones!Y87</f>
        <v>3584.4362666666666</v>
      </c>
      <c r="AB17" s="406">
        <f>+Depreciaciones!Z87</f>
        <v>3447.99</v>
      </c>
      <c r="AC17" s="406">
        <f>+Depreciaciones!AA87</f>
        <v>3310.5104000000001</v>
      </c>
      <c r="AD17" s="406">
        <f>+Depreciaciones!AB87</f>
        <v>3173.0308</v>
      </c>
      <c r="AE17" s="406">
        <f>+Depreciaciones!AC87</f>
        <v>3035.5512000000003</v>
      </c>
      <c r="AF17" s="406">
        <f>+Depreciaciones!AD87</f>
        <v>2898.0716000000002</v>
      </c>
      <c r="AG17" s="406">
        <f>+Depreciaciones!AE87</f>
        <v>2760.5920000000001</v>
      </c>
      <c r="AH17" s="406">
        <f>+Depreciaciones!AF87</f>
        <v>2623.1124</v>
      </c>
      <c r="AI17" s="406">
        <f>+Depreciaciones!AG87</f>
        <v>2485.6328000000003</v>
      </c>
      <c r="AJ17" s="406">
        <f>+Depreciaciones!AH87</f>
        <v>2348.1531999999997</v>
      </c>
      <c r="AK17" s="406">
        <f>+Depreciaciones!AI87</f>
        <v>2210.6735999999996</v>
      </c>
      <c r="AL17" s="406">
        <f>+Depreciaciones!AJ87</f>
        <v>2073.194</v>
      </c>
      <c r="AM17" s="406">
        <f>+Depreciaciones!AK87</f>
        <v>1935.7144000000001</v>
      </c>
    </row>
    <row r="18" spans="1:39">
      <c r="A18" s="415"/>
      <c r="B18" s="405" t="s">
        <v>217</v>
      </c>
      <c r="C18" s="406">
        <f>+Depreciaciones!B169</f>
        <v>285.80114285714285</v>
      </c>
      <c r="D18" s="406">
        <f>+Depreciaciones!C169</f>
        <v>296.56491428571428</v>
      </c>
      <c r="E18" s="406">
        <f>+Depreciaciones!D169</f>
        <v>225.8198857142857</v>
      </c>
      <c r="F18" s="406">
        <f>+Depreciaciones!E169</f>
        <v>220.07485714285713</v>
      </c>
      <c r="G18" s="406">
        <f>+Depreciaciones!F169</f>
        <v>136.32982857142855</v>
      </c>
      <c r="H18" s="406">
        <f>+Depreciaciones!G169</f>
        <v>185.5848</v>
      </c>
      <c r="I18" s="406">
        <f>+Depreciaciones!H169</f>
        <v>217.4</v>
      </c>
      <c r="J18" s="406">
        <f>+Depreciaciones!I169</f>
        <v>176.8</v>
      </c>
      <c r="K18" s="406">
        <f>+Depreciaciones!J169</f>
        <v>121.00000000000001</v>
      </c>
      <c r="L18" s="406">
        <f>+Depreciaciones!K169</f>
        <v>134.40000000000003</v>
      </c>
      <c r="M18" s="406">
        <f>+Depreciaciones!L169</f>
        <v>74.599999999999994</v>
      </c>
      <c r="N18" s="406">
        <f>+Depreciaciones!M169</f>
        <v>81.400000000000006</v>
      </c>
      <c r="O18" s="406">
        <f>+Depreciaciones!N169</f>
        <v>1657.2</v>
      </c>
      <c r="P18" s="406">
        <f>+Depreciaciones!O169</f>
        <v>1452.2</v>
      </c>
      <c r="Q18" s="406">
        <f>+Depreciaciones!P169</f>
        <v>1098.8</v>
      </c>
      <c r="R18" s="406">
        <f>+Depreciaciones!Q169</f>
        <v>1396.8000000000002</v>
      </c>
      <c r="S18" s="406">
        <f>+Depreciaciones!R169</f>
        <v>909.59999999999991</v>
      </c>
      <c r="V18" s="405" t="s">
        <v>273</v>
      </c>
      <c r="W18" s="406">
        <f>+Depreciaciones!U128</f>
        <v>626.77942857142864</v>
      </c>
      <c r="X18" s="406">
        <f>+Depreciaciones!V128</f>
        <v>585.10148571428579</v>
      </c>
      <c r="Y18" s="406">
        <f>+Depreciaciones!W128</f>
        <v>722.32354285714291</v>
      </c>
      <c r="Z18" s="406">
        <f>+Depreciaciones!X128</f>
        <v>656.3456000000001</v>
      </c>
      <c r="AA18" s="406">
        <f>+Depreciaciones!Y128</f>
        <v>980.46765714285732</v>
      </c>
      <c r="AB18" s="406">
        <f>+Depreciaciones!Z128</f>
        <v>1430.4897142857144</v>
      </c>
      <c r="AC18" s="406">
        <f>+Depreciaciones!AA128</f>
        <v>1244.7117714285716</v>
      </c>
      <c r="AD18" s="406">
        <f>+Depreciaciones!AB128</f>
        <v>1341.9338285714286</v>
      </c>
      <c r="AE18" s="406">
        <f>+Depreciaciones!AC128</f>
        <v>1438.8558857142857</v>
      </c>
      <c r="AF18" s="406">
        <f>+Depreciaciones!AD128</f>
        <v>1403.6779428571429</v>
      </c>
      <c r="AG18" s="406">
        <f>+Depreciaciones!AE128</f>
        <v>1284.5</v>
      </c>
      <c r="AH18" s="406">
        <f>+Depreciaciones!AF128</f>
        <v>1717.3</v>
      </c>
      <c r="AI18" s="406">
        <f>+Depreciaciones!AG128</f>
        <v>1699.1</v>
      </c>
      <c r="AJ18" s="406">
        <f>+Depreciaciones!AH128</f>
        <v>1818.8</v>
      </c>
      <c r="AK18" s="406">
        <f>+Depreciaciones!AI128</f>
        <v>1831.7</v>
      </c>
      <c r="AL18" s="406">
        <f>+Depreciaciones!AJ128</f>
        <v>1767.7999999999997</v>
      </c>
      <c r="AM18" s="406">
        <f>+Depreciaciones!AK128</f>
        <v>2031.2</v>
      </c>
    </row>
    <row r="19" spans="1:39">
      <c r="A19" s="415"/>
      <c r="B19" s="405" t="s">
        <v>274</v>
      </c>
      <c r="C19" s="406">
        <f>+Depreciaciones!B210</f>
        <v>3.4354285714285711</v>
      </c>
      <c r="D19" s="406">
        <f>+Depreciaciones!C210</f>
        <v>39.085885714285716</v>
      </c>
      <c r="E19" s="406">
        <f>+Depreciaciones!D210</f>
        <v>53.142942857142856</v>
      </c>
      <c r="F19" s="406">
        <f>+Depreciaciones!E210</f>
        <v>61.399999999999991</v>
      </c>
      <c r="G19" s="406">
        <f>+Depreciaciones!F210</f>
        <v>72.25705714285715</v>
      </c>
      <c r="H19" s="406">
        <f>+Depreciaciones!G210</f>
        <v>1096.3141142857144</v>
      </c>
      <c r="I19" s="406">
        <f>+Depreciaciones!H210</f>
        <v>1006.0711714285715</v>
      </c>
      <c r="J19" s="406">
        <f>+Depreciaciones!I210</f>
        <v>1002.6282285714286</v>
      </c>
      <c r="K19" s="406">
        <f>+Depreciaciones!J210</f>
        <v>1011.0852857142859</v>
      </c>
      <c r="L19" s="406">
        <f>+Depreciaciones!K210</f>
        <v>903.14234285714303</v>
      </c>
      <c r="M19" s="406">
        <f>+Depreciaciones!L210</f>
        <v>848.09940000000017</v>
      </c>
      <c r="N19" s="406">
        <f>+Depreciaciones!M210</f>
        <v>863.70000000000016</v>
      </c>
      <c r="O19" s="406">
        <f>+Depreciaciones!N210</f>
        <v>768.30000000000018</v>
      </c>
      <c r="P19" s="406">
        <f>+Depreciaciones!O210</f>
        <v>1300.9000000000003</v>
      </c>
      <c r="Q19" s="406">
        <f>+Depreciaciones!P210</f>
        <v>1140.8000000000002</v>
      </c>
      <c r="R19" s="406">
        <f>+Depreciaciones!Q210</f>
        <v>1019.8000000000001</v>
      </c>
      <c r="S19" s="406">
        <f>+Depreciaciones!R210</f>
        <v>1008.9000000000001</v>
      </c>
      <c r="V19" s="405" t="s">
        <v>409</v>
      </c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</row>
    <row r="20" spans="1:39" ht="15.75" thickBot="1">
      <c r="A20" s="415"/>
      <c r="B20" s="412" t="s">
        <v>12</v>
      </c>
      <c r="C20" s="413">
        <f t="shared" ref="C20:I20" si="6">SUM(C15:C19)</f>
        <v>1038.7897142857141</v>
      </c>
      <c r="D20" s="413">
        <f t="shared" si="6"/>
        <v>4573.1873428571434</v>
      </c>
      <c r="E20" s="413">
        <f t="shared" si="6"/>
        <v>4323.6796714285711</v>
      </c>
      <c r="F20" s="413">
        <f t="shared" si="6"/>
        <v>4183.4219999999996</v>
      </c>
      <c r="G20" s="413">
        <f t="shared" si="6"/>
        <v>3535.4643285714283</v>
      </c>
      <c r="H20" s="413">
        <f t="shared" si="6"/>
        <v>5436.1437999999998</v>
      </c>
      <c r="I20" s="414">
        <f t="shared" si="6"/>
        <v>4902.7635</v>
      </c>
      <c r="J20" s="414">
        <f>SUM(J15:J19)</f>
        <v>4494.1179999999995</v>
      </c>
      <c r="K20" s="414">
        <f>SUM(K15:K19)</f>
        <v>4170.3724999999995</v>
      </c>
      <c r="L20" s="414">
        <f>SUM(L15:L19)</f>
        <v>3956.2769999999991</v>
      </c>
      <c r="M20" s="414">
        <f>SUM(M15:M19)</f>
        <v>3479.481499999999</v>
      </c>
      <c r="N20" s="414">
        <f>SUM(N15:N19)</f>
        <v>4108.8999999999996</v>
      </c>
      <c r="O20" s="414">
        <f t="shared" ref="O20:S20" si="7">SUM(O15:O19)</f>
        <v>5336.0499999999993</v>
      </c>
      <c r="P20" s="414">
        <f t="shared" si="7"/>
        <v>6064.8499999999995</v>
      </c>
      <c r="Q20" s="414">
        <f t="shared" si="7"/>
        <v>6770.45</v>
      </c>
      <c r="R20" s="414">
        <f t="shared" si="7"/>
        <v>9609.1499999999978</v>
      </c>
      <c r="S20" s="414">
        <f t="shared" si="7"/>
        <v>9337.3499999999985</v>
      </c>
      <c r="V20" s="412" t="s">
        <v>408</v>
      </c>
      <c r="W20" s="413">
        <f t="shared" ref="W20:AC20" si="8">SUM(W15:W18)</f>
        <v>7109.3377142857144</v>
      </c>
      <c r="X20" s="413">
        <f t="shared" si="8"/>
        <v>8434.4892420361248</v>
      </c>
      <c r="Y20" s="413">
        <f t="shared" si="8"/>
        <v>8481.2246778325116</v>
      </c>
      <c r="Z20" s="413">
        <f t="shared" si="8"/>
        <v>9573.7601136289013</v>
      </c>
      <c r="AA20" s="413">
        <f t="shared" si="8"/>
        <v>157730.43003218391</v>
      </c>
      <c r="AB20" s="413">
        <f t="shared" si="8"/>
        <v>171167.96546798031</v>
      </c>
      <c r="AC20" s="413">
        <f t="shared" si="8"/>
        <v>169975.32274285718</v>
      </c>
      <c r="AD20" s="413">
        <f>SUM(AD15:AD18)</f>
        <v>164056.95587980299</v>
      </c>
      <c r="AE20" s="413">
        <f>SUM(AE15:AE18)</f>
        <v>212096.2545339902</v>
      </c>
      <c r="AF20" s="413">
        <f>SUM(AF15:AF18)</f>
        <v>208665.52215369462</v>
      </c>
      <c r="AG20" s="413">
        <f>SUM(AG15:AG18)</f>
        <v>203294.68632512321</v>
      </c>
      <c r="AH20" s="413">
        <f>SUM(AH15:AH18)</f>
        <v>224668.10430147784</v>
      </c>
      <c r="AI20" s="413">
        <f t="shared" ref="AI20:AM20" si="9">SUM(AI15:AI18)</f>
        <v>222927.00503645322</v>
      </c>
      <c r="AJ20" s="413">
        <f t="shared" si="9"/>
        <v>226848.90921970442</v>
      </c>
      <c r="AK20" s="413">
        <f t="shared" si="9"/>
        <v>224674.46167881775</v>
      </c>
      <c r="AL20" s="413">
        <f t="shared" si="9"/>
        <v>219576.17965517245</v>
      </c>
      <c r="AM20" s="413">
        <f t="shared" si="9"/>
        <v>212458.88728669949</v>
      </c>
    </row>
    <row r="21" spans="1:39">
      <c r="A21" s="415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</row>
    <row r="22" spans="1:39">
      <c r="A22" s="415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</row>
    <row r="23" spans="1:39">
      <c r="C23" s="417"/>
      <c r="W23" s="418"/>
    </row>
    <row r="24" spans="1:39">
      <c r="B24" s="419" t="s">
        <v>276</v>
      </c>
      <c r="C24" s="420" t="s">
        <v>275</v>
      </c>
      <c r="V24" s="419" t="s">
        <v>276</v>
      </c>
      <c r="W24" s="421" t="s">
        <v>275</v>
      </c>
    </row>
    <row r="25" spans="1:39">
      <c r="B25" s="422" t="s">
        <v>267</v>
      </c>
      <c r="C25" s="423">
        <v>0.1</v>
      </c>
      <c r="F25" s="424"/>
      <c r="V25" s="422"/>
      <c r="W25" s="425"/>
    </row>
    <row r="26" spans="1:39">
      <c r="B26" s="422" t="s">
        <v>268</v>
      </c>
      <c r="C26" s="423">
        <v>0.25</v>
      </c>
      <c r="F26" s="424"/>
      <c r="V26" s="422" t="s">
        <v>269</v>
      </c>
      <c r="W26" s="683">
        <v>3.4482758620689655E-2</v>
      </c>
    </row>
    <row r="27" spans="1:39">
      <c r="B27" s="422" t="s">
        <v>270</v>
      </c>
      <c r="C27" s="423">
        <v>0.1</v>
      </c>
      <c r="F27" s="424"/>
      <c r="V27" s="422" t="s">
        <v>271</v>
      </c>
      <c r="W27" s="423">
        <v>3.3333333333333333E-2</v>
      </c>
    </row>
    <row r="28" spans="1:39">
      <c r="B28" s="422" t="s">
        <v>272</v>
      </c>
      <c r="C28" s="423">
        <v>0.2</v>
      </c>
      <c r="F28" s="424"/>
      <c r="V28" s="422" t="s">
        <v>273</v>
      </c>
      <c r="W28" s="423">
        <v>0.1</v>
      </c>
    </row>
    <row r="29" spans="1:39">
      <c r="B29" s="422" t="s">
        <v>274</v>
      </c>
      <c r="C29" s="423">
        <v>0.1</v>
      </c>
      <c r="F29" s="424"/>
    </row>
    <row r="32" spans="1:39">
      <c r="V32"/>
      <c r="W32"/>
      <c r="X32"/>
      <c r="Y32"/>
      <c r="Z32"/>
      <c r="AA32"/>
    </row>
    <row r="33" spans="2:27">
      <c r="V33"/>
      <c r="W33"/>
      <c r="X33"/>
      <c r="Y33"/>
      <c r="Z33"/>
      <c r="AA33"/>
    </row>
    <row r="34" spans="2:27">
      <c r="V34"/>
      <c r="W34"/>
      <c r="X34"/>
      <c r="Y34"/>
      <c r="Z34"/>
      <c r="AA34"/>
    </row>
    <row r="35" spans="2:27">
      <c r="B35" s="426" t="s">
        <v>277</v>
      </c>
      <c r="C35" s="426">
        <f t="shared" ref="C35:I35" si="10">+C14</f>
        <v>2001</v>
      </c>
      <c r="D35" s="426">
        <f t="shared" si="10"/>
        <v>2002</v>
      </c>
      <c r="E35" s="426">
        <f t="shared" si="10"/>
        <v>2003</v>
      </c>
      <c r="F35" s="426">
        <f t="shared" si="10"/>
        <v>2004</v>
      </c>
      <c r="G35" s="426">
        <f t="shared" si="10"/>
        <v>2005</v>
      </c>
      <c r="H35" s="426">
        <f t="shared" si="10"/>
        <v>2006</v>
      </c>
      <c r="I35" s="426">
        <f t="shared" si="10"/>
        <v>2007</v>
      </c>
      <c r="J35" s="426">
        <f>+J14</f>
        <v>2008</v>
      </c>
      <c r="K35" s="426">
        <f>+K14</f>
        <v>2009</v>
      </c>
      <c r="L35" s="426">
        <f>+L14</f>
        <v>2010</v>
      </c>
      <c r="M35" s="426">
        <f>+M14</f>
        <v>2011</v>
      </c>
      <c r="N35" s="426">
        <f>+N14</f>
        <v>2012</v>
      </c>
      <c r="O35" s="426">
        <f t="shared" ref="O35:S35" si="11">+O14</f>
        <v>2013</v>
      </c>
      <c r="P35" s="426">
        <f t="shared" si="11"/>
        <v>2014</v>
      </c>
      <c r="Q35" s="426">
        <f t="shared" si="11"/>
        <v>2015</v>
      </c>
      <c r="R35" s="426">
        <f t="shared" si="11"/>
        <v>2016</v>
      </c>
      <c r="S35" s="426">
        <f t="shared" si="11"/>
        <v>2017</v>
      </c>
      <c r="V35"/>
      <c r="W35"/>
      <c r="X35"/>
      <c r="Y35"/>
      <c r="Z35"/>
      <c r="AA35"/>
    </row>
    <row r="36" spans="2:27">
      <c r="B36" s="422"/>
      <c r="C36" s="406"/>
      <c r="D36" s="406"/>
      <c r="E36" s="406"/>
      <c r="F36" s="406"/>
      <c r="G36" s="406"/>
      <c r="H36" s="406"/>
      <c r="I36" s="40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V36"/>
      <c r="W36"/>
      <c r="X36"/>
      <c r="Y36"/>
      <c r="Z36"/>
      <c r="AA36"/>
    </row>
    <row r="37" spans="2:27">
      <c r="B37" s="422" t="str">
        <f>+V7</f>
        <v>Mejoras Aeropuerto</v>
      </c>
      <c r="C37" s="406">
        <f>+W16</f>
        <v>2684.1702857142859</v>
      </c>
      <c r="D37" s="406">
        <f t="shared" ref="D37:N39" si="12">+X16</f>
        <v>3852.6126896551727</v>
      </c>
      <c r="E37" s="406">
        <f t="shared" si="12"/>
        <v>3948.5723349753698</v>
      </c>
      <c r="F37" s="406">
        <f t="shared" si="12"/>
        <v>5195.5319802955673</v>
      </c>
      <c r="G37" s="406">
        <f t="shared" si="12"/>
        <v>153165.52610837438</v>
      </c>
      <c r="H37" s="406">
        <f t="shared" si="12"/>
        <v>166289.48575369461</v>
      </c>
      <c r="I37" s="406">
        <f t="shared" si="12"/>
        <v>165420.1005714286</v>
      </c>
      <c r="J37" s="406">
        <f t="shared" si="12"/>
        <v>159541.99125123155</v>
      </c>
      <c r="K37" s="406">
        <f t="shared" si="12"/>
        <v>207621.84744827592</v>
      </c>
      <c r="L37" s="406">
        <f t="shared" si="12"/>
        <v>204363.77261083748</v>
      </c>
      <c r="M37" s="406">
        <f t="shared" si="12"/>
        <v>199249.59432512321</v>
      </c>
      <c r="N37" s="406">
        <f t="shared" si="12"/>
        <v>220327.69190147784</v>
      </c>
      <c r="O37" s="406">
        <f t="shared" ref="O37:S39" si="13">+AI16</f>
        <v>218742.27223645322</v>
      </c>
      <c r="P37" s="406">
        <f t="shared" si="13"/>
        <v>222681.95601970443</v>
      </c>
      <c r="Q37" s="406">
        <f t="shared" si="13"/>
        <v>220632.08807881773</v>
      </c>
      <c r="R37" s="406">
        <f t="shared" si="13"/>
        <v>215735.18565517248</v>
      </c>
      <c r="S37" s="406">
        <f t="shared" si="13"/>
        <v>208491.97288669948</v>
      </c>
      <c r="V37"/>
      <c r="W37"/>
      <c r="X37"/>
      <c r="Y37"/>
      <c r="Z37"/>
      <c r="AA37"/>
    </row>
    <row r="38" spans="2:27">
      <c r="B38" s="422" t="str">
        <f>+V8</f>
        <v>Costos Concesion</v>
      </c>
      <c r="C38" s="406">
        <f>+W17</f>
        <v>3798.3879999999999</v>
      </c>
      <c r="D38" s="406">
        <f t="shared" si="12"/>
        <v>3996.7750666666666</v>
      </c>
      <c r="E38" s="406">
        <f t="shared" si="12"/>
        <v>3810.3287999999998</v>
      </c>
      <c r="F38" s="406">
        <f t="shared" si="12"/>
        <v>3721.8825333333334</v>
      </c>
      <c r="G38" s="406">
        <f t="shared" si="12"/>
        <v>3584.4362666666666</v>
      </c>
      <c r="H38" s="406">
        <f t="shared" si="12"/>
        <v>3447.99</v>
      </c>
      <c r="I38" s="406">
        <f t="shared" si="12"/>
        <v>3310.5104000000001</v>
      </c>
      <c r="J38" s="406">
        <f t="shared" si="12"/>
        <v>3173.0308</v>
      </c>
      <c r="K38" s="406">
        <f t="shared" si="12"/>
        <v>3035.5512000000003</v>
      </c>
      <c r="L38" s="406">
        <f t="shared" si="12"/>
        <v>2898.0716000000002</v>
      </c>
      <c r="M38" s="406">
        <f t="shared" si="12"/>
        <v>2760.5920000000001</v>
      </c>
      <c r="N38" s="406">
        <f t="shared" si="12"/>
        <v>2623.1124</v>
      </c>
      <c r="O38" s="406">
        <f t="shared" si="13"/>
        <v>2485.6328000000003</v>
      </c>
      <c r="P38" s="406">
        <f t="shared" si="13"/>
        <v>2348.1531999999997</v>
      </c>
      <c r="Q38" s="406">
        <f t="shared" si="13"/>
        <v>2210.6735999999996</v>
      </c>
      <c r="R38" s="406">
        <f t="shared" si="13"/>
        <v>2073.194</v>
      </c>
      <c r="S38" s="406">
        <f t="shared" si="13"/>
        <v>1935.7144000000001</v>
      </c>
      <c r="V38"/>
      <c r="W38"/>
      <c r="X38"/>
      <c r="Y38"/>
      <c r="Z38"/>
      <c r="AA38"/>
    </row>
    <row r="39" spans="2:27">
      <c r="B39" s="422" t="str">
        <f>+V9</f>
        <v>Otros</v>
      </c>
      <c r="C39" s="406">
        <f>+W18</f>
        <v>626.77942857142864</v>
      </c>
      <c r="D39" s="406">
        <f t="shared" si="12"/>
        <v>585.10148571428579</v>
      </c>
      <c r="E39" s="406">
        <f t="shared" si="12"/>
        <v>722.32354285714291</v>
      </c>
      <c r="F39" s="406">
        <f t="shared" si="12"/>
        <v>656.3456000000001</v>
      </c>
      <c r="G39" s="406">
        <f t="shared" si="12"/>
        <v>980.46765714285732</v>
      </c>
      <c r="H39" s="406">
        <f t="shared" si="12"/>
        <v>1430.4897142857144</v>
      </c>
      <c r="I39" s="406">
        <f t="shared" si="12"/>
        <v>1244.7117714285716</v>
      </c>
      <c r="J39" s="406">
        <f t="shared" si="12"/>
        <v>1341.9338285714286</v>
      </c>
      <c r="K39" s="406">
        <f t="shared" si="12"/>
        <v>1438.8558857142857</v>
      </c>
      <c r="L39" s="406">
        <f t="shared" si="12"/>
        <v>1403.6779428571429</v>
      </c>
      <c r="M39" s="406">
        <f t="shared" si="12"/>
        <v>1284.5</v>
      </c>
      <c r="N39" s="406">
        <f t="shared" si="12"/>
        <v>1717.3</v>
      </c>
      <c r="O39" s="406">
        <f t="shared" si="13"/>
        <v>1699.1</v>
      </c>
      <c r="P39" s="406">
        <f t="shared" si="13"/>
        <v>1818.8</v>
      </c>
      <c r="Q39" s="406">
        <f t="shared" si="13"/>
        <v>1831.7</v>
      </c>
      <c r="R39" s="406">
        <f t="shared" si="13"/>
        <v>1767.7999999999997</v>
      </c>
      <c r="S39" s="406">
        <f t="shared" si="13"/>
        <v>2031.2</v>
      </c>
      <c r="V39"/>
      <c r="W39"/>
      <c r="X39"/>
      <c r="Y39"/>
      <c r="Z39"/>
      <c r="AA39"/>
    </row>
    <row r="40" spans="2:27">
      <c r="B40" s="422" t="str">
        <f>+B6</f>
        <v>Equipos de Seguridad y Rescate</v>
      </c>
      <c r="C40" s="406">
        <f>+C15</f>
        <v>0</v>
      </c>
      <c r="D40" s="406">
        <f t="shared" ref="D40:N44" si="14">+D15</f>
        <v>3284</v>
      </c>
      <c r="E40" s="406">
        <f t="shared" si="14"/>
        <v>3014.6</v>
      </c>
      <c r="F40" s="406">
        <f t="shared" si="14"/>
        <v>2767.2999999999997</v>
      </c>
      <c r="G40" s="406">
        <f t="shared" si="14"/>
        <v>2424.2999999999997</v>
      </c>
      <c r="H40" s="406">
        <f t="shared" si="14"/>
        <v>2309.2999999999997</v>
      </c>
      <c r="I40" s="406">
        <f t="shared" si="14"/>
        <v>1947.4999999999998</v>
      </c>
      <c r="J40" s="406">
        <f t="shared" si="14"/>
        <v>1185.2999999999993</v>
      </c>
      <c r="K40" s="406">
        <f t="shared" si="14"/>
        <v>978.69999999999925</v>
      </c>
      <c r="L40" s="406">
        <f t="shared" si="14"/>
        <v>769.09999999999923</v>
      </c>
      <c r="M40" s="406">
        <f t="shared" si="14"/>
        <v>625.59999999999923</v>
      </c>
      <c r="N40" s="406">
        <f t="shared" si="14"/>
        <v>261.29999999999916</v>
      </c>
      <c r="O40" s="406">
        <f t="shared" ref="O40:R40" si="15">+O15</f>
        <v>289.59999999999917</v>
      </c>
      <c r="P40" s="406">
        <f t="shared" si="15"/>
        <v>717.49999999999909</v>
      </c>
      <c r="Q40" s="406">
        <f t="shared" si="15"/>
        <v>904.69999999999914</v>
      </c>
      <c r="R40" s="406">
        <f t="shared" si="15"/>
        <v>3266.6999999999989</v>
      </c>
      <c r="S40" s="406">
        <f>+S15</f>
        <v>3021.0999999999995</v>
      </c>
    </row>
    <row r="41" spans="2:27">
      <c r="B41" s="422" t="str">
        <f>+B7</f>
        <v>Equipos de Computo</v>
      </c>
      <c r="C41" s="406">
        <f>+C16</f>
        <v>381.3485714285714</v>
      </c>
      <c r="D41" s="406">
        <f t="shared" si="14"/>
        <v>470.33142857142855</v>
      </c>
      <c r="E41" s="406">
        <f t="shared" si="14"/>
        <v>455.91428571428571</v>
      </c>
      <c r="F41" s="406">
        <f t="shared" si="14"/>
        <v>550.74714285714288</v>
      </c>
      <c r="G41" s="406">
        <f t="shared" si="14"/>
        <v>388.58000000000004</v>
      </c>
      <c r="H41" s="406">
        <f t="shared" si="14"/>
        <v>314.25</v>
      </c>
      <c r="I41" s="406">
        <f t="shared" si="14"/>
        <v>259.5</v>
      </c>
      <c r="J41" s="406">
        <f t="shared" si="14"/>
        <v>389</v>
      </c>
      <c r="K41" s="406">
        <f t="shared" si="14"/>
        <v>397.5</v>
      </c>
      <c r="L41" s="406">
        <f t="shared" si="14"/>
        <v>506.25</v>
      </c>
      <c r="M41" s="406">
        <f t="shared" si="14"/>
        <v>467.5</v>
      </c>
      <c r="N41" s="406">
        <f t="shared" si="14"/>
        <v>432</v>
      </c>
      <c r="O41" s="406">
        <f t="shared" ref="O41:S41" si="16">+O16</f>
        <v>315.75</v>
      </c>
      <c r="P41" s="406">
        <f t="shared" si="16"/>
        <v>407.25</v>
      </c>
      <c r="Q41" s="406">
        <f t="shared" si="16"/>
        <v>289.25</v>
      </c>
      <c r="R41" s="406">
        <f t="shared" si="16"/>
        <v>634.75</v>
      </c>
      <c r="S41" s="406">
        <f t="shared" si="16"/>
        <v>600.25</v>
      </c>
    </row>
    <row r="42" spans="2:27">
      <c r="B42" s="422" t="str">
        <f>+B8</f>
        <v>Equipos Diversos</v>
      </c>
      <c r="C42" s="406">
        <f>+C17</f>
        <v>368.2045714285714</v>
      </c>
      <c r="D42" s="406">
        <f t="shared" si="14"/>
        <v>483.20511428571427</v>
      </c>
      <c r="E42" s="406">
        <f t="shared" si="14"/>
        <v>574.20255714285713</v>
      </c>
      <c r="F42" s="406">
        <f t="shared" si="14"/>
        <v>583.9</v>
      </c>
      <c r="G42" s="406">
        <f t="shared" si="14"/>
        <v>513.9974428571428</v>
      </c>
      <c r="H42" s="406">
        <f t="shared" si="14"/>
        <v>1530.6948857142856</v>
      </c>
      <c r="I42" s="406">
        <f t="shared" si="14"/>
        <v>1472.2923285714285</v>
      </c>
      <c r="J42" s="406">
        <f t="shared" si="14"/>
        <v>1740.3897714285713</v>
      </c>
      <c r="K42" s="406">
        <f t="shared" si="14"/>
        <v>1662.0872142857143</v>
      </c>
      <c r="L42" s="406">
        <f t="shared" si="14"/>
        <v>1643.3846571428569</v>
      </c>
      <c r="M42" s="406">
        <f t="shared" si="14"/>
        <v>1463.6820999999998</v>
      </c>
      <c r="N42" s="406">
        <f t="shared" si="14"/>
        <v>2470.5</v>
      </c>
      <c r="O42" s="406">
        <f t="shared" ref="O42:S42" si="17">+O17</f>
        <v>2305.1999999999998</v>
      </c>
      <c r="P42" s="406">
        <f t="shared" si="17"/>
        <v>2187</v>
      </c>
      <c r="Q42" s="406">
        <f t="shared" si="17"/>
        <v>3336.9</v>
      </c>
      <c r="R42" s="406">
        <f t="shared" si="17"/>
        <v>3291.1000000000004</v>
      </c>
      <c r="S42" s="406">
        <f t="shared" si="17"/>
        <v>3797.5</v>
      </c>
    </row>
    <row r="43" spans="2:27">
      <c r="B43" s="422" t="str">
        <f>+B9</f>
        <v>Unidades de Transporte</v>
      </c>
      <c r="C43" s="406">
        <f>+C18</f>
        <v>285.80114285714285</v>
      </c>
      <c r="D43" s="406">
        <f t="shared" si="14"/>
        <v>296.56491428571428</v>
      </c>
      <c r="E43" s="406">
        <f t="shared" si="14"/>
        <v>225.8198857142857</v>
      </c>
      <c r="F43" s="406">
        <f t="shared" si="14"/>
        <v>220.07485714285713</v>
      </c>
      <c r="G43" s="406">
        <f t="shared" si="14"/>
        <v>136.32982857142855</v>
      </c>
      <c r="H43" s="406">
        <f t="shared" si="14"/>
        <v>185.5848</v>
      </c>
      <c r="I43" s="406">
        <f t="shared" si="14"/>
        <v>217.4</v>
      </c>
      <c r="J43" s="406">
        <f t="shared" si="14"/>
        <v>176.8</v>
      </c>
      <c r="K43" s="406">
        <f t="shared" si="14"/>
        <v>121.00000000000001</v>
      </c>
      <c r="L43" s="406">
        <f t="shared" si="14"/>
        <v>134.40000000000003</v>
      </c>
      <c r="M43" s="406">
        <f t="shared" si="14"/>
        <v>74.599999999999994</v>
      </c>
      <c r="N43" s="406">
        <f t="shared" si="14"/>
        <v>81.400000000000006</v>
      </c>
      <c r="O43" s="406">
        <f t="shared" ref="O43:S43" si="18">+O18</f>
        <v>1657.2</v>
      </c>
      <c r="P43" s="406">
        <f t="shared" si="18"/>
        <v>1452.2</v>
      </c>
      <c r="Q43" s="406">
        <f t="shared" si="18"/>
        <v>1098.8</v>
      </c>
      <c r="R43" s="406">
        <f t="shared" si="18"/>
        <v>1396.8000000000002</v>
      </c>
      <c r="S43" s="406">
        <f t="shared" si="18"/>
        <v>909.59999999999991</v>
      </c>
    </row>
    <row r="44" spans="2:27">
      <c r="B44" s="422" t="str">
        <f>+B10</f>
        <v>Muebles y Enseres</v>
      </c>
      <c r="C44" s="406">
        <f>+C19</f>
        <v>3.4354285714285711</v>
      </c>
      <c r="D44" s="406">
        <f t="shared" si="14"/>
        <v>39.085885714285716</v>
      </c>
      <c r="E44" s="406">
        <f t="shared" si="14"/>
        <v>53.142942857142856</v>
      </c>
      <c r="F44" s="406">
        <f t="shared" si="14"/>
        <v>61.399999999999991</v>
      </c>
      <c r="G44" s="406">
        <f t="shared" si="14"/>
        <v>72.25705714285715</v>
      </c>
      <c r="H44" s="406">
        <f t="shared" si="14"/>
        <v>1096.3141142857144</v>
      </c>
      <c r="I44" s="406">
        <f t="shared" si="14"/>
        <v>1006.0711714285715</v>
      </c>
      <c r="J44" s="406">
        <f t="shared" si="14"/>
        <v>1002.6282285714286</v>
      </c>
      <c r="K44" s="406">
        <f t="shared" si="14"/>
        <v>1011.0852857142859</v>
      </c>
      <c r="L44" s="406">
        <f t="shared" si="14"/>
        <v>903.14234285714303</v>
      </c>
      <c r="M44" s="406">
        <f t="shared" si="14"/>
        <v>848.09940000000017</v>
      </c>
      <c r="N44" s="406">
        <f t="shared" si="14"/>
        <v>863.70000000000016</v>
      </c>
      <c r="O44" s="406">
        <f t="shared" ref="O44:S44" si="19">+O19</f>
        <v>768.30000000000018</v>
      </c>
      <c r="P44" s="406">
        <f t="shared" si="19"/>
        <v>1300.9000000000003</v>
      </c>
      <c r="Q44" s="406">
        <f t="shared" si="19"/>
        <v>1140.8000000000002</v>
      </c>
      <c r="R44" s="406">
        <f t="shared" si="19"/>
        <v>1019.8000000000001</v>
      </c>
      <c r="S44" s="406">
        <f t="shared" si="19"/>
        <v>1008.9000000000001</v>
      </c>
    </row>
    <row r="45" spans="2:27">
      <c r="B45" s="427" t="s">
        <v>12</v>
      </c>
      <c r="C45" s="428">
        <f>SUM(C36:C44)</f>
        <v>8148.1274285714289</v>
      </c>
      <c r="D45" s="428">
        <f t="shared" ref="D45:I45" si="20">SUM(D36:D44)</f>
        <v>13007.676584893266</v>
      </c>
      <c r="E45" s="428">
        <f t="shared" si="20"/>
        <v>12804.904349261082</v>
      </c>
      <c r="F45" s="429">
        <f t="shared" si="20"/>
        <v>13757.1821136289</v>
      </c>
      <c r="G45" s="428">
        <f t="shared" si="20"/>
        <v>161265.89436075531</v>
      </c>
      <c r="H45" s="428">
        <f t="shared" si="20"/>
        <v>176604.10926798033</v>
      </c>
      <c r="I45" s="428">
        <f t="shared" si="20"/>
        <v>174878.08624285719</v>
      </c>
      <c r="J45" s="428">
        <f>SUM(J36:J44)</f>
        <v>168551.07387980298</v>
      </c>
      <c r="K45" s="428">
        <f>SUM(K36:K44)</f>
        <v>216266.6270339902</v>
      </c>
      <c r="L45" s="428">
        <f>SUM(L36:L44)</f>
        <v>212621.79915369462</v>
      </c>
      <c r="M45" s="428">
        <f>SUM(M36:M44)</f>
        <v>206774.16782512324</v>
      </c>
      <c r="N45" s="428">
        <f>SUM(N36:N44)</f>
        <v>228777.00430147783</v>
      </c>
      <c r="O45" s="428">
        <f t="shared" ref="O45:S45" si="21">SUM(O36:O44)</f>
        <v>228263.05503645324</v>
      </c>
      <c r="P45" s="428">
        <f t="shared" si="21"/>
        <v>232913.75921970443</v>
      </c>
      <c r="Q45" s="428">
        <f t="shared" si="21"/>
        <v>231444.91167881773</v>
      </c>
      <c r="R45" s="428">
        <f t="shared" si="21"/>
        <v>229185.32965517245</v>
      </c>
      <c r="S45" s="428">
        <f t="shared" si="21"/>
        <v>221796.2372866995</v>
      </c>
    </row>
    <row r="47" spans="2:27" ht="15.75" thickBot="1"/>
    <row r="48" spans="2:27">
      <c r="B48" s="426" t="s">
        <v>277</v>
      </c>
      <c r="C48" s="426">
        <f t="shared" ref="C48:I48" si="22">+W14</f>
        <v>2001</v>
      </c>
      <c r="D48" s="426">
        <f t="shared" si="22"/>
        <v>2002</v>
      </c>
      <c r="E48" s="426">
        <f t="shared" si="22"/>
        <v>2003</v>
      </c>
      <c r="F48" s="426">
        <f t="shared" si="22"/>
        <v>2004</v>
      </c>
      <c r="G48" s="426">
        <f t="shared" si="22"/>
        <v>2005</v>
      </c>
      <c r="H48" s="426">
        <f t="shared" si="22"/>
        <v>2006</v>
      </c>
      <c r="I48" s="426">
        <f t="shared" si="22"/>
        <v>2007</v>
      </c>
      <c r="J48" s="426">
        <f>+AD14</f>
        <v>2008</v>
      </c>
      <c r="K48" s="426">
        <f>+AE14</f>
        <v>2009</v>
      </c>
      <c r="L48" s="426">
        <f>+AF14</f>
        <v>2010</v>
      </c>
      <c r="M48" s="426">
        <f>+AG14</f>
        <v>2011</v>
      </c>
      <c r="N48" s="426">
        <f>+N35</f>
        <v>2012</v>
      </c>
      <c r="O48" s="426">
        <f t="shared" ref="O48:S48" si="23">+O35</f>
        <v>2013</v>
      </c>
      <c r="P48" s="426">
        <f t="shared" si="23"/>
        <v>2014</v>
      </c>
      <c r="Q48" s="426">
        <f t="shared" si="23"/>
        <v>2015</v>
      </c>
      <c r="R48" s="426">
        <f t="shared" si="23"/>
        <v>2016</v>
      </c>
      <c r="S48" s="426">
        <f t="shared" si="23"/>
        <v>2017</v>
      </c>
      <c r="V48" s="402" t="s">
        <v>18</v>
      </c>
      <c r="W48" s="404" t="s">
        <v>288</v>
      </c>
    </row>
    <row r="49" spans="2:25">
      <c r="B49" s="422"/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16"/>
      <c r="O49" s="416"/>
      <c r="P49" s="416"/>
      <c r="Q49" s="416"/>
      <c r="R49" s="416"/>
      <c r="S49" s="416"/>
      <c r="V49" s="405"/>
      <c r="W49" s="430"/>
    </row>
    <row r="50" spans="2:25">
      <c r="B50" s="422" t="str">
        <f t="shared" ref="B50:B57" si="24">+B37</f>
        <v>Mejoras Aeropuerto</v>
      </c>
      <c r="C50" s="431">
        <f t="shared" ref="C50:N57" si="25">+C37*1000</f>
        <v>2684170.2857142859</v>
      </c>
      <c r="D50" s="431">
        <f t="shared" si="25"/>
        <v>3852612.6896551726</v>
      </c>
      <c r="E50" s="431">
        <f t="shared" si="25"/>
        <v>3948572.3349753697</v>
      </c>
      <c r="F50" s="431">
        <f t="shared" si="25"/>
        <v>5195531.9802955678</v>
      </c>
      <c r="G50" s="431">
        <f t="shared" si="25"/>
        <v>153165526.10837439</v>
      </c>
      <c r="H50" s="431">
        <f t="shared" si="25"/>
        <v>166289485.75369459</v>
      </c>
      <c r="I50" s="431">
        <f t="shared" si="25"/>
        <v>165420100.5714286</v>
      </c>
      <c r="J50" s="431">
        <f t="shared" si="25"/>
        <v>159541991.25123155</v>
      </c>
      <c r="K50" s="431">
        <f t="shared" si="25"/>
        <v>207621847.44827592</v>
      </c>
      <c r="L50" s="431">
        <f t="shared" si="25"/>
        <v>204363772.61083749</v>
      </c>
      <c r="M50" s="431">
        <f t="shared" si="25"/>
        <v>199249594.32512322</v>
      </c>
      <c r="N50" s="431">
        <f t="shared" si="25"/>
        <v>220327691.90147784</v>
      </c>
      <c r="O50" s="431">
        <f t="shared" ref="O50:S50" si="26">+O37*1000</f>
        <v>218742272.23645324</v>
      </c>
      <c r="P50" s="431">
        <f t="shared" si="26"/>
        <v>222681956.01970443</v>
      </c>
      <c r="Q50" s="431">
        <f t="shared" si="26"/>
        <v>220632088.07881773</v>
      </c>
      <c r="R50" s="431">
        <f t="shared" si="26"/>
        <v>215735185.65517247</v>
      </c>
      <c r="S50" s="431">
        <f t="shared" si="26"/>
        <v>208491972.8866995</v>
      </c>
      <c r="V50" s="405" t="str">
        <f t="shared" ref="V50:V57" si="27">+B50</f>
        <v>Mejoras Aeropuerto</v>
      </c>
      <c r="W50" s="624">
        <f>+W26</f>
        <v>3.4482758620689655E-2</v>
      </c>
      <c r="Y50" s="432"/>
    </row>
    <row r="51" spans="2:25">
      <c r="B51" s="422" t="str">
        <f t="shared" si="24"/>
        <v>Costos Concesion</v>
      </c>
      <c r="C51" s="431">
        <f t="shared" si="25"/>
        <v>3798388</v>
      </c>
      <c r="D51" s="431">
        <f t="shared" si="25"/>
        <v>3996775.0666666664</v>
      </c>
      <c r="E51" s="431">
        <f t="shared" si="25"/>
        <v>3810328.8</v>
      </c>
      <c r="F51" s="431">
        <f t="shared" si="25"/>
        <v>3721882.5333333332</v>
      </c>
      <c r="G51" s="431">
        <f t="shared" si="25"/>
        <v>3584436.2666666666</v>
      </c>
      <c r="H51" s="431">
        <f t="shared" si="25"/>
        <v>3447990</v>
      </c>
      <c r="I51" s="431">
        <f t="shared" si="25"/>
        <v>3310510.4</v>
      </c>
      <c r="J51" s="431">
        <f t="shared" si="25"/>
        <v>3173030.8</v>
      </c>
      <c r="K51" s="431">
        <f t="shared" si="25"/>
        <v>3035551.2</v>
      </c>
      <c r="L51" s="431">
        <f t="shared" si="25"/>
        <v>2898071.6</v>
      </c>
      <c r="M51" s="431">
        <f t="shared" si="25"/>
        <v>2760592</v>
      </c>
      <c r="N51" s="431">
        <f t="shared" si="25"/>
        <v>2623112.4</v>
      </c>
      <c r="O51" s="431">
        <f t="shared" ref="O51:S51" si="28">+O38*1000</f>
        <v>2485632.8000000003</v>
      </c>
      <c r="P51" s="431">
        <f t="shared" si="28"/>
        <v>2348153.1999999997</v>
      </c>
      <c r="Q51" s="431">
        <f t="shared" si="28"/>
        <v>2210673.5999999996</v>
      </c>
      <c r="R51" s="431">
        <f t="shared" si="28"/>
        <v>2073194</v>
      </c>
      <c r="S51" s="431">
        <f t="shared" si="28"/>
        <v>1935714.4000000001</v>
      </c>
      <c r="V51" s="405" t="str">
        <f t="shared" si="27"/>
        <v>Costos Concesion</v>
      </c>
      <c r="W51" s="433">
        <f>+W27</f>
        <v>3.3333333333333333E-2</v>
      </c>
      <c r="Y51" s="432"/>
    </row>
    <row r="52" spans="2:25">
      <c r="B52" s="422" t="str">
        <f t="shared" si="24"/>
        <v>Otros</v>
      </c>
      <c r="C52" s="431">
        <f t="shared" si="25"/>
        <v>626779.42857142864</v>
      </c>
      <c r="D52" s="431">
        <f t="shared" si="25"/>
        <v>585101.48571428575</v>
      </c>
      <c r="E52" s="431">
        <f t="shared" si="25"/>
        <v>722323.54285714286</v>
      </c>
      <c r="F52" s="431">
        <f t="shared" si="25"/>
        <v>656345.60000000009</v>
      </c>
      <c r="G52" s="431">
        <f t="shared" si="25"/>
        <v>980467.65714285732</v>
      </c>
      <c r="H52" s="431">
        <f t="shared" si="25"/>
        <v>1430489.7142857143</v>
      </c>
      <c r="I52" s="431">
        <f t="shared" si="25"/>
        <v>1244711.7714285715</v>
      </c>
      <c r="J52" s="431">
        <f t="shared" si="25"/>
        <v>1341933.8285714285</v>
      </c>
      <c r="K52" s="431">
        <f t="shared" si="25"/>
        <v>1438855.8857142858</v>
      </c>
      <c r="L52" s="431">
        <f t="shared" si="25"/>
        <v>1403677.9428571428</v>
      </c>
      <c r="M52" s="431">
        <f t="shared" si="25"/>
        <v>1284500</v>
      </c>
      <c r="N52" s="431">
        <f t="shared" si="25"/>
        <v>1717300</v>
      </c>
      <c r="O52" s="431">
        <f t="shared" ref="O52:S52" si="29">+O39*1000</f>
        <v>1699100</v>
      </c>
      <c r="P52" s="431">
        <f t="shared" si="29"/>
        <v>1818800</v>
      </c>
      <c r="Q52" s="431">
        <f t="shared" si="29"/>
        <v>1831700</v>
      </c>
      <c r="R52" s="431">
        <f t="shared" si="29"/>
        <v>1767799.9999999998</v>
      </c>
      <c r="S52" s="431">
        <f t="shared" si="29"/>
        <v>2031200</v>
      </c>
      <c r="V52" s="405" t="str">
        <f t="shared" si="27"/>
        <v>Otros</v>
      </c>
      <c r="W52" s="433">
        <f>+W28</f>
        <v>0.1</v>
      </c>
      <c r="Y52" s="432"/>
    </row>
    <row r="53" spans="2:25">
      <c r="B53" s="422" t="str">
        <f t="shared" si="24"/>
        <v>Equipos de Seguridad y Rescate</v>
      </c>
      <c r="C53" s="431">
        <f t="shared" si="25"/>
        <v>0</v>
      </c>
      <c r="D53" s="431">
        <f t="shared" si="25"/>
        <v>3284000</v>
      </c>
      <c r="E53" s="431">
        <f t="shared" si="25"/>
        <v>3014600</v>
      </c>
      <c r="F53" s="431">
        <f t="shared" si="25"/>
        <v>2767299.9999999995</v>
      </c>
      <c r="G53" s="431">
        <f t="shared" si="25"/>
        <v>2424299.9999999995</v>
      </c>
      <c r="H53" s="431">
        <f t="shared" si="25"/>
        <v>2309299.9999999995</v>
      </c>
      <c r="I53" s="431">
        <f t="shared" si="25"/>
        <v>1947499.9999999998</v>
      </c>
      <c r="J53" s="431">
        <f t="shared" si="25"/>
        <v>1185299.9999999993</v>
      </c>
      <c r="K53" s="431">
        <f t="shared" si="25"/>
        <v>978699.9999999993</v>
      </c>
      <c r="L53" s="431">
        <f t="shared" si="25"/>
        <v>769099.99999999919</v>
      </c>
      <c r="M53" s="431">
        <f t="shared" si="25"/>
        <v>625599.99999999919</v>
      </c>
      <c r="N53" s="431">
        <f t="shared" si="25"/>
        <v>261299.99999999916</v>
      </c>
      <c r="O53" s="431">
        <f t="shared" ref="O53:S53" si="30">+O40*1000</f>
        <v>289599.99999999919</v>
      </c>
      <c r="P53" s="431">
        <f t="shared" si="30"/>
        <v>717499.99999999907</v>
      </c>
      <c r="Q53" s="431">
        <f t="shared" si="30"/>
        <v>904699.99999999919</v>
      </c>
      <c r="R53" s="431">
        <f t="shared" si="30"/>
        <v>3266699.9999999991</v>
      </c>
      <c r="S53" s="431">
        <f t="shared" si="30"/>
        <v>3021099.9999999995</v>
      </c>
      <c r="V53" s="405" t="str">
        <f t="shared" si="27"/>
        <v>Equipos de Seguridad y Rescate</v>
      </c>
      <c r="W53" s="433">
        <f>+C25</f>
        <v>0.1</v>
      </c>
      <c r="Y53" s="432"/>
    </row>
    <row r="54" spans="2:25">
      <c r="B54" s="422" t="str">
        <f t="shared" si="24"/>
        <v>Equipos de Computo</v>
      </c>
      <c r="C54" s="431">
        <f t="shared" si="25"/>
        <v>381348.57142857142</v>
      </c>
      <c r="D54" s="431">
        <f t="shared" si="25"/>
        <v>470331.42857142852</v>
      </c>
      <c r="E54" s="431">
        <f t="shared" si="25"/>
        <v>455914.28571428574</v>
      </c>
      <c r="F54" s="431">
        <f t="shared" si="25"/>
        <v>550747.14285714284</v>
      </c>
      <c r="G54" s="431">
        <f t="shared" si="25"/>
        <v>388580.00000000006</v>
      </c>
      <c r="H54" s="431">
        <f t="shared" si="25"/>
        <v>314250</v>
      </c>
      <c r="I54" s="431">
        <f t="shared" si="25"/>
        <v>259500</v>
      </c>
      <c r="J54" s="431">
        <f t="shared" si="25"/>
        <v>389000</v>
      </c>
      <c r="K54" s="431">
        <f t="shared" si="25"/>
        <v>397500</v>
      </c>
      <c r="L54" s="431">
        <f t="shared" si="25"/>
        <v>506250</v>
      </c>
      <c r="M54" s="431">
        <f t="shared" si="25"/>
        <v>467500</v>
      </c>
      <c r="N54" s="431">
        <f t="shared" si="25"/>
        <v>432000</v>
      </c>
      <c r="O54" s="431">
        <f t="shared" ref="O54:S54" si="31">+O41*1000</f>
        <v>315750</v>
      </c>
      <c r="P54" s="431">
        <f t="shared" si="31"/>
        <v>407250</v>
      </c>
      <c r="Q54" s="431">
        <f t="shared" si="31"/>
        <v>289250</v>
      </c>
      <c r="R54" s="431">
        <f t="shared" si="31"/>
        <v>634750</v>
      </c>
      <c r="S54" s="431">
        <f t="shared" si="31"/>
        <v>600250</v>
      </c>
      <c r="V54" s="405" t="str">
        <f t="shared" si="27"/>
        <v>Equipos de Computo</v>
      </c>
      <c r="W54" s="433">
        <f>+C26</f>
        <v>0.25</v>
      </c>
      <c r="Y54" s="432"/>
    </row>
    <row r="55" spans="2:25">
      <c r="B55" s="422" t="str">
        <f t="shared" si="24"/>
        <v>Equipos Diversos</v>
      </c>
      <c r="C55" s="431">
        <f t="shared" si="25"/>
        <v>368204.57142857142</v>
      </c>
      <c r="D55" s="431">
        <f t="shared" si="25"/>
        <v>483205.11428571428</v>
      </c>
      <c r="E55" s="431">
        <f t="shared" si="25"/>
        <v>574202.55714285711</v>
      </c>
      <c r="F55" s="431">
        <f t="shared" si="25"/>
        <v>583900</v>
      </c>
      <c r="G55" s="431">
        <f t="shared" si="25"/>
        <v>513997.44285714283</v>
      </c>
      <c r="H55" s="431">
        <f t="shared" si="25"/>
        <v>1530694.8857142855</v>
      </c>
      <c r="I55" s="431">
        <f t="shared" si="25"/>
        <v>1472292.3285714285</v>
      </c>
      <c r="J55" s="431">
        <f t="shared" si="25"/>
        <v>1740389.7714285713</v>
      </c>
      <c r="K55" s="431">
        <f t="shared" si="25"/>
        <v>1662087.2142857143</v>
      </c>
      <c r="L55" s="431">
        <f t="shared" si="25"/>
        <v>1643384.6571428569</v>
      </c>
      <c r="M55" s="431">
        <f t="shared" si="25"/>
        <v>1463682.0999999999</v>
      </c>
      <c r="N55" s="431">
        <f t="shared" si="25"/>
        <v>2470500</v>
      </c>
      <c r="O55" s="431">
        <f t="shared" ref="O55:S55" si="32">+O42*1000</f>
        <v>2305200</v>
      </c>
      <c r="P55" s="431">
        <f t="shared" si="32"/>
        <v>2187000</v>
      </c>
      <c r="Q55" s="431">
        <f t="shared" si="32"/>
        <v>3336900</v>
      </c>
      <c r="R55" s="431">
        <f t="shared" si="32"/>
        <v>3291100.0000000005</v>
      </c>
      <c r="S55" s="431">
        <f t="shared" si="32"/>
        <v>3797500</v>
      </c>
      <c r="V55" s="405" t="str">
        <f t="shared" si="27"/>
        <v>Equipos Diversos</v>
      </c>
      <c r="W55" s="433">
        <f>+C27</f>
        <v>0.1</v>
      </c>
      <c r="Y55" s="432"/>
    </row>
    <row r="56" spans="2:25">
      <c r="B56" s="422" t="str">
        <f t="shared" si="24"/>
        <v>Unidades de Transporte</v>
      </c>
      <c r="C56" s="431">
        <f t="shared" si="25"/>
        <v>285801.14285714284</v>
      </c>
      <c r="D56" s="431">
        <f t="shared" si="25"/>
        <v>296564.91428571427</v>
      </c>
      <c r="E56" s="431">
        <f t="shared" si="25"/>
        <v>225819.88571428572</v>
      </c>
      <c r="F56" s="431">
        <f t="shared" si="25"/>
        <v>220074.85714285713</v>
      </c>
      <c r="G56" s="431">
        <f t="shared" si="25"/>
        <v>136329.82857142854</v>
      </c>
      <c r="H56" s="431">
        <f t="shared" si="25"/>
        <v>185584.8</v>
      </c>
      <c r="I56" s="431">
        <f t="shared" si="25"/>
        <v>217400</v>
      </c>
      <c r="J56" s="431">
        <f t="shared" si="25"/>
        <v>176800</v>
      </c>
      <c r="K56" s="431">
        <f t="shared" si="25"/>
        <v>121000.00000000001</v>
      </c>
      <c r="L56" s="431">
        <f t="shared" si="25"/>
        <v>134400.00000000003</v>
      </c>
      <c r="M56" s="431">
        <f t="shared" si="25"/>
        <v>74600</v>
      </c>
      <c r="N56" s="431">
        <f t="shared" si="25"/>
        <v>81400</v>
      </c>
      <c r="O56" s="431">
        <f t="shared" ref="O56:S56" si="33">+O43*1000</f>
        <v>1657200</v>
      </c>
      <c r="P56" s="431">
        <f t="shared" si="33"/>
        <v>1452200</v>
      </c>
      <c r="Q56" s="431">
        <f t="shared" si="33"/>
        <v>1098800</v>
      </c>
      <c r="R56" s="431">
        <f t="shared" si="33"/>
        <v>1396800.0000000002</v>
      </c>
      <c r="S56" s="431">
        <f t="shared" si="33"/>
        <v>909599.99999999988</v>
      </c>
      <c r="V56" s="405" t="str">
        <f t="shared" si="27"/>
        <v>Unidades de Transporte</v>
      </c>
      <c r="W56" s="433">
        <f>+C28</f>
        <v>0.2</v>
      </c>
      <c r="Y56" s="432"/>
    </row>
    <row r="57" spans="2:25" ht="15.75" thickBot="1">
      <c r="B57" s="422" t="str">
        <f t="shared" si="24"/>
        <v>Muebles y Enseres</v>
      </c>
      <c r="C57" s="431">
        <f t="shared" si="25"/>
        <v>3435.4285714285711</v>
      </c>
      <c r="D57" s="431">
        <f t="shared" si="25"/>
        <v>39085.885714285716</v>
      </c>
      <c r="E57" s="431">
        <f t="shared" si="25"/>
        <v>53142.942857142858</v>
      </c>
      <c r="F57" s="431">
        <f t="shared" si="25"/>
        <v>61399.999999999993</v>
      </c>
      <c r="G57" s="431">
        <f t="shared" si="25"/>
        <v>72257.057142857157</v>
      </c>
      <c r="H57" s="431">
        <f t="shared" si="25"/>
        <v>1096314.1142857145</v>
      </c>
      <c r="I57" s="431">
        <f t="shared" si="25"/>
        <v>1006071.1714285715</v>
      </c>
      <c r="J57" s="431">
        <f t="shared" si="25"/>
        <v>1002628.2285714286</v>
      </c>
      <c r="K57" s="431">
        <f t="shared" si="25"/>
        <v>1011085.2857142859</v>
      </c>
      <c r="L57" s="431">
        <f t="shared" si="25"/>
        <v>903142.34285714303</v>
      </c>
      <c r="M57" s="431">
        <f t="shared" si="25"/>
        <v>848099.40000000014</v>
      </c>
      <c r="N57" s="431">
        <f t="shared" si="25"/>
        <v>863700.00000000012</v>
      </c>
      <c r="O57" s="431">
        <f t="shared" ref="O57:S57" si="34">+O44*1000</f>
        <v>768300.00000000023</v>
      </c>
      <c r="P57" s="431">
        <f t="shared" si="34"/>
        <v>1300900.0000000002</v>
      </c>
      <c r="Q57" s="431">
        <f t="shared" si="34"/>
        <v>1140800.0000000002</v>
      </c>
      <c r="R57" s="431">
        <f t="shared" si="34"/>
        <v>1019800.0000000001</v>
      </c>
      <c r="S57" s="431">
        <f t="shared" si="34"/>
        <v>1008900.0000000001</v>
      </c>
      <c r="V57" s="434" t="str">
        <f t="shared" si="27"/>
        <v>Muebles y Enseres</v>
      </c>
      <c r="W57" s="435">
        <f>+C29</f>
        <v>0.1</v>
      </c>
      <c r="Y57" s="432"/>
    </row>
    <row r="58" spans="2:25">
      <c r="B58" s="427" t="s">
        <v>12</v>
      </c>
      <c r="C58" s="428">
        <f t="shared" ref="C58:I58" si="35">SUM(C49:C57)</f>
        <v>8148127.4285714291</v>
      </c>
      <c r="D58" s="428">
        <f t="shared" si="35"/>
        <v>13007676.584893268</v>
      </c>
      <c r="E58" s="428">
        <f t="shared" si="35"/>
        <v>12804904.349261083</v>
      </c>
      <c r="F58" s="429">
        <f t="shared" si="35"/>
        <v>13757182.1136289</v>
      </c>
      <c r="G58" s="428">
        <f t="shared" si="35"/>
        <v>161265894.36075535</v>
      </c>
      <c r="H58" s="428">
        <f t="shared" si="35"/>
        <v>176604109.26798031</v>
      </c>
      <c r="I58" s="428">
        <f t="shared" si="35"/>
        <v>174878086.24285719</v>
      </c>
      <c r="J58" s="428">
        <f>SUM(J49:J57)</f>
        <v>168551073.879803</v>
      </c>
      <c r="K58" s="428">
        <f>SUM(K49:K57)</f>
        <v>216266627.0339902</v>
      </c>
      <c r="L58" s="428">
        <f>SUM(L49:L57)</f>
        <v>212621799.15369463</v>
      </c>
      <c r="M58" s="428">
        <f>SUM(M49:M57)</f>
        <v>206774167.82512322</v>
      </c>
      <c r="N58" s="428">
        <f>SUM(N49:N57)</f>
        <v>228777004.30147785</v>
      </c>
      <c r="O58" s="428">
        <f t="shared" ref="O58:S58" si="36">SUM(O49:O57)</f>
        <v>228263055.03645325</v>
      </c>
      <c r="P58" s="428">
        <f t="shared" si="36"/>
        <v>232913759.21970442</v>
      </c>
      <c r="Q58" s="428">
        <f t="shared" si="36"/>
        <v>231444911.67881772</v>
      </c>
      <c r="R58" s="428">
        <f t="shared" si="36"/>
        <v>229185329.65517247</v>
      </c>
      <c r="S58" s="428">
        <f t="shared" si="36"/>
        <v>221796237.2866995</v>
      </c>
    </row>
    <row r="61" spans="2:25">
      <c r="J61" s="436"/>
      <c r="K61" s="436"/>
      <c r="L61" s="436"/>
      <c r="M61" s="436"/>
      <c r="N61" s="436"/>
      <c r="O61" s="436"/>
      <c r="P61" s="436"/>
      <c r="Q61" s="436"/>
      <c r="R61" s="436"/>
      <c r="S61" s="436"/>
    </row>
    <row r="63" spans="2:25">
      <c r="J63" s="411"/>
      <c r="K63" s="411"/>
      <c r="L63" s="411"/>
      <c r="M63" s="411"/>
      <c r="N63" s="411"/>
      <c r="O63" s="411"/>
      <c r="P63" s="411"/>
      <c r="Q63" s="411"/>
      <c r="R63" s="411"/>
      <c r="S63" s="411"/>
    </row>
    <row r="65" spans="11:19">
      <c r="K65" s="411"/>
      <c r="L65" s="411"/>
      <c r="M65" s="411"/>
      <c r="N65" s="411"/>
      <c r="O65" s="411"/>
      <c r="P65" s="411"/>
      <c r="Q65" s="411"/>
      <c r="R65" s="411"/>
      <c r="S65" s="411"/>
    </row>
  </sheetData>
  <mergeCells count="2">
    <mergeCell ref="B3:I3"/>
    <mergeCell ref="V3:AC3"/>
  </mergeCells>
  <pageMargins left="0.35433070866141736" right="0.43307086614173229" top="0.98425196850393704" bottom="0.98425196850393704" header="0.51181102362204722" footer="0.51181102362204722"/>
  <pageSetup paperSize="9" scale="2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L223"/>
  <sheetViews>
    <sheetView showGridLines="0" zoomScale="70" zoomScaleNormal="70" workbookViewId="0">
      <selection activeCell="Y30" sqref="Y30"/>
    </sheetView>
  </sheetViews>
  <sheetFormatPr baseColWidth="10" defaultColWidth="11.42578125" defaultRowHeight="12.75" outlineLevelRow="1"/>
  <cols>
    <col min="1" max="1" width="30" style="437" customWidth="1"/>
    <col min="2" max="19" width="11.42578125" style="437" customWidth="1"/>
    <col min="20" max="20" width="20.28515625" style="437" customWidth="1"/>
    <col min="21" max="32" width="11.42578125" style="437"/>
    <col min="33" max="33" width="16.7109375" style="437" bestFit="1" customWidth="1"/>
    <col min="34" max="16384" width="11.42578125" style="437"/>
  </cols>
  <sheetData>
    <row r="2" spans="1:38" ht="15.75" thickBot="1">
      <c r="A2" s="400" t="s">
        <v>284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T2" s="400" t="s">
        <v>283</v>
      </c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</row>
    <row r="3" spans="1:38" ht="15">
      <c r="A3" s="402" t="s">
        <v>280</v>
      </c>
      <c r="B3" s="403">
        <v>2001</v>
      </c>
      <c r="C3" s="403">
        <v>2002</v>
      </c>
      <c r="D3" s="403">
        <v>2003</v>
      </c>
      <c r="E3" s="403">
        <v>2004</v>
      </c>
      <c r="F3" s="403">
        <v>2005</v>
      </c>
      <c r="G3" s="403">
        <v>2006</v>
      </c>
      <c r="H3" s="404">
        <v>2007</v>
      </c>
      <c r="I3" s="403">
        <v>2008</v>
      </c>
      <c r="J3" s="404">
        <v>2009</v>
      </c>
      <c r="K3" s="403">
        <v>2010</v>
      </c>
      <c r="L3" s="404">
        <v>2011</v>
      </c>
      <c r="M3" s="404">
        <v>2012</v>
      </c>
      <c r="N3" s="404">
        <v>2013</v>
      </c>
      <c r="O3" s="404">
        <v>2014</v>
      </c>
      <c r="P3" s="404">
        <v>2015</v>
      </c>
      <c r="Q3" s="404">
        <v>2016</v>
      </c>
      <c r="R3" s="404">
        <v>2017</v>
      </c>
      <c r="T3" s="402" t="s">
        <v>280</v>
      </c>
      <c r="U3" s="403">
        <v>2001</v>
      </c>
      <c r="V3" s="403">
        <v>2002</v>
      </c>
      <c r="W3" s="403">
        <v>2003</v>
      </c>
      <c r="X3" s="403">
        <v>2004</v>
      </c>
      <c r="Y3" s="403">
        <v>2005</v>
      </c>
      <c r="Z3" s="403">
        <v>2006</v>
      </c>
      <c r="AA3" s="404">
        <v>2007</v>
      </c>
      <c r="AB3" s="403">
        <v>2008</v>
      </c>
      <c r="AC3" s="404">
        <v>2009</v>
      </c>
      <c r="AD3" s="403">
        <v>2010</v>
      </c>
      <c r="AE3" s="404">
        <v>2011</v>
      </c>
      <c r="AF3" s="403">
        <v>2012</v>
      </c>
      <c r="AG3" s="404">
        <v>2013</v>
      </c>
      <c r="AH3" s="403">
        <v>2014</v>
      </c>
      <c r="AI3" s="404">
        <v>2015</v>
      </c>
      <c r="AJ3" s="403">
        <v>2016</v>
      </c>
      <c r="AK3" s="404">
        <v>2017</v>
      </c>
    </row>
    <row r="4" spans="1:38" ht="15">
      <c r="A4" s="405" t="s">
        <v>216</v>
      </c>
      <c r="B4" s="406">
        <f>+'INPUT K'!C6*12/10.5</f>
        <v>0</v>
      </c>
      <c r="C4" s="406">
        <f>+'INPUT K'!D6</f>
        <v>3284</v>
      </c>
      <c r="D4" s="406">
        <f>+'INPUT K'!E6</f>
        <v>59</v>
      </c>
      <c r="E4" s="406">
        <f>+'INPUT K'!F6</f>
        <v>87</v>
      </c>
      <c r="F4" s="406">
        <f>+'INPUT K'!G6</f>
        <v>0</v>
      </c>
      <c r="G4" s="406">
        <f>+'INPUT K'!H6</f>
        <v>228</v>
      </c>
      <c r="H4" s="406">
        <f>+'INPUT K'!I6</f>
        <v>4</v>
      </c>
      <c r="I4" s="406">
        <f>+'INPUT K'!J6</f>
        <v>-396</v>
      </c>
      <c r="J4" s="406">
        <f>+'INPUT K'!K6</f>
        <v>120</v>
      </c>
      <c r="K4" s="406">
        <f>+'INPUT K'!L6</f>
        <v>129</v>
      </c>
      <c r="L4" s="406">
        <f>+'INPUT K'!M6</f>
        <v>208</v>
      </c>
      <c r="M4" s="406">
        <f>+'INPUT K'!N6</f>
        <v>8</v>
      </c>
      <c r="N4" s="406">
        <f>+'INPUT K'!O6</f>
        <v>73</v>
      </c>
      <c r="O4" s="406">
        <f>+'INPUT K'!P6</f>
        <v>474</v>
      </c>
      <c r="P4" s="406">
        <f>+'INPUT K'!Q6</f>
        <v>272</v>
      </c>
      <c r="Q4" s="406">
        <f>+'INPUT K'!R6</f>
        <v>2474</v>
      </c>
      <c r="R4" s="406">
        <f>+'INPUT K'!S6</f>
        <v>91</v>
      </c>
      <c r="T4" s="405"/>
      <c r="U4" s="406"/>
      <c r="V4" s="406"/>
      <c r="W4" s="406"/>
      <c r="X4" s="406"/>
      <c r="Y4" s="406"/>
      <c r="Z4" s="406"/>
      <c r="AA4" s="407"/>
      <c r="AB4" s="416"/>
      <c r="AC4" s="416"/>
      <c r="AD4" s="416"/>
      <c r="AE4" s="416"/>
      <c r="AF4" s="416"/>
    </row>
    <row r="5" spans="1:38" ht="15">
      <c r="A5" s="405" t="s">
        <v>286</v>
      </c>
      <c r="B5" s="406">
        <f>+'INPUT K'!C7*12/10.5</f>
        <v>381.3485714285714</v>
      </c>
      <c r="C5" s="406">
        <f>+'INPUT K'!D7</f>
        <v>184.32</v>
      </c>
      <c r="D5" s="406">
        <f>+'INPUT K'!E7</f>
        <v>127</v>
      </c>
      <c r="E5" s="406">
        <f>+'INPUT K'!F7</f>
        <v>268</v>
      </c>
      <c r="F5" s="406">
        <f>+'INPUT K'!G7</f>
        <v>78</v>
      </c>
      <c r="G5" s="406">
        <f>+'INPUT K'!H7</f>
        <v>90</v>
      </c>
      <c r="H5" s="406">
        <f>+'INPUT K'!I7</f>
        <v>86</v>
      </c>
      <c r="I5" s="406">
        <f>+'INPUT K'!J7</f>
        <v>260</v>
      </c>
      <c r="J5" s="406">
        <f>+'INPUT K'!K7</f>
        <v>137</v>
      </c>
      <c r="K5" s="406">
        <f>+'INPUT K'!L7</f>
        <v>252</v>
      </c>
      <c r="L5" s="406">
        <f>+'INPUT K'!M7</f>
        <v>145</v>
      </c>
      <c r="M5" s="406">
        <f>+'INPUT K'!N7</f>
        <v>163</v>
      </c>
      <c r="N5" s="406">
        <f>+'INPUT K'!O7</f>
        <v>58</v>
      </c>
      <c r="O5" s="406">
        <f>+'INPUT K'!P7</f>
        <v>246</v>
      </c>
      <c r="P5" s="406">
        <f>+'INPUT K'!Q7</f>
        <v>35</v>
      </c>
      <c r="Q5" s="406">
        <f>+'INPUT K'!R7</f>
        <v>471</v>
      </c>
      <c r="R5" s="406">
        <f>+'INPUT K'!S7</f>
        <v>168</v>
      </c>
      <c r="T5" s="405" t="s">
        <v>269</v>
      </c>
      <c r="U5" s="406">
        <f>2348.649*12/10.5</f>
        <v>2684.1702857142859</v>
      </c>
      <c r="V5" s="410">
        <f>+'INPUT K'!X7</f>
        <v>1261</v>
      </c>
      <c r="W5" s="410">
        <f>+'INPUT K'!Y7</f>
        <v>232</v>
      </c>
      <c r="X5" s="410">
        <f>+'INPUT K'!Z7</f>
        <v>1391</v>
      </c>
      <c r="Y5" s="410">
        <f>+'INPUT K'!AA7</f>
        <v>148162</v>
      </c>
      <c r="Z5" s="410">
        <f>+'INPUT K'!AB7</f>
        <v>18425</v>
      </c>
      <c r="AA5" s="407">
        <f>+'INPUT K'!AC7</f>
        <v>5067</v>
      </c>
      <c r="AB5" s="410">
        <f>+'INPUT K'!AD7</f>
        <v>233</v>
      </c>
      <c r="AC5" s="410">
        <f>+'INPUT K'!AE7</f>
        <v>54199</v>
      </c>
      <c r="AD5" s="410">
        <f>+'INPUT K'!AF7</f>
        <v>4730</v>
      </c>
      <c r="AE5" s="410">
        <f>+'INPUT K'!AG7</f>
        <v>3037</v>
      </c>
      <c r="AF5" s="410">
        <f>+'INPUT K'!AH7</f>
        <v>29334</v>
      </c>
      <c r="AG5" s="410">
        <f>+'INPUT K'!AI7</f>
        <v>7682</v>
      </c>
      <c r="AH5" s="410">
        <f>+'INPUT K'!AJ7</f>
        <v>13472</v>
      </c>
      <c r="AI5" s="410">
        <f>+'INPUT K'!AK7</f>
        <v>7947</v>
      </c>
      <c r="AJ5" s="410">
        <f>+'INPUT K'!AL7</f>
        <v>5374</v>
      </c>
      <c r="AK5" s="410">
        <f>+'INPUT K'!AM7</f>
        <v>3213</v>
      </c>
    </row>
    <row r="6" spans="1:38" ht="15">
      <c r="A6" s="405" t="s">
        <v>215</v>
      </c>
      <c r="B6" s="406">
        <f>+'INPUT K'!C8*12/10.5</f>
        <v>368.2045714285714</v>
      </c>
      <c r="C6" s="406">
        <f>+'INPUT K'!D8</f>
        <v>151.82100000000003</v>
      </c>
      <c r="D6" s="406">
        <f>+'INPUT K'!E8</f>
        <v>143</v>
      </c>
      <c r="E6" s="406">
        <f>+'INPUT K'!F8</f>
        <v>76</v>
      </c>
      <c r="F6" s="406">
        <f>+'INPUT K'!G8</f>
        <v>4</v>
      </c>
      <c r="G6" s="406">
        <f>+'INPUT K'!H8</f>
        <v>1091</v>
      </c>
      <c r="H6" s="406">
        <f>+'INPUT K'!I8</f>
        <v>125</v>
      </c>
      <c r="I6" s="406">
        <f>+'INPUT K'!J8</f>
        <v>464</v>
      </c>
      <c r="J6" s="406">
        <f>+'INPUT K'!K8</f>
        <v>164</v>
      </c>
      <c r="K6" s="406">
        <f>+'INPUT K'!L8</f>
        <v>240</v>
      </c>
      <c r="L6" s="406">
        <f>+'INPUT K'!M8</f>
        <v>103</v>
      </c>
      <c r="M6" s="406">
        <f>+'INPUT K'!N8</f>
        <v>1263</v>
      </c>
      <c r="N6" s="406">
        <f>+'INPUT K'!O8</f>
        <v>202</v>
      </c>
      <c r="O6" s="406">
        <f>+'INPUT K'!P8</f>
        <v>255</v>
      </c>
      <c r="P6" s="406">
        <f>+'INPUT K'!Q8</f>
        <v>1541</v>
      </c>
      <c r="Q6" s="406">
        <f>+'INPUT K'!R8</f>
        <v>499</v>
      </c>
      <c r="R6" s="406">
        <f>+'INPUT K'!S8</f>
        <v>992</v>
      </c>
      <c r="T6" s="814" t="s">
        <v>271</v>
      </c>
      <c r="U6" s="406">
        <f>3798.388</f>
        <v>3798.3879999999999</v>
      </c>
      <c r="V6" s="410">
        <f>+'INPUT K'!X8</f>
        <v>325</v>
      </c>
      <c r="W6" s="410">
        <f>+'INPUT K'!Y8</f>
        <v>-49</v>
      </c>
      <c r="X6" s="410">
        <f>+'INPUT K'!Z8</f>
        <v>0</v>
      </c>
      <c r="Y6" s="410">
        <f>+'INPUT K'!AA8</f>
        <v>0</v>
      </c>
      <c r="Z6" s="410">
        <f>+'INPUT K'!AB8</f>
        <v>1</v>
      </c>
      <c r="AA6" s="407">
        <f>+'INPUT K'!AC8</f>
        <v>0</v>
      </c>
      <c r="AB6" s="410">
        <f>+'INPUT K'!AD8</f>
        <v>0</v>
      </c>
      <c r="AC6" s="410">
        <f>+'INPUT K'!AE8</f>
        <v>0</v>
      </c>
      <c r="AD6" s="410">
        <f>+'INPUT K'!AF8</f>
        <v>0</v>
      </c>
      <c r="AE6" s="410">
        <f>+'INPUT K'!AG8</f>
        <v>0</v>
      </c>
      <c r="AF6" s="410">
        <f>+'INPUT K'!AH8</f>
        <v>0</v>
      </c>
      <c r="AG6" s="410">
        <f>+'INPUT K'!AI8</f>
        <v>0</v>
      </c>
      <c r="AH6" s="410">
        <f>+'INPUT K'!AJ8</f>
        <v>0</v>
      </c>
      <c r="AI6" s="410">
        <f>+'INPUT K'!AK8</f>
        <v>0</v>
      </c>
      <c r="AJ6" s="410">
        <f>+'INPUT K'!AL8</f>
        <v>0</v>
      </c>
      <c r="AK6" s="410">
        <f>+'INPUT K'!AM8</f>
        <v>0</v>
      </c>
    </row>
    <row r="7" spans="1:38" ht="15">
      <c r="A7" s="405" t="s">
        <v>217</v>
      </c>
      <c r="B7" s="406">
        <f>+'INPUT K'!C9*12/10.5</f>
        <v>285.80114285714285</v>
      </c>
      <c r="C7" s="406">
        <f>+'INPUT K'!D9</f>
        <v>67.924000000000007</v>
      </c>
      <c r="D7" s="406">
        <f>+'INPUT K'!E9</f>
        <v>0</v>
      </c>
      <c r="E7" s="406">
        <f>+'INPUT K'!F9</f>
        <v>65</v>
      </c>
      <c r="F7" s="406">
        <f>+'INPUT K'!G9</f>
        <v>0</v>
      </c>
      <c r="G7" s="406">
        <f>+'INPUT K'!H9</f>
        <v>133</v>
      </c>
      <c r="H7" s="406">
        <f>+'INPUT K'!I9</f>
        <v>85</v>
      </c>
      <c r="I7" s="406">
        <f>+'INPUT K'!J9</f>
        <v>16</v>
      </c>
      <c r="J7" s="406">
        <f>+'INPUT K'!K9</f>
        <v>4</v>
      </c>
      <c r="K7" s="406">
        <f>+'INPUT K'!L9</f>
        <v>61</v>
      </c>
      <c r="L7" s="406">
        <f>+'INPUT K'!M9</f>
        <v>0</v>
      </c>
      <c r="M7" s="406">
        <f>+'INPUT K'!N9</f>
        <v>40</v>
      </c>
      <c r="N7" s="406">
        <f>+'INPUT K'!O9</f>
        <v>1600</v>
      </c>
      <c r="O7" s="406">
        <f>+'INPUT K'!P9</f>
        <v>136</v>
      </c>
      <c r="P7" s="406">
        <f>+'INPUT K'!Q9</f>
        <v>14</v>
      </c>
      <c r="Q7" s="406">
        <f>+'INPUT K'!R9</f>
        <v>656</v>
      </c>
      <c r="R7" s="406">
        <f>+'INPUT K'!S9</f>
        <v>2</v>
      </c>
      <c r="T7" s="405" t="s">
        <v>273</v>
      </c>
      <c r="U7" s="406">
        <f>548.432*12/10.5</f>
        <v>626.77942857142864</v>
      </c>
      <c r="V7" s="410">
        <f>+'INPUT K'!X9</f>
        <v>21</v>
      </c>
      <c r="W7" s="410">
        <f>+'INPUT K'!Y9</f>
        <v>202</v>
      </c>
      <c r="X7" s="410">
        <f>+'INPUT K'!Z9</f>
        <v>19</v>
      </c>
      <c r="Y7" s="410">
        <f>+'INPUT K'!AA9</f>
        <v>411</v>
      </c>
      <c r="Z7" s="410">
        <f>+'INPUT K'!AB9</f>
        <v>578</v>
      </c>
      <c r="AA7" s="407">
        <f>+'INPUT K'!AC9</f>
        <v>0</v>
      </c>
      <c r="AB7" s="410">
        <f>+'INPUT K'!AD9</f>
        <v>283</v>
      </c>
      <c r="AC7" s="410">
        <f>+'INPUT K'!AE9</f>
        <v>311</v>
      </c>
      <c r="AD7" s="410">
        <f>+'INPUT K'!AF9</f>
        <v>210</v>
      </c>
      <c r="AE7" s="410">
        <f>+'INPUT K'!AG9</f>
        <v>147</v>
      </c>
      <c r="AF7" s="410">
        <f>+'INPUT K'!AH9</f>
        <v>651</v>
      </c>
      <c r="AG7" s="410">
        <f>+'INPUT K'!AI9</f>
        <v>263</v>
      </c>
      <c r="AH7" s="410">
        <f>+'INPUT K'!AJ9</f>
        <v>407</v>
      </c>
      <c r="AI7" s="410">
        <f>+'INPUT K'!AK9</f>
        <v>339</v>
      </c>
      <c r="AJ7" s="410">
        <f>+'INPUT K'!AL9</f>
        <v>255</v>
      </c>
      <c r="AK7" s="410">
        <f>+'INPUT K'!AM9</f>
        <v>550</v>
      </c>
    </row>
    <row r="8" spans="1:38" ht="15">
      <c r="A8" s="405" t="s">
        <v>274</v>
      </c>
      <c r="B8" s="406">
        <f>+'INPUT K'!C10*12/10.5</f>
        <v>3.4354285714285711</v>
      </c>
      <c r="C8" s="406">
        <f>+'INPUT K'!D10</f>
        <v>35.994</v>
      </c>
      <c r="D8" s="406">
        <f>+'INPUT K'!E10</f>
        <v>18</v>
      </c>
      <c r="E8" s="406">
        <f>+'INPUT K'!F10</f>
        <v>14</v>
      </c>
      <c r="F8" s="406">
        <f>+'INPUT K'!G10</f>
        <v>18</v>
      </c>
      <c r="G8" s="406">
        <f>+'INPUT K'!H10</f>
        <v>1033</v>
      </c>
      <c r="H8" s="406">
        <f>+'INPUT K'!I10</f>
        <v>22</v>
      </c>
      <c r="I8" s="406">
        <f>+'INPUT K'!J10</f>
        <v>111</v>
      </c>
      <c r="J8" s="406">
        <f>+'INPUT K'!K10</f>
        <v>134</v>
      </c>
      <c r="K8" s="406">
        <f>+'INPUT K'!L10</f>
        <v>31</v>
      </c>
      <c r="L8" s="406">
        <f>+'INPUT K'!M10</f>
        <v>87</v>
      </c>
      <c r="M8" s="406">
        <f>+'INPUT K'!N10</f>
        <v>166</v>
      </c>
      <c r="N8" s="406">
        <f>+'INPUT K'!O10</f>
        <v>68</v>
      </c>
      <c r="O8" s="406">
        <f>+'INPUT K'!P10</f>
        <v>701</v>
      </c>
      <c r="P8" s="406">
        <f>+'INPUT K'!Q10</f>
        <v>77</v>
      </c>
      <c r="Q8" s="406">
        <f>+'INPUT K'!R10</f>
        <v>122</v>
      </c>
      <c r="R8" s="406">
        <f>+'INPUT K'!S10</f>
        <v>141</v>
      </c>
      <c r="T8" s="405" t="s">
        <v>409</v>
      </c>
      <c r="U8" s="406">
        <f>3304*12/10.5</f>
        <v>3776</v>
      </c>
      <c r="V8" s="410">
        <f>+'INPUT K'!X10</f>
        <v>5982</v>
      </c>
      <c r="W8" s="410">
        <f>+'INPUT K'!Y10</f>
        <v>49688</v>
      </c>
      <c r="X8" s="410">
        <f>+'INPUT K'!Z10</f>
        <v>71630</v>
      </c>
      <c r="Y8" s="410">
        <f>+'INPUT K'!AA10</f>
        <v>-130604</v>
      </c>
      <c r="Z8" s="410">
        <f>+'INPUT K'!AB10</f>
        <v>2331</v>
      </c>
      <c r="AA8" s="407">
        <f>+'INPUT K'!AC10</f>
        <v>8285</v>
      </c>
      <c r="AB8" s="410">
        <f>+'INPUT K'!AD10</f>
        <v>42851</v>
      </c>
      <c r="AC8" s="410">
        <f>+'INPUT K'!AE10</f>
        <v>-46341</v>
      </c>
      <c r="AD8" s="410">
        <f>+'INPUT K'!AF10</f>
        <v>674</v>
      </c>
      <c r="AE8" s="410">
        <f>+'INPUT K'!AG10</f>
        <v>15131</v>
      </c>
      <c r="AF8" s="410">
        <f>+'INPUT K'!AH10</f>
        <v>-17009</v>
      </c>
      <c r="AG8" s="410">
        <f>+'INPUT K'!AI10</f>
        <v>8905</v>
      </c>
      <c r="AH8" s="410">
        <f>+'INPUT K'!AJ10</f>
        <v>-2945</v>
      </c>
      <c r="AI8" s="410">
        <f>+'INPUT K'!AK10</f>
        <v>6315</v>
      </c>
      <c r="AJ8" s="410">
        <f>+'INPUT K'!AL10</f>
        <v>12231</v>
      </c>
      <c r="AK8" s="410">
        <f>+'INPUT K'!AM10</f>
        <v>17889</v>
      </c>
    </row>
    <row r="9" spans="1:38" ht="15.75" thickBot="1">
      <c r="A9" s="412" t="s">
        <v>12</v>
      </c>
      <c r="B9" s="413">
        <f t="shared" ref="B9:L9" si="0">SUM(B4:B8)</f>
        <v>1038.7897142857141</v>
      </c>
      <c r="C9" s="413">
        <f t="shared" si="0"/>
        <v>3724.0590000000002</v>
      </c>
      <c r="D9" s="413">
        <f t="shared" si="0"/>
        <v>347</v>
      </c>
      <c r="E9" s="413">
        <f t="shared" si="0"/>
        <v>510</v>
      </c>
      <c r="F9" s="413">
        <f t="shared" si="0"/>
        <v>100</v>
      </c>
      <c r="G9" s="413">
        <f t="shared" si="0"/>
        <v>2575</v>
      </c>
      <c r="H9" s="414">
        <f t="shared" si="0"/>
        <v>322</v>
      </c>
      <c r="I9" s="414">
        <f t="shared" si="0"/>
        <v>455</v>
      </c>
      <c r="J9" s="414">
        <f t="shared" si="0"/>
        <v>559</v>
      </c>
      <c r="K9" s="414">
        <f t="shared" si="0"/>
        <v>713</v>
      </c>
      <c r="L9" s="414">
        <f t="shared" si="0"/>
        <v>543</v>
      </c>
      <c r="M9" s="414">
        <f>SUM(M4:M8)</f>
        <v>1640</v>
      </c>
      <c r="N9" s="414">
        <f t="shared" ref="N9:R9" si="1">SUM(N4:N8)</f>
        <v>2001</v>
      </c>
      <c r="O9" s="414">
        <f t="shared" si="1"/>
        <v>1812</v>
      </c>
      <c r="P9" s="414">
        <f t="shared" si="1"/>
        <v>1939</v>
      </c>
      <c r="Q9" s="414">
        <f t="shared" si="1"/>
        <v>4222</v>
      </c>
      <c r="R9" s="414">
        <f t="shared" si="1"/>
        <v>1394</v>
      </c>
      <c r="T9" s="412" t="s">
        <v>12</v>
      </c>
      <c r="U9" s="413">
        <f t="shared" ref="U9:AK9" si="2">SUM(U4:U8)</f>
        <v>10885.337714285713</v>
      </c>
      <c r="V9" s="413">
        <f t="shared" si="2"/>
        <v>7589</v>
      </c>
      <c r="W9" s="413">
        <f t="shared" si="2"/>
        <v>50073</v>
      </c>
      <c r="X9" s="413">
        <f t="shared" si="2"/>
        <v>73040</v>
      </c>
      <c r="Y9" s="413">
        <f t="shared" si="2"/>
        <v>17969</v>
      </c>
      <c r="Z9" s="413">
        <f t="shared" si="2"/>
        <v>21335</v>
      </c>
      <c r="AA9" s="414">
        <f t="shared" si="2"/>
        <v>13352</v>
      </c>
      <c r="AB9" s="414">
        <f t="shared" si="2"/>
        <v>43367</v>
      </c>
      <c r="AC9" s="414">
        <f t="shared" si="2"/>
        <v>8169</v>
      </c>
      <c r="AD9" s="414">
        <f t="shared" si="2"/>
        <v>5614</v>
      </c>
      <c r="AE9" s="414">
        <f t="shared" si="2"/>
        <v>18315</v>
      </c>
      <c r="AF9" s="414">
        <f t="shared" si="2"/>
        <v>12976</v>
      </c>
      <c r="AG9" s="414">
        <f t="shared" si="2"/>
        <v>16850</v>
      </c>
      <c r="AH9" s="414">
        <f t="shared" si="2"/>
        <v>10934</v>
      </c>
      <c r="AI9" s="414">
        <f t="shared" si="2"/>
        <v>14601</v>
      </c>
      <c r="AJ9" s="414">
        <f t="shared" si="2"/>
        <v>17860</v>
      </c>
      <c r="AK9" s="414">
        <f t="shared" si="2"/>
        <v>21652</v>
      </c>
    </row>
    <row r="11" spans="1:38" ht="15" outlineLevel="1">
      <c r="A11" s="438" t="s">
        <v>423</v>
      </c>
      <c r="B11" s="403">
        <v>2001</v>
      </c>
      <c r="C11" s="403">
        <v>2002</v>
      </c>
      <c r="D11" s="403">
        <v>2003</v>
      </c>
      <c r="E11" s="403">
        <v>2004</v>
      </c>
      <c r="F11" s="403">
        <v>2005</v>
      </c>
      <c r="G11" s="403">
        <v>2006</v>
      </c>
      <c r="H11" s="404">
        <v>2007</v>
      </c>
      <c r="I11" s="403">
        <v>2008</v>
      </c>
      <c r="J11" s="404">
        <v>2009</v>
      </c>
      <c r="K11" s="403">
        <v>2010</v>
      </c>
      <c r="L11" s="404">
        <v>2011</v>
      </c>
      <c r="M11" s="404">
        <v>2012</v>
      </c>
      <c r="N11" s="404">
        <v>2013</v>
      </c>
      <c r="O11" s="404">
        <v>2014</v>
      </c>
      <c r="P11" s="404">
        <v>2015</v>
      </c>
      <c r="Q11" s="404">
        <v>2016</v>
      </c>
      <c r="R11" s="404">
        <v>2017</v>
      </c>
      <c r="T11" s="438" t="s">
        <v>423</v>
      </c>
      <c r="U11" s="403">
        <v>2001</v>
      </c>
      <c r="V11" s="403">
        <v>2002</v>
      </c>
      <c r="W11" s="403">
        <v>2003</v>
      </c>
      <c r="X11" s="403">
        <v>2004</v>
      </c>
      <c r="Y11" s="403">
        <v>2005</v>
      </c>
      <c r="Z11" s="403">
        <v>2006</v>
      </c>
      <c r="AA11" s="404">
        <v>2007</v>
      </c>
      <c r="AB11" s="403">
        <v>2008</v>
      </c>
      <c r="AC11" s="404">
        <v>2009</v>
      </c>
      <c r="AD11" s="403">
        <v>2010</v>
      </c>
      <c r="AE11" s="404">
        <v>2011</v>
      </c>
      <c r="AF11" s="403">
        <v>2012</v>
      </c>
      <c r="AG11" s="404">
        <v>2013</v>
      </c>
      <c r="AH11" s="403">
        <v>2014</v>
      </c>
      <c r="AI11" s="404">
        <v>2015</v>
      </c>
      <c r="AJ11" s="403">
        <v>2016</v>
      </c>
      <c r="AK11" s="404">
        <v>2017</v>
      </c>
    </row>
    <row r="12" spans="1:38" ht="15" outlineLevel="1">
      <c r="A12" s="438" t="s">
        <v>424</v>
      </c>
      <c r="B12" s="439"/>
      <c r="C12" s="439">
        <f t="shared" ref="C12:L12" si="3">+$B4/$S12</f>
        <v>0</v>
      </c>
      <c r="D12" s="439">
        <f t="shared" si="3"/>
        <v>0</v>
      </c>
      <c r="E12" s="439">
        <f t="shared" si="3"/>
        <v>0</v>
      </c>
      <c r="F12" s="439">
        <f t="shared" si="3"/>
        <v>0</v>
      </c>
      <c r="G12" s="439">
        <f t="shared" si="3"/>
        <v>0</v>
      </c>
      <c r="H12" s="439">
        <f t="shared" si="3"/>
        <v>0</v>
      </c>
      <c r="I12" s="439">
        <f t="shared" si="3"/>
        <v>0</v>
      </c>
      <c r="J12" s="439">
        <f t="shared" si="3"/>
        <v>0</v>
      </c>
      <c r="K12" s="439">
        <f t="shared" si="3"/>
        <v>0</v>
      </c>
      <c r="L12" s="439">
        <f t="shared" si="3"/>
        <v>0</v>
      </c>
      <c r="M12" s="439"/>
      <c r="N12" s="439"/>
      <c r="O12" s="439"/>
      <c r="P12" s="439"/>
      <c r="Q12" s="439"/>
      <c r="R12" s="439"/>
      <c r="S12" s="440">
        <f>+'INPUT K'!C25</f>
        <v>0.1</v>
      </c>
      <c r="T12" s="438" t="s">
        <v>425</v>
      </c>
      <c r="V12" s="439">
        <f t="shared" ref="V12:AK12" si="4">+$U$5*$AL$12</f>
        <v>92.557596059113308</v>
      </c>
      <c r="W12" s="439">
        <f t="shared" si="4"/>
        <v>92.557596059113308</v>
      </c>
      <c r="X12" s="439">
        <f t="shared" si="4"/>
        <v>92.557596059113308</v>
      </c>
      <c r="Y12" s="439">
        <f t="shared" si="4"/>
        <v>92.557596059113308</v>
      </c>
      <c r="Z12" s="439">
        <f t="shared" si="4"/>
        <v>92.557596059113308</v>
      </c>
      <c r="AA12" s="439">
        <f t="shared" si="4"/>
        <v>92.557596059113308</v>
      </c>
      <c r="AB12" s="439">
        <f t="shared" si="4"/>
        <v>92.557596059113308</v>
      </c>
      <c r="AC12" s="439">
        <f t="shared" si="4"/>
        <v>92.557596059113308</v>
      </c>
      <c r="AD12" s="439">
        <f t="shared" si="4"/>
        <v>92.557596059113308</v>
      </c>
      <c r="AE12" s="439">
        <f t="shared" si="4"/>
        <v>92.557596059113308</v>
      </c>
      <c r="AF12" s="439">
        <f t="shared" si="4"/>
        <v>92.557596059113308</v>
      </c>
      <c r="AG12" s="439">
        <f t="shared" si="4"/>
        <v>92.557596059113308</v>
      </c>
      <c r="AH12" s="439">
        <f t="shared" si="4"/>
        <v>92.557596059113308</v>
      </c>
      <c r="AI12" s="439">
        <f t="shared" si="4"/>
        <v>92.557596059113308</v>
      </c>
      <c r="AJ12" s="439">
        <f t="shared" si="4"/>
        <v>92.557596059113308</v>
      </c>
      <c r="AK12" s="439">
        <f t="shared" si="4"/>
        <v>92.557596059113308</v>
      </c>
      <c r="AL12" s="623">
        <f>+'INPUT K'!W50</f>
        <v>3.4482758620689655E-2</v>
      </c>
    </row>
    <row r="13" spans="1:38" ht="15" outlineLevel="1">
      <c r="A13" s="438" t="s">
        <v>426</v>
      </c>
      <c r="B13" s="439"/>
      <c r="C13" s="439"/>
      <c r="D13" s="439">
        <f t="shared" ref="D13:M13" si="5">+$C4*$S13</f>
        <v>328.40000000000003</v>
      </c>
      <c r="E13" s="439">
        <f t="shared" si="5"/>
        <v>328.40000000000003</v>
      </c>
      <c r="F13" s="439">
        <f t="shared" si="5"/>
        <v>328.40000000000003</v>
      </c>
      <c r="G13" s="439">
        <f t="shared" si="5"/>
        <v>328.40000000000003</v>
      </c>
      <c r="H13" s="439">
        <f t="shared" si="5"/>
        <v>328.40000000000003</v>
      </c>
      <c r="I13" s="439">
        <f t="shared" si="5"/>
        <v>328.40000000000003</v>
      </c>
      <c r="J13" s="439">
        <f t="shared" si="5"/>
        <v>328.40000000000003</v>
      </c>
      <c r="K13" s="439">
        <f t="shared" si="5"/>
        <v>328.40000000000003</v>
      </c>
      <c r="L13" s="439">
        <f t="shared" si="5"/>
        <v>328.40000000000003</v>
      </c>
      <c r="M13" s="439">
        <f t="shared" si="5"/>
        <v>328.40000000000003</v>
      </c>
      <c r="N13" s="439"/>
      <c r="O13" s="439"/>
      <c r="P13" s="439"/>
      <c r="Q13" s="439"/>
      <c r="R13" s="439"/>
      <c r="S13" s="440">
        <f t="shared" ref="S13:S21" si="6">+S12</f>
        <v>0.1</v>
      </c>
      <c r="T13" s="438" t="s">
        <v>427</v>
      </c>
      <c r="V13" s="439"/>
      <c r="W13" s="439">
        <f t="shared" ref="W13:AK13" si="7">+$V5*$AL$13</f>
        <v>43.482758620689651</v>
      </c>
      <c r="X13" s="439">
        <f t="shared" si="7"/>
        <v>43.482758620689651</v>
      </c>
      <c r="Y13" s="439">
        <f t="shared" si="7"/>
        <v>43.482758620689651</v>
      </c>
      <c r="Z13" s="439">
        <f t="shared" si="7"/>
        <v>43.482758620689651</v>
      </c>
      <c r="AA13" s="439">
        <f t="shared" si="7"/>
        <v>43.482758620689651</v>
      </c>
      <c r="AB13" s="439">
        <f t="shared" si="7"/>
        <v>43.482758620689651</v>
      </c>
      <c r="AC13" s="439">
        <f t="shared" si="7"/>
        <v>43.482758620689651</v>
      </c>
      <c r="AD13" s="439">
        <f t="shared" si="7"/>
        <v>43.482758620689651</v>
      </c>
      <c r="AE13" s="439">
        <f t="shared" si="7"/>
        <v>43.482758620689651</v>
      </c>
      <c r="AF13" s="439">
        <f t="shared" si="7"/>
        <v>43.482758620689651</v>
      </c>
      <c r="AG13" s="439">
        <f t="shared" si="7"/>
        <v>43.482758620689651</v>
      </c>
      <c r="AH13" s="439">
        <f t="shared" si="7"/>
        <v>43.482758620689651</v>
      </c>
      <c r="AI13" s="439">
        <f t="shared" si="7"/>
        <v>43.482758620689651</v>
      </c>
      <c r="AJ13" s="439">
        <f t="shared" si="7"/>
        <v>43.482758620689651</v>
      </c>
      <c r="AK13" s="439">
        <f t="shared" si="7"/>
        <v>43.482758620689651</v>
      </c>
      <c r="AL13" s="623">
        <f t="shared" ref="AL13:AL27" si="8">+AL12</f>
        <v>3.4482758620689655E-2</v>
      </c>
    </row>
    <row r="14" spans="1:38" ht="15" outlineLevel="1">
      <c r="A14" s="438" t="s">
        <v>428</v>
      </c>
      <c r="B14" s="439"/>
      <c r="C14" s="439"/>
      <c r="D14" s="439"/>
      <c r="E14" s="439">
        <f t="shared" ref="E14:N14" si="9">+$D4*$S14</f>
        <v>5.9</v>
      </c>
      <c r="F14" s="439">
        <f t="shared" si="9"/>
        <v>5.9</v>
      </c>
      <c r="G14" s="439">
        <f t="shared" si="9"/>
        <v>5.9</v>
      </c>
      <c r="H14" s="439">
        <f t="shared" si="9"/>
        <v>5.9</v>
      </c>
      <c r="I14" s="439">
        <f t="shared" si="9"/>
        <v>5.9</v>
      </c>
      <c r="J14" s="439">
        <f t="shared" si="9"/>
        <v>5.9</v>
      </c>
      <c r="K14" s="439">
        <f t="shared" si="9"/>
        <v>5.9</v>
      </c>
      <c r="L14" s="439">
        <f t="shared" si="9"/>
        <v>5.9</v>
      </c>
      <c r="M14" s="439">
        <f t="shared" si="9"/>
        <v>5.9</v>
      </c>
      <c r="N14" s="439">
        <f t="shared" si="9"/>
        <v>5.9</v>
      </c>
      <c r="O14" s="439"/>
      <c r="P14" s="439"/>
      <c r="Q14" s="439"/>
      <c r="R14" s="439"/>
      <c r="S14" s="440">
        <f t="shared" si="6"/>
        <v>0.1</v>
      </c>
      <c r="T14" s="438" t="s">
        <v>429</v>
      </c>
      <c r="V14" s="439"/>
      <c r="W14" s="439"/>
      <c r="X14" s="439">
        <f t="shared" ref="X14:AK14" si="10">+$W$5*$AL$14</f>
        <v>8</v>
      </c>
      <c r="Y14" s="439">
        <f t="shared" si="10"/>
        <v>8</v>
      </c>
      <c r="Z14" s="439">
        <f t="shared" si="10"/>
        <v>8</v>
      </c>
      <c r="AA14" s="439">
        <f t="shared" si="10"/>
        <v>8</v>
      </c>
      <c r="AB14" s="439">
        <f t="shared" si="10"/>
        <v>8</v>
      </c>
      <c r="AC14" s="439">
        <f t="shared" si="10"/>
        <v>8</v>
      </c>
      <c r="AD14" s="439">
        <f t="shared" si="10"/>
        <v>8</v>
      </c>
      <c r="AE14" s="439">
        <f t="shared" si="10"/>
        <v>8</v>
      </c>
      <c r="AF14" s="439">
        <f t="shared" si="10"/>
        <v>8</v>
      </c>
      <c r="AG14" s="439">
        <f t="shared" si="10"/>
        <v>8</v>
      </c>
      <c r="AH14" s="439">
        <f t="shared" si="10"/>
        <v>8</v>
      </c>
      <c r="AI14" s="439">
        <f t="shared" si="10"/>
        <v>8</v>
      </c>
      <c r="AJ14" s="439">
        <f t="shared" si="10"/>
        <v>8</v>
      </c>
      <c r="AK14" s="439">
        <f t="shared" si="10"/>
        <v>8</v>
      </c>
      <c r="AL14" s="623">
        <f t="shared" si="8"/>
        <v>3.4482758620689655E-2</v>
      </c>
    </row>
    <row r="15" spans="1:38" ht="15" outlineLevel="1">
      <c r="A15" s="438" t="s">
        <v>430</v>
      </c>
      <c r="B15" s="439"/>
      <c r="C15" s="439"/>
      <c r="D15" s="439"/>
      <c r="E15" s="439"/>
      <c r="F15" s="439">
        <f t="shared" ref="F15:O15" si="11">+$E4*$S15</f>
        <v>8.7000000000000011</v>
      </c>
      <c r="G15" s="439">
        <f t="shared" si="11"/>
        <v>8.7000000000000011</v>
      </c>
      <c r="H15" s="439">
        <f t="shared" si="11"/>
        <v>8.7000000000000011</v>
      </c>
      <c r="I15" s="439">
        <f t="shared" si="11"/>
        <v>8.7000000000000011</v>
      </c>
      <c r="J15" s="439">
        <f t="shared" si="11"/>
        <v>8.7000000000000011</v>
      </c>
      <c r="K15" s="439">
        <f t="shared" si="11"/>
        <v>8.7000000000000011</v>
      </c>
      <c r="L15" s="439">
        <f t="shared" si="11"/>
        <v>8.7000000000000011</v>
      </c>
      <c r="M15" s="439">
        <f t="shared" si="11"/>
        <v>8.7000000000000011</v>
      </c>
      <c r="N15" s="439">
        <f t="shared" si="11"/>
        <v>8.7000000000000011</v>
      </c>
      <c r="O15" s="439">
        <f t="shared" si="11"/>
        <v>8.7000000000000011</v>
      </c>
      <c r="P15" s="439"/>
      <c r="Q15" s="439"/>
      <c r="R15" s="439"/>
      <c r="S15" s="440">
        <f t="shared" si="6"/>
        <v>0.1</v>
      </c>
      <c r="T15" s="438" t="s">
        <v>431</v>
      </c>
      <c r="V15" s="439"/>
      <c r="W15" s="439"/>
      <c r="X15" s="439"/>
      <c r="Y15" s="439">
        <f t="shared" ref="Y15:AK15" si="12">+$X$5*$AL$15</f>
        <v>47.96551724137931</v>
      </c>
      <c r="Z15" s="439">
        <f t="shared" si="12"/>
        <v>47.96551724137931</v>
      </c>
      <c r="AA15" s="439">
        <f t="shared" si="12"/>
        <v>47.96551724137931</v>
      </c>
      <c r="AB15" s="439">
        <f t="shared" si="12"/>
        <v>47.96551724137931</v>
      </c>
      <c r="AC15" s="439">
        <f t="shared" si="12"/>
        <v>47.96551724137931</v>
      </c>
      <c r="AD15" s="439">
        <f t="shared" si="12"/>
        <v>47.96551724137931</v>
      </c>
      <c r="AE15" s="439">
        <f t="shared" si="12"/>
        <v>47.96551724137931</v>
      </c>
      <c r="AF15" s="439">
        <f t="shared" si="12"/>
        <v>47.96551724137931</v>
      </c>
      <c r="AG15" s="439">
        <f t="shared" si="12"/>
        <v>47.96551724137931</v>
      </c>
      <c r="AH15" s="439">
        <f t="shared" si="12"/>
        <v>47.96551724137931</v>
      </c>
      <c r="AI15" s="439">
        <f t="shared" si="12"/>
        <v>47.96551724137931</v>
      </c>
      <c r="AJ15" s="439">
        <f t="shared" si="12"/>
        <v>47.96551724137931</v>
      </c>
      <c r="AK15" s="439">
        <f t="shared" si="12"/>
        <v>47.96551724137931</v>
      </c>
      <c r="AL15" s="623">
        <f t="shared" si="8"/>
        <v>3.4482758620689655E-2</v>
      </c>
    </row>
    <row r="16" spans="1:38" ht="15" outlineLevel="1">
      <c r="A16" s="438" t="s">
        <v>432</v>
      </c>
      <c r="B16" s="439"/>
      <c r="C16" s="439"/>
      <c r="D16" s="439"/>
      <c r="E16" s="439"/>
      <c r="F16" s="439"/>
      <c r="G16" s="439">
        <f t="shared" ref="G16:P16" si="13">+$F4*$S16</f>
        <v>0</v>
      </c>
      <c r="H16" s="439">
        <f t="shared" si="13"/>
        <v>0</v>
      </c>
      <c r="I16" s="439">
        <f t="shared" si="13"/>
        <v>0</v>
      </c>
      <c r="J16" s="439">
        <f t="shared" si="13"/>
        <v>0</v>
      </c>
      <c r="K16" s="439">
        <f t="shared" si="13"/>
        <v>0</v>
      </c>
      <c r="L16" s="439">
        <f t="shared" si="13"/>
        <v>0</v>
      </c>
      <c r="M16" s="439">
        <f t="shared" si="13"/>
        <v>0</v>
      </c>
      <c r="N16" s="439">
        <f t="shared" si="13"/>
        <v>0</v>
      </c>
      <c r="O16" s="439">
        <f t="shared" si="13"/>
        <v>0</v>
      </c>
      <c r="P16" s="439">
        <f t="shared" si="13"/>
        <v>0</v>
      </c>
      <c r="Q16" s="439"/>
      <c r="R16" s="439"/>
      <c r="S16" s="440">
        <f t="shared" si="6"/>
        <v>0.1</v>
      </c>
      <c r="T16" s="438" t="s">
        <v>433</v>
      </c>
      <c r="V16" s="439"/>
      <c r="W16" s="439"/>
      <c r="X16" s="439"/>
      <c r="Y16" s="439"/>
      <c r="Z16" s="439">
        <f t="shared" ref="Z16:AK16" si="14">+$Y$5*$AL$16</f>
        <v>5109.0344827586205</v>
      </c>
      <c r="AA16" s="439">
        <f t="shared" si="14"/>
        <v>5109.0344827586205</v>
      </c>
      <c r="AB16" s="439">
        <f t="shared" si="14"/>
        <v>5109.0344827586205</v>
      </c>
      <c r="AC16" s="439">
        <f t="shared" si="14"/>
        <v>5109.0344827586205</v>
      </c>
      <c r="AD16" s="439">
        <f t="shared" si="14"/>
        <v>5109.0344827586205</v>
      </c>
      <c r="AE16" s="439">
        <f t="shared" si="14"/>
        <v>5109.0344827586205</v>
      </c>
      <c r="AF16" s="439">
        <f t="shared" si="14"/>
        <v>5109.0344827586205</v>
      </c>
      <c r="AG16" s="439">
        <f t="shared" si="14"/>
        <v>5109.0344827586205</v>
      </c>
      <c r="AH16" s="439">
        <f t="shared" si="14"/>
        <v>5109.0344827586205</v>
      </c>
      <c r="AI16" s="439">
        <f t="shared" si="14"/>
        <v>5109.0344827586205</v>
      </c>
      <c r="AJ16" s="439">
        <f t="shared" si="14"/>
        <v>5109.0344827586205</v>
      </c>
      <c r="AK16" s="439">
        <f t="shared" si="14"/>
        <v>5109.0344827586205</v>
      </c>
      <c r="AL16" s="623">
        <f t="shared" si="8"/>
        <v>3.4482758620689655E-2</v>
      </c>
    </row>
    <row r="17" spans="1:38" ht="15" outlineLevel="1">
      <c r="A17" s="438" t="s">
        <v>434</v>
      </c>
      <c r="B17" s="439"/>
      <c r="C17" s="439"/>
      <c r="D17" s="439"/>
      <c r="E17" s="439"/>
      <c r="F17" s="439"/>
      <c r="G17" s="439"/>
      <c r="H17" s="439">
        <f t="shared" ref="H17:Q17" si="15">+$G4*$S17</f>
        <v>22.8</v>
      </c>
      <c r="I17" s="439">
        <f t="shared" si="15"/>
        <v>22.8</v>
      </c>
      <c r="J17" s="439">
        <f t="shared" si="15"/>
        <v>22.8</v>
      </c>
      <c r="K17" s="439">
        <f t="shared" si="15"/>
        <v>22.8</v>
      </c>
      <c r="L17" s="439">
        <f t="shared" si="15"/>
        <v>22.8</v>
      </c>
      <c r="M17" s="439">
        <f t="shared" si="15"/>
        <v>22.8</v>
      </c>
      <c r="N17" s="439">
        <f t="shared" si="15"/>
        <v>22.8</v>
      </c>
      <c r="O17" s="439">
        <f t="shared" si="15"/>
        <v>22.8</v>
      </c>
      <c r="P17" s="439">
        <f t="shared" si="15"/>
        <v>22.8</v>
      </c>
      <c r="Q17" s="439">
        <f t="shared" si="15"/>
        <v>22.8</v>
      </c>
      <c r="R17" s="439"/>
      <c r="S17" s="440">
        <f t="shared" si="6"/>
        <v>0.1</v>
      </c>
      <c r="T17" s="438" t="s">
        <v>435</v>
      </c>
      <c r="V17" s="439"/>
      <c r="W17" s="439"/>
      <c r="X17" s="439"/>
      <c r="Y17" s="439"/>
      <c r="Z17" s="439"/>
      <c r="AA17" s="439">
        <f t="shared" ref="AA17:AK17" si="16">+$Z$5*$AL$17</f>
        <v>635.34482758620686</v>
      </c>
      <c r="AB17" s="439">
        <f t="shared" si="16"/>
        <v>635.34482758620686</v>
      </c>
      <c r="AC17" s="439">
        <f t="shared" si="16"/>
        <v>635.34482758620686</v>
      </c>
      <c r="AD17" s="439">
        <f t="shared" si="16"/>
        <v>635.34482758620686</v>
      </c>
      <c r="AE17" s="439">
        <f t="shared" si="16"/>
        <v>635.34482758620686</v>
      </c>
      <c r="AF17" s="439">
        <f t="shared" si="16"/>
        <v>635.34482758620686</v>
      </c>
      <c r="AG17" s="439">
        <f t="shared" si="16"/>
        <v>635.34482758620686</v>
      </c>
      <c r="AH17" s="439">
        <f t="shared" si="16"/>
        <v>635.34482758620686</v>
      </c>
      <c r="AI17" s="439">
        <f t="shared" si="16"/>
        <v>635.34482758620686</v>
      </c>
      <c r="AJ17" s="439">
        <f t="shared" si="16"/>
        <v>635.34482758620686</v>
      </c>
      <c r="AK17" s="439">
        <f t="shared" si="16"/>
        <v>635.34482758620686</v>
      </c>
      <c r="AL17" s="623">
        <f t="shared" si="8"/>
        <v>3.4482758620689655E-2</v>
      </c>
    </row>
    <row r="18" spans="1:38" ht="15" outlineLevel="1">
      <c r="A18" s="438" t="s">
        <v>436</v>
      </c>
      <c r="B18" s="439"/>
      <c r="C18" s="439"/>
      <c r="D18" s="439"/>
      <c r="E18" s="439"/>
      <c r="F18" s="439"/>
      <c r="G18" s="439"/>
      <c r="H18" s="439"/>
      <c r="I18" s="439">
        <f t="shared" ref="I18:R18" si="17">+$H4*$S18</f>
        <v>0.4</v>
      </c>
      <c r="J18" s="439">
        <f t="shared" si="17"/>
        <v>0.4</v>
      </c>
      <c r="K18" s="439">
        <f t="shared" si="17"/>
        <v>0.4</v>
      </c>
      <c r="L18" s="439">
        <f t="shared" si="17"/>
        <v>0.4</v>
      </c>
      <c r="M18" s="439">
        <f t="shared" si="17"/>
        <v>0.4</v>
      </c>
      <c r="N18" s="439">
        <f t="shared" si="17"/>
        <v>0.4</v>
      </c>
      <c r="O18" s="439">
        <f t="shared" si="17"/>
        <v>0.4</v>
      </c>
      <c r="P18" s="439">
        <f t="shared" si="17"/>
        <v>0.4</v>
      </c>
      <c r="Q18" s="439">
        <f t="shared" si="17"/>
        <v>0.4</v>
      </c>
      <c r="R18" s="439">
        <f t="shared" si="17"/>
        <v>0.4</v>
      </c>
      <c r="S18" s="440">
        <f t="shared" si="6"/>
        <v>0.1</v>
      </c>
      <c r="T18" s="438" t="s">
        <v>437</v>
      </c>
      <c r="V18" s="439"/>
      <c r="W18" s="439"/>
      <c r="X18" s="439"/>
      <c r="Y18" s="439"/>
      <c r="Z18" s="439"/>
      <c r="AA18" s="439"/>
      <c r="AB18" s="439">
        <f t="shared" ref="AB18:AK18" si="18">+$AA$5*$AL18</f>
        <v>174.72413793103448</v>
      </c>
      <c r="AC18" s="439">
        <f t="shared" si="18"/>
        <v>174.72413793103448</v>
      </c>
      <c r="AD18" s="439">
        <f t="shared" si="18"/>
        <v>174.72413793103448</v>
      </c>
      <c r="AE18" s="439">
        <f t="shared" si="18"/>
        <v>174.72413793103448</v>
      </c>
      <c r="AF18" s="439">
        <f t="shared" si="18"/>
        <v>174.72413793103448</v>
      </c>
      <c r="AG18" s="439">
        <f t="shared" si="18"/>
        <v>174.72413793103448</v>
      </c>
      <c r="AH18" s="439">
        <f t="shared" si="18"/>
        <v>174.72413793103448</v>
      </c>
      <c r="AI18" s="439">
        <f t="shared" si="18"/>
        <v>174.72413793103448</v>
      </c>
      <c r="AJ18" s="439">
        <f t="shared" si="18"/>
        <v>174.72413793103448</v>
      </c>
      <c r="AK18" s="439">
        <f t="shared" si="18"/>
        <v>174.72413793103448</v>
      </c>
      <c r="AL18" s="623">
        <f t="shared" si="8"/>
        <v>3.4482758620689655E-2</v>
      </c>
    </row>
    <row r="19" spans="1:38" ht="15" outlineLevel="1">
      <c r="A19" s="438" t="s">
        <v>438</v>
      </c>
      <c r="B19" s="439"/>
      <c r="C19" s="439"/>
      <c r="D19" s="439"/>
      <c r="E19" s="439"/>
      <c r="F19" s="439"/>
      <c r="G19" s="439"/>
      <c r="H19" s="439"/>
      <c r="I19" s="439"/>
      <c r="J19" s="439">
        <f t="shared" ref="J19:R19" si="19">+$I4*$S19</f>
        <v>-39.6</v>
      </c>
      <c r="K19" s="439">
        <f t="shared" si="19"/>
        <v>-39.6</v>
      </c>
      <c r="L19" s="439">
        <f t="shared" si="19"/>
        <v>-39.6</v>
      </c>
      <c r="M19" s="439">
        <f t="shared" si="19"/>
        <v>-39.6</v>
      </c>
      <c r="N19" s="439">
        <f t="shared" si="19"/>
        <v>-39.6</v>
      </c>
      <c r="O19" s="439">
        <f t="shared" si="19"/>
        <v>-39.6</v>
      </c>
      <c r="P19" s="439">
        <f t="shared" si="19"/>
        <v>-39.6</v>
      </c>
      <c r="Q19" s="439">
        <f t="shared" si="19"/>
        <v>-39.6</v>
      </c>
      <c r="R19" s="439">
        <f t="shared" si="19"/>
        <v>-39.6</v>
      </c>
      <c r="S19" s="440">
        <f t="shared" si="6"/>
        <v>0.1</v>
      </c>
      <c r="T19" s="438" t="s">
        <v>439</v>
      </c>
      <c r="V19" s="439"/>
      <c r="W19" s="439"/>
      <c r="X19" s="439"/>
      <c r="Y19" s="439"/>
      <c r="Z19" s="439"/>
      <c r="AA19" s="439"/>
      <c r="AB19" s="439"/>
      <c r="AC19" s="439">
        <f t="shared" ref="AC19:AK19" si="20">+$AB$5*$AL19</f>
        <v>8.0344827586206904</v>
      </c>
      <c r="AD19" s="439">
        <f t="shared" si="20"/>
        <v>8.0344827586206904</v>
      </c>
      <c r="AE19" s="439">
        <f t="shared" si="20"/>
        <v>8.0344827586206904</v>
      </c>
      <c r="AF19" s="439">
        <f t="shared" si="20"/>
        <v>8.0344827586206904</v>
      </c>
      <c r="AG19" s="439">
        <f t="shared" si="20"/>
        <v>8.0344827586206904</v>
      </c>
      <c r="AH19" s="439">
        <f t="shared" si="20"/>
        <v>8.0344827586206904</v>
      </c>
      <c r="AI19" s="439">
        <f t="shared" si="20"/>
        <v>8.0344827586206904</v>
      </c>
      <c r="AJ19" s="439">
        <f t="shared" si="20"/>
        <v>8.0344827586206904</v>
      </c>
      <c r="AK19" s="439">
        <f t="shared" si="20"/>
        <v>8.0344827586206904</v>
      </c>
      <c r="AL19" s="623">
        <f t="shared" si="8"/>
        <v>3.4482758620689655E-2</v>
      </c>
    </row>
    <row r="20" spans="1:38" ht="15" outlineLevel="1">
      <c r="A20" s="438" t="s">
        <v>440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>
        <f t="shared" ref="K20:R20" si="21">+$J4*$S20</f>
        <v>12</v>
      </c>
      <c r="L20" s="439">
        <f t="shared" si="21"/>
        <v>12</v>
      </c>
      <c r="M20" s="439">
        <f t="shared" si="21"/>
        <v>12</v>
      </c>
      <c r="N20" s="439">
        <f t="shared" si="21"/>
        <v>12</v>
      </c>
      <c r="O20" s="439">
        <f t="shared" si="21"/>
        <v>12</v>
      </c>
      <c r="P20" s="439">
        <f t="shared" si="21"/>
        <v>12</v>
      </c>
      <c r="Q20" s="439">
        <f t="shared" si="21"/>
        <v>12</v>
      </c>
      <c r="R20" s="439">
        <f t="shared" si="21"/>
        <v>12</v>
      </c>
      <c r="S20" s="440">
        <f t="shared" si="6"/>
        <v>0.1</v>
      </c>
      <c r="T20" s="438" t="s">
        <v>441</v>
      </c>
      <c r="V20" s="439"/>
      <c r="W20" s="439"/>
      <c r="X20" s="439"/>
      <c r="Y20" s="439"/>
      <c r="Z20" s="439"/>
      <c r="AA20" s="439"/>
      <c r="AB20" s="439"/>
      <c r="AC20" s="439"/>
      <c r="AD20" s="439">
        <f t="shared" ref="AD20:AK20" si="22">+$AC$5*$AL20</f>
        <v>1868.9310344827586</v>
      </c>
      <c r="AE20" s="439">
        <f t="shared" si="22"/>
        <v>1868.9310344827586</v>
      </c>
      <c r="AF20" s="439">
        <f t="shared" si="22"/>
        <v>1868.9310344827586</v>
      </c>
      <c r="AG20" s="439">
        <f t="shared" si="22"/>
        <v>1868.9310344827586</v>
      </c>
      <c r="AH20" s="439">
        <f t="shared" si="22"/>
        <v>1868.9310344827586</v>
      </c>
      <c r="AI20" s="439">
        <f t="shared" si="22"/>
        <v>1868.9310344827586</v>
      </c>
      <c r="AJ20" s="439">
        <f t="shared" si="22"/>
        <v>1868.9310344827586</v>
      </c>
      <c r="AK20" s="439">
        <f t="shared" si="22"/>
        <v>1868.9310344827586</v>
      </c>
      <c r="AL20" s="623">
        <f t="shared" si="8"/>
        <v>3.4482758620689655E-2</v>
      </c>
    </row>
    <row r="21" spans="1:38" ht="15" outlineLevel="1">
      <c r="A21" s="438" t="s">
        <v>442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>
        <f t="shared" ref="L21:R21" si="23">+$K4*$S21</f>
        <v>12.9</v>
      </c>
      <c r="M21" s="439">
        <f t="shared" si="23"/>
        <v>12.9</v>
      </c>
      <c r="N21" s="439">
        <f t="shared" si="23"/>
        <v>12.9</v>
      </c>
      <c r="O21" s="439">
        <f t="shared" si="23"/>
        <v>12.9</v>
      </c>
      <c r="P21" s="439">
        <f t="shared" si="23"/>
        <v>12.9</v>
      </c>
      <c r="Q21" s="439">
        <f t="shared" si="23"/>
        <v>12.9</v>
      </c>
      <c r="R21" s="439">
        <f t="shared" si="23"/>
        <v>12.9</v>
      </c>
      <c r="S21" s="440">
        <f t="shared" si="6"/>
        <v>0.1</v>
      </c>
      <c r="T21" s="438" t="s">
        <v>443</v>
      </c>
      <c r="V21" s="439"/>
      <c r="W21" s="439"/>
      <c r="X21" s="439"/>
      <c r="Y21" s="439"/>
      <c r="Z21" s="439"/>
      <c r="AA21" s="439"/>
      <c r="AB21" s="439"/>
      <c r="AC21" s="439"/>
      <c r="AD21" s="439"/>
      <c r="AE21" s="439">
        <f t="shared" ref="AE21:AK21" si="24">+$AD$5*$AL21</f>
        <v>163.10344827586206</v>
      </c>
      <c r="AF21" s="439">
        <f t="shared" si="24"/>
        <v>163.10344827586206</v>
      </c>
      <c r="AG21" s="439">
        <f t="shared" si="24"/>
        <v>163.10344827586206</v>
      </c>
      <c r="AH21" s="439">
        <f t="shared" si="24"/>
        <v>163.10344827586206</v>
      </c>
      <c r="AI21" s="439">
        <f t="shared" si="24"/>
        <v>163.10344827586206</v>
      </c>
      <c r="AJ21" s="439">
        <f t="shared" si="24"/>
        <v>163.10344827586206</v>
      </c>
      <c r="AK21" s="439">
        <f t="shared" si="24"/>
        <v>163.10344827586206</v>
      </c>
      <c r="AL21" s="623">
        <f t="shared" si="8"/>
        <v>3.4482758620689655E-2</v>
      </c>
    </row>
    <row r="22" spans="1:38" ht="15" outlineLevel="1">
      <c r="A22" s="438" t="s">
        <v>444</v>
      </c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>
        <f t="shared" ref="M22:R22" si="25">+$L4*$S22</f>
        <v>20.8</v>
      </c>
      <c r="N22" s="439">
        <f t="shared" si="25"/>
        <v>20.8</v>
      </c>
      <c r="O22" s="439">
        <f t="shared" si="25"/>
        <v>20.8</v>
      </c>
      <c r="P22" s="439">
        <f t="shared" si="25"/>
        <v>20.8</v>
      </c>
      <c r="Q22" s="439">
        <f t="shared" si="25"/>
        <v>20.8</v>
      </c>
      <c r="R22" s="439">
        <f t="shared" si="25"/>
        <v>20.8</v>
      </c>
      <c r="S22" s="440">
        <f>+S21</f>
        <v>0.1</v>
      </c>
      <c r="T22" s="438" t="s">
        <v>445</v>
      </c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>
        <f t="shared" ref="AF22:AK22" si="26">+$AE$5*$AL22</f>
        <v>104.72413793103448</v>
      </c>
      <c r="AG22" s="439">
        <f t="shared" si="26"/>
        <v>104.72413793103448</v>
      </c>
      <c r="AH22" s="439">
        <f t="shared" si="26"/>
        <v>104.72413793103448</v>
      </c>
      <c r="AI22" s="439">
        <f t="shared" si="26"/>
        <v>104.72413793103448</v>
      </c>
      <c r="AJ22" s="439">
        <f t="shared" si="26"/>
        <v>104.72413793103448</v>
      </c>
      <c r="AK22" s="439">
        <f t="shared" si="26"/>
        <v>104.72413793103448</v>
      </c>
      <c r="AL22" s="623">
        <f t="shared" si="8"/>
        <v>3.4482758620689655E-2</v>
      </c>
    </row>
    <row r="23" spans="1:38" ht="15" outlineLevel="1">
      <c r="A23" s="438" t="s">
        <v>537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>
        <f>+$M4*$S23</f>
        <v>0.8</v>
      </c>
      <c r="O23" s="439">
        <f>+$M4*$S23</f>
        <v>0.8</v>
      </c>
      <c r="P23" s="439">
        <f>+$M4*$S23</f>
        <v>0.8</v>
      </c>
      <c r="Q23" s="439">
        <f>+$M4*$S23</f>
        <v>0.8</v>
      </c>
      <c r="R23" s="439">
        <f>+$M4*$S23</f>
        <v>0.8</v>
      </c>
      <c r="S23" s="440">
        <f t="shared" ref="S23:S27" si="27">+S22</f>
        <v>0.1</v>
      </c>
      <c r="T23" s="438" t="s">
        <v>542</v>
      </c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>
        <f>+$AF$5*$AL23</f>
        <v>1011.5172413793103</v>
      </c>
      <c r="AH23" s="439">
        <f>+$AF$5*$AL23</f>
        <v>1011.5172413793103</v>
      </c>
      <c r="AI23" s="439">
        <f>+$AF$5*$AL23</f>
        <v>1011.5172413793103</v>
      </c>
      <c r="AJ23" s="439">
        <f>+$AF$5*$AL23</f>
        <v>1011.5172413793103</v>
      </c>
      <c r="AK23" s="439">
        <f>+$AF$5*$AL23</f>
        <v>1011.5172413793103</v>
      </c>
      <c r="AL23" s="623">
        <f t="shared" si="8"/>
        <v>3.4482758620689655E-2</v>
      </c>
    </row>
    <row r="24" spans="1:38" ht="15" outlineLevel="1">
      <c r="A24" s="438" t="s">
        <v>538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>
        <f>+$N4*$S24</f>
        <v>7.3000000000000007</v>
      </c>
      <c r="P24" s="439">
        <f>+$N4*$S24</f>
        <v>7.3000000000000007</v>
      </c>
      <c r="Q24" s="439">
        <f>+$N4*$S24</f>
        <v>7.3000000000000007</v>
      </c>
      <c r="R24" s="439">
        <f>+$N4*$S24</f>
        <v>7.3000000000000007</v>
      </c>
      <c r="S24" s="440">
        <f t="shared" si="27"/>
        <v>0.1</v>
      </c>
      <c r="T24" s="438" t="s">
        <v>543</v>
      </c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H24" s="439">
        <f>+$AG$5*$AL24</f>
        <v>264.89655172413791</v>
      </c>
      <c r="AI24" s="439">
        <f>+$AG$5*$AL24</f>
        <v>264.89655172413791</v>
      </c>
      <c r="AJ24" s="439">
        <f>+$AG$5*$AL24</f>
        <v>264.89655172413791</v>
      </c>
      <c r="AK24" s="439">
        <f>+$AG$5*$AL24</f>
        <v>264.89655172413791</v>
      </c>
      <c r="AL24" s="623">
        <f t="shared" si="8"/>
        <v>3.4482758620689655E-2</v>
      </c>
    </row>
    <row r="25" spans="1:38" ht="15" outlineLevel="1">
      <c r="A25" s="438" t="s">
        <v>539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>
        <f>+$O4*$S25</f>
        <v>47.400000000000006</v>
      </c>
      <c r="Q25" s="439">
        <f>+$O4*$S25</f>
        <v>47.400000000000006</v>
      </c>
      <c r="R25" s="439">
        <f>+$O4*$S25</f>
        <v>47.400000000000006</v>
      </c>
      <c r="S25" s="440">
        <f t="shared" si="27"/>
        <v>0.1</v>
      </c>
      <c r="T25" s="438" t="s">
        <v>544</v>
      </c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I25" s="439">
        <f>+$AH$5*$AL25</f>
        <v>464.55172413793105</v>
      </c>
      <c r="AJ25" s="439">
        <f>+$AH$5*$AL25</f>
        <v>464.55172413793105</v>
      </c>
      <c r="AK25" s="439">
        <f>+$AH$5*$AL25</f>
        <v>464.55172413793105</v>
      </c>
      <c r="AL25" s="623">
        <f t="shared" si="8"/>
        <v>3.4482758620689655E-2</v>
      </c>
    </row>
    <row r="26" spans="1:38" ht="15" outlineLevel="1">
      <c r="A26" s="438" t="s">
        <v>540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>
        <f>+$P4*$S26</f>
        <v>27.200000000000003</v>
      </c>
      <c r="R26" s="439">
        <f>+$P4*$S26</f>
        <v>27.200000000000003</v>
      </c>
      <c r="S26" s="440">
        <f t="shared" si="27"/>
        <v>0.1</v>
      </c>
      <c r="T26" s="438" t="s">
        <v>545</v>
      </c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J26" s="439">
        <f>+$AI$5*$AL26</f>
        <v>274.0344827586207</v>
      </c>
      <c r="AK26" s="439">
        <f>+$AI$5*$AL26</f>
        <v>274.0344827586207</v>
      </c>
      <c r="AL26" s="623">
        <f t="shared" si="8"/>
        <v>3.4482758620689655E-2</v>
      </c>
    </row>
    <row r="27" spans="1:38" ht="15" outlineLevel="1">
      <c r="A27" s="438" t="s">
        <v>541</v>
      </c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>
        <f>+$Q4*$S27</f>
        <v>247.4</v>
      </c>
      <c r="S27" s="440">
        <f t="shared" si="27"/>
        <v>0.1</v>
      </c>
      <c r="T27" s="438" t="s">
        <v>546</v>
      </c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K27" s="811">
        <f>+$AJ$5*$AL27</f>
        <v>185.31034482758619</v>
      </c>
      <c r="AL27" s="623">
        <f t="shared" si="8"/>
        <v>3.4482758620689655E-2</v>
      </c>
    </row>
    <row r="28" spans="1:38" ht="15.75" outlineLevel="1" thickBot="1">
      <c r="A28" s="438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40"/>
      <c r="T28" s="438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623"/>
    </row>
    <row r="29" spans="1:38" ht="15" outlineLevel="1">
      <c r="A29" s="438" t="s">
        <v>446</v>
      </c>
      <c r="B29" s="403">
        <v>2001</v>
      </c>
      <c r="C29" s="403">
        <v>2002</v>
      </c>
      <c r="D29" s="403">
        <v>2003</v>
      </c>
      <c r="E29" s="403">
        <v>2004</v>
      </c>
      <c r="F29" s="403">
        <v>2005</v>
      </c>
      <c r="G29" s="403">
        <v>2006</v>
      </c>
      <c r="H29" s="404">
        <v>2007</v>
      </c>
      <c r="I29" s="403">
        <v>2008</v>
      </c>
      <c r="J29" s="404">
        <v>2009</v>
      </c>
      <c r="K29" s="403">
        <v>2010</v>
      </c>
      <c r="L29" s="404">
        <v>2011</v>
      </c>
      <c r="M29" s="403">
        <v>2012</v>
      </c>
      <c r="N29" s="404">
        <v>2013</v>
      </c>
      <c r="O29" s="403">
        <v>2014</v>
      </c>
      <c r="P29" s="404">
        <v>2015</v>
      </c>
      <c r="Q29" s="403">
        <v>2016</v>
      </c>
      <c r="R29" s="404">
        <v>2017</v>
      </c>
      <c r="T29" s="438" t="s">
        <v>446</v>
      </c>
      <c r="U29" s="403">
        <v>2001</v>
      </c>
      <c r="V29" s="403">
        <v>2002</v>
      </c>
      <c r="W29" s="403">
        <v>2003</v>
      </c>
      <c r="X29" s="403">
        <v>2004</v>
      </c>
      <c r="Y29" s="403">
        <v>2005</v>
      </c>
      <c r="Z29" s="403">
        <v>2006</v>
      </c>
      <c r="AA29" s="404">
        <v>2007</v>
      </c>
      <c r="AB29" s="403">
        <v>2008</v>
      </c>
      <c r="AC29" s="404">
        <v>2009</v>
      </c>
      <c r="AD29" s="403">
        <v>2010</v>
      </c>
      <c r="AE29" s="404">
        <v>2011</v>
      </c>
      <c r="AF29" s="403">
        <v>2012</v>
      </c>
      <c r="AG29" s="404">
        <v>2013</v>
      </c>
      <c r="AH29" s="403">
        <v>2014</v>
      </c>
      <c r="AI29" s="404">
        <v>2015</v>
      </c>
      <c r="AJ29" s="403">
        <v>2016</v>
      </c>
      <c r="AK29" s="404">
        <v>2017</v>
      </c>
    </row>
    <row r="30" spans="1:38" ht="15" outlineLevel="1">
      <c r="A30" s="438" t="s">
        <v>424</v>
      </c>
      <c r="C30" s="439">
        <f>+B4-C12</f>
        <v>0</v>
      </c>
      <c r="D30" s="439">
        <f t="shared" ref="D30:R30" si="28">+C30-D12</f>
        <v>0</v>
      </c>
      <c r="E30" s="439">
        <f t="shared" si="28"/>
        <v>0</v>
      </c>
      <c r="F30" s="439">
        <f t="shared" si="28"/>
        <v>0</v>
      </c>
      <c r="G30" s="439">
        <f t="shared" si="28"/>
        <v>0</v>
      </c>
      <c r="H30" s="439">
        <f t="shared" si="28"/>
        <v>0</v>
      </c>
      <c r="I30" s="439">
        <f t="shared" si="28"/>
        <v>0</v>
      </c>
      <c r="J30" s="439">
        <f t="shared" si="28"/>
        <v>0</v>
      </c>
      <c r="K30" s="439">
        <f t="shared" si="28"/>
        <v>0</v>
      </c>
      <c r="L30" s="439">
        <f t="shared" si="28"/>
        <v>0</v>
      </c>
      <c r="M30" s="439">
        <f t="shared" si="28"/>
        <v>0</v>
      </c>
      <c r="N30" s="439">
        <f t="shared" si="28"/>
        <v>0</v>
      </c>
      <c r="O30" s="439">
        <f t="shared" si="28"/>
        <v>0</v>
      </c>
      <c r="P30" s="439">
        <f t="shared" si="28"/>
        <v>0</v>
      </c>
      <c r="Q30" s="439">
        <f t="shared" si="28"/>
        <v>0</v>
      </c>
      <c r="R30" s="439">
        <f t="shared" si="28"/>
        <v>0</v>
      </c>
      <c r="T30" s="438" t="s">
        <v>425</v>
      </c>
      <c r="U30" s="442"/>
      <c r="V30" s="442">
        <f>+U5-V12</f>
        <v>2591.6126896551727</v>
      </c>
      <c r="W30" s="442">
        <f t="shared" ref="W30:AK30" si="29">+V30-W12</f>
        <v>2499.0550935960596</v>
      </c>
      <c r="X30" s="442">
        <f t="shared" si="29"/>
        <v>2406.4974975369464</v>
      </c>
      <c r="Y30" s="442">
        <f t="shared" si="29"/>
        <v>2313.9399014778332</v>
      </c>
      <c r="Z30" s="442">
        <f t="shared" si="29"/>
        <v>2221.3823054187201</v>
      </c>
      <c r="AA30" s="442">
        <f t="shared" si="29"/>
        <v>2128.8247093596069</v>
      </c>
      <c r="AB30" s="442">
        <f t="shared" si="29"/>
        <v>2036.2671133004935</v>
      </c>
      <c r="AC30" s="442">
        <f t="shared" si="29"/>
        <v>1943.7095172413801</v>
      </c>
      <c r="AD30" s="442">
        <f t="shared" si="29"/>
        <v>1851.1519211822667</v>
      </c>
      <c r="AE30" s="442">
        <f t="shared" si="29"/>
        <v>1758.5943251231533</v>
      </c>
      <c r="AF30" s="442">
        <f t="shared" si="29"/>
        <v>1666.0367290640399</v>
      </c>
      <c r="AG30" s="442">
        <f t="shared" si="29"/>
        <v>1573.4791330049266</v>
      </c>
      <c r="AH30" s="442">
        <f t="shared" si="29"/>
        <v>1480.9215369458132</v>
      </c>
      <c r="AI30" s="442">
        <f t="shared" si="29"/>
        <v>1388.3639408866998</v>
      </c>
      <c r="AJ30" s="442">
        <f t="shared" si="29"/>
        <v>1295.8063448275864</v>
      </c>
      <c r="AK30" s="442">
        <f t="shared" si="29"/>
        <v>1203.248748768473</v>
      </c>
    </row>
    <row r="31" spans="1:38" ht="15" outlineLevel="1">
      <c r="A31" s="438" t="s">
        <v>426</v>
      </c>
      <c r="D31" s="442">
        <f>+C4-D13</f>
        <v>2955.6</v>
      </c>
      <c r="E31" s="442">
        <f t="shared" ref="E31:R31" si="30">+D31-E13</f>
        <v>2627.2</v>
      </c>
      <c r="F31" s="442">
        <f t="shared" si="30"/>
        <v>2298.7999999999997</v>
      </c>
      <c r="G31" s="442">
        <f t="shared" si="30"/>
        <v>1970.3999999999996</v>
      </c>
      <c r="H31" s="442">
        <f t="shared" si="30"/>
        <v>1641.9999999999995</v>
      </c>
      <c r="I31" s="442">
        <f t="shared" si="30"/>
        <v>1313.5999999999995</v>
      </c>
      <c r="J31" s="442">
        <f t="shared" si="30"/>
        <v>985.19999999999936</v>
      </c>
      <c r="K31" s="442">
        <f t="shared" si="30"/>
        <v>656.79999999999927</v>
      </c>
      <c r="L31" s="442">
        <f t="shared" si="30"/>
        <v>328.39999999999924</v>
      </c>
      <c r="M31" s="442">
        <f t="shared" si="30"/>
        <v>-7.9580786405131221E-13</v>
      </c>
      <c r="N31" s="442">
        <f t="shared" si="30"/>
        <v>-7.9580786405131221E-13</v>
      </c>
      <c r="O31" s="442">
        <f t="shared" si="30"/>
        <v>-7.9580786405131221E-13</v>
      </c>
      <c r="P31" s="442">
        <f t="shared" si="30"/>
        <v>-7.9580786405131221E-13</v>
      </c>
      <c r="Q31" s="442">
        <f t="shared" si="30"/>
        <v>-7.9580786405131221E-13</v>
      </c>
      <c r="R31" s="442">
        <f t="shared" si="30"/>
        <v>-7.9580786405131221E-13</v>
      </c>
      <c r="T31" s="438" t="s">
        <v>427</v>
      </c>
      <c r="W31" s="442">
        <f>+V5-W13</f>
        <v>1217.5172413793102</v>
      </c>
      <c r="X31" s="442">
        <f t="shared" ref="X31:AK31" si="31">+W31-X13</f>
        <v>1174.0344827586205</v>
      </c>
      <c r="Y31" s="442">
        <f t="shared" si="31"/>
        <v>1130.5517241379307</v>
      </c>
      <c r="Z31" s="442">
        <f t="shared" si="31"/>
        <v>1087.0689655172409</v>
      </c>
      <c r="AA31" s="442">
        <f t="shared" si="31"/>
        <v>1043.5862068965512</v>
      </c>
      <c r="AB31" s="442">
        <f t="shared" si="31"/>
        <v>1000.1034482758615</v>
      </c>
      <c r="AC31" s="442">
        <f t="shared" si="31"/>
        <v>956.62068965517187</v>
      </c>
      <c r="AD31" s="442">
        <f t="shared" si="31"/>
        <v>913.13793103448222</v>
      </c>
      <c r="AE31" s="442">
        <f t="shared" si="31"/>
        <v>869.65517241379257</v>
      </c>
      <c r="AF31" s="442">
        <f t="shared" si="31"/>
        <v>826.17241379310292</v>
      </c>
      <c r="AG31" s="442">
        <f t="shared" si="31"/>
        <v>782.68965517241327</v>
      </c>
      <c r="AH31" s="442">
        <f t="shared" si="31"/>
        <v>739.20689655172362</v>
      </c>
      <c r="AI31" s="442">
        <f t="shared" si="31"/>
        <v>695.72413793103397</v>
      </c>
      <c r="AJ31" s="442">
        <f t="shared" si="31"/>
        <v>652.24137931034431</v>
      </c>
      <c r="AK31" s="442">
        <f t="shared" si="31"/>
        <v>608.75862068965466</v>
      </c>
    </row>
    <row r="32" spans="1:38" ht="15" outlineLevel="1">
      <c r="A32" s="438" t="s">
        <v>428</v>
      </c>
      <c r="E32" s="442">
        <f>+D4-E14</f>
        <v>53.1</v>
      </c>
      <c r="F32" s="442">
        <f t="shared" ref="F32:R32" si="32">+E32-F14</f>
        <v>47.2</v>
      </c>
      <c r="G32" s="442">
        <f t="shared" si="32"/>
        <v>41.300000000000004</v>
      </c>
      <c r="H32" s="442">
        <f t="shared" si="32"/>
        <v>35.400000000000006</v>
      </c>
      <c r="I32" s="442">
        <f t="shared" si="32"/>
        <v>29.500000000000007</v>
      </c>
      <c r="J32" s="442">
        <f t="shared" si="32"/>
        <v>23.600000000000009</v>
      </c>
      <c r="K32" s="442">
        <f t="shared" si="32"/>
        <v>17.70000000000001</v>
      </c>
      <c r="L32" s="442">
        <f t="shared" si="32"/>
        <v>11.80000000000001</v>
      </c>
      <c r="M32" s="442">
        <f t="shared" si="32"/>
        <v>5.9000000000000092</v>
      </c>
      <c r="N32" s="442">
        <f t="shared" si="32"/>
        <v>8.8817841970012523E-15</v>
      </c>
      <c r="O32" s="442">
        <f t="shared" si="32"/>
        <v>8.8817841970012523E-15</v>
      </c>
      <c r="P32" s="442">
        <f t="shared" si="32"/>
        <v>8.8817841970012523E-15</v>
      </c>
      <c r="Q32" s="442">
        <f t="shared" si="32"/>
        <v>8.8817841970012523E-15</v>
      </c>
      <c r="R32" s="442">
        <f t="shared" si="32"/>
        <v>8.8817841970012523E-15</v>
      </c>
      <c r="T32" s="438" t="s">
        <v>429</v>
      </c>
      <c r="X32" s="442">
        <f>+W5-X14</f>
        <v>224</v>
      </c>
      <c r="Y32" s="442">
        <f t="shared" ref="Y32:AK32" si="33">+X32-Y14</f>
        <v>216</v>
      </c>
      <c r="Z32" s="442">
        <f t="shared" si="33"/>
        <v>208</v>
      </c>
      <c r="AA32" s="442">
        <f t="shared" si="33"/>
        <v>200</v>
      </c>
      <c r="AB32" s="442">
        <f t="shared" si="33"/>
        <v>192</v>
      </c>
      <c r="AC32" s="442">
        <f t="shared" si="33"/>
        <v>184</v>
      </c>
      <c r="AD32" s="442">
        <f t="shared" si="33"/>
        <v>176</v>
      </c>
      <c r="AE32" s="442">
        <f t="shared" si="33"/>
        <v>168</v>
      </c>
      <c r="AF32" s="442">
        <f t="shared" si="33"/>
        <v>160</v>
      </c>
      <c r="AG32" s="442">
        <f t="shared" si="33"/>
        <v>152</v>
      </c>
      <c r="AH32" s="442">
        <f t="shared" si="33"/>
        <v>144</v>
      </c>
      <c r="AI32" s="442">
        <f t="shared" si="33"/>
        <v>136</v>
      </c>
      <c r="AJ32" s="442">
        <f t="shared" si="33"/>
        <v>128</v>
      </c>
      <c r="AK32" s="442">
        <f t="shared" si="33"/>
        <v>120</v>
      </c>
    </row>
    <row r="33" spans="1:37" ht="15" outlineLevel="1">
      <c r="A33" s="438" t="s">
        <v>430</v>
      </c>
      <c r="F33" s="442">
        <f>+E4-F15</f>
        <v>78.3</v>
      </c>
      <c r="G33" s="442">
        <f t="shared" ref="G33:R33" si="34">+F33-G15</f>
        <v>69.599999999999994</v>
      </c>
      <c r="H33" s="442">
        <f t="shared" si="34"/>
        <v>60.899999999999991</v>
      </c>
      <c r="I33" s="442">
        <f t="shared" si="34"/>
        <v>52.199999999999989</v>
      </c>
      <c r="J33" s="442">
        <f t="shared" si="34"/>
        <v>43.499999999999986</v>
      </c>
      <c r="K33" s="442">
        <f t="shared" si="34"/>
        <v>34.799999999999983</v>
      </c>
      <c r="L33" s="442">
        <f t="shared" si="34"/>
        <v>26.09999999999998</v>
      </c>
      <c r="M33" s="442">
        <f t="shared" si="34"/>
        <v>17.399999999999977</v>
      </c>
      <c r="N33" s="442">
        <f t="shared" si="34"/>
        <v>8.6999999999999762</v>
      </c>
      <c r="O33" s="442">
        <f t="shared" si="34"/>
        <v>-2.4868995751603507E-14</v>
      </c>
      <c r="P33" s="442">
        <f t="shared" si="34"/>
        <v>-2.4868995751603507E-14</v>
      </c>
      <c r="Q33" s="442">
        <f t="shared" si="34"/>
        <v>-2.4868995751603507E-14</v>
      </c>
      <c r="R33" s="442">
        <f t="shared" si="34"/>
        <v>-2.4868995751603507E-14</v>
      </c>
      <c r="T33" s="438" t="s">
        <v>431</v>
      </c>
      <c r="Y33" s="442">
        <f>+X5-Y15</f>
        <v>1343.0344827586207</v>
      </c>
      <c r="Z33" s="442">
        <f t="shared" ref="Z33:AK33" si="35">+Y33-Z15</f>
        <v>1295.0689655172414</v>
      </c>
      <c r="AA33" s="442">
        <f t="shared" si="35"/>
        <v>1247.1034482758621</v>
      </c>
      <c r="AB33" s="442">
        <f t="shared" si="35"/>
        <v>1199.1379310344828</v>
      </c>
      <c r="AC33" s="442">
        <f t="shared" si="35"/>
        <v>1151.1724137931035</v>
      </c>
      <c r="AD33" s="442">
        <f t="shared" si="35"/>
        <v>1103.2068965517242</v>
      </c>
      <c r="AE33" s="442">
        <f t="shared" si="35"/>
        <v>1055.2413793103449</v>
      </c>
      <c r="AF33" s="442">
        <f t="shared" si="35"/>
        <v>1007.2758620689656</v>
      </c>
      <c r="AG33" s="442">
        <f t="shared" si="35"/>
        <v>959.31034482758628</v>
      </c>
      <c r="AH33" s="442">
        <f t="shared" si="35"/>
        <v>911.34482758620697</v>
      </c>
      <c r="AI33" s="442">
        <f t="shared" si="35"/>
        <v>863.37931034482767</v>
      </c>
      <c r="AJ33" s="442">
        <f t="shared" si="35"/>
        <v>815.41379310344837</v>
      </c>
      <c r="AK33" s="442">
        <f t="shared" si="35"/>
        <v>767.44827586206907</v>
      </c>
    </row>
    <row r="34" spans="1:37" ht="15" outlineLevel="1">
      <c r="A34" s="438" t="s">
        <v>432</v>
      </c>
      <c r="G34" s="439">
        <f>+F4-G16</f>
        <v>0</v>
      </c>
      <c r="H34" s="439">
        <f t="shared" ref="H34:R34" si="36">+G34-H16</f>
        <v>0</v>
      </c>
      <c r="I34" s="439">
        <f t="shared" si="36"/>
        <v>0</v>
      </c>
      <c r="J34" s="439">
        <f t="shared" si="36"/>
        <v>0</v>
      </c>
      <c r="K34" s="439">
        <f t="shared" si="36"/>
        <v>0</v>
      </c>
      <c r="L34" s="439">
        <f t="shared" si="36"/>
        <v>0</v>
      </c>
      <c r="M34" s="439">
        <f t="shared" si="36"/>
        <v>0</v>
      </c>
      <c r="N34" s="439">
        <f t="shared" si="36"/>
        <v>0</v>
      </c>
      <c r="O34" s="439">
        <f t="shared" si="36"/>
        <v>0</v>
      </c>
      <c r="P34" s="439">
        <f t="shared" si="36"/>
        <v>0</v>
      </c>
      <c r="Q34" s="439">
        <f t="shared" si="36"/>
        <v>0</v>
      </c>
      <c r="R34" s="439">
        <f t="shared" si="36"/>
        <v>0</v>
      </c>
      <c r="T34" s="438" t="s">
        <v>433</v>
      </c>
      <c r="Z34" s="442">
        <f>+Y5-Z16</f>
        <v>143052.96551724139</v>
      </c>
      <c r="AA34" s="442">
        <f t="shared" ref="AA34:AK34" si="37">+Z34-AA16</f>
        <v>137943.93103448278</v>
      </c>
      <c r="AB34" s="442">
        <f t="shared" si="37"/>
        <v>132834.89655172417</v>
      </c>
      <c r="AC34" s="442">
        <f t="shared" si="37"/>
        <v>127725.86206896555</v>
      </c>
      <c r="AD34" s="442">
        <f t="shared" si="37"/>
        <v>122616.82758620693</v>
      </c>
      <c r="AE34" s="442">
        <f t="shared" si="37"/>
        <v>117507.7931034483</v>
      </c>
      <c r="AF34" s="442">
        <f t="shared" si="37"/>
        <v>112398.75862068968</v>
      </c>
      <c r="AG34" s="442">
        <f t="shared" si="37"/>
        <v>107289.72413793106</v>
      </c>
      <c r="AH34" s="442">
        <f t="shared" si="37"/>
        <v>102180.68965517243</v>
      </c>
      <c r="AI34" s="442">
        <f t="shared" si="37"/>
        <v>97071.655172413812</v>
      </c>
      <c r="AJ34" s="442">
        <f t="shared" si="37"/>
        <v>91962.620689655188</v>
      </c>
      <c r="AK34" s="442">
        <f t="shared" si="37"/>
        <v>86853.586206896565</v>
      </c>
    </row>
    <row r="35" spans="1:37" ht="15" outlineLevel="1">
      <c r="A35" s="438" t="s">
        <v>434</v>
      </c>
      <c r="H35" s="442">
        <f>+G4-H17</f>
        <v>205.2</v>
      </c>
      <c r="I35" s="439">
        <f t="shared" ref="I35:R35" si="38">+H35-I17</f>
        <v>182.39999999999998</v>
      </c>
      <c r="J35" s="439">
        <f t="shared" si="38"/>
        <v>159.59999999999997</v>
      </c>
      <c r="K35" s="439">
        <f t="shared" si="38"/>
        <v>136.79999999999995</v>
      </c>
      <c r="L35" s="439">
        <f t="shared" si="38"/>
        <v>113.99999999999996</v>
      </c>
      <c r="M35" s="439">
        <f t="shared" si="38"/>
        <v>91.19999999999996</v>
      </c>
      <c r="N35" s="439">
        <f t="shared" si="38"/>
        <v>68.399999999999963</v>
      </c>
      <c r="O35" s="439">
        <f t="shared" si="38"/>
        <v>45.599999999999966</v>
      </c>
      <c r="P35" s="439">
        <f t="shared" si="38"/>
        <v>22.799999999999965</v>
      </c>
      <c r="Q35" s="439">
        <f t="shared" si="38"/>
        <v>-3.5527136788005009E-14</v>
      </c>
      <c r="R35" s="439">
        <f t="shared" si="38"/>
        <v>-3.5527136788005009E-14</v>
      </c>
      <c r="T35" s="438" t="s">
        <v>435</v>
      </c>
      <c r="AA35" s="442">
        <f>+Z5-AA17</f>
        <v>17789.655172413793</v>
      </c>
      <c r="AB35" s="442">
        <f t="shared" ref="AB35:AK35" si="39">+AA35-AB17</f>
        <v>17154.310344827587</v>
      </c>
      <c r="AC35" s="442">
        <f t="shared" si="39"/>
        <v>16518.96551724138</v>
      </c>
      <c r="AD35" s="442">
        <f t="shared" si="39"/>
        <v>15883.620689655174</v>
      </c>
      <c r="AE35" s="442">
        <f t="shared" si="39"/>
        <v>15248.275862068967</v>
      </c>
      <c r="AF35" s="442">
        <f t="shared" si="39"/>
        <v>14612.931034482761</v>
      </c>
      <c r="AG35" s="442">
        <f t="shared" si="39"/>
        <v>13977.586206896554</v>
      </c>
      <c r="AH35" s="442">
        <f t="shared" si="39"/>
        <v>13342.241379310348</v>
      </c>
      <c r="AI35" s="442">
        <f t="shared" si="39"/>
        <v>12706.896551724141</v>
      </c>
      <c r="AJ35" s="442">
        <f t="shared" si="39"/>
        <v>12071.551724137935</v>
      </c>
      <c r="AK35" s="442">
        <f t="shared" si="39"/>
        <v>11436.206896551728</v>
      </c>
    </row>
    <row r="36" spans="1:37" ht="15" outlineLevel="1">
      <c r="A36" s="438" t="s">
        <v>436</v>
      </c>
      <c r="H36" s="442"/>
      <c r="I36" s="442">
        <f>+H4-I18</f>
        <v>3.6</v>
      </c>
      <c r="J36" s="439">
        <f t="shared" ref="J36:R36" si="40">+I36-J18</f>
        <v>3.2</v>
      </c>
      <c r="K36" s="439">
        <f t="shared" si="40"/>
        <v>2.8000000000000003</v>
      </c>
      <c r="L36" s="439">
        <f t="shared" si="40"/>
        <v>2.4000000000000004</v>
      </c>
      <c r="M36" s="439">
        <f t="shared" si="40"/>
        <v>2.0000000000000004</v>
      </c>
      <c r="N36" s="439">
        <f t="shared" si="40"/>
        <v>1.6000000000000005</v>
      </c>
      <c r="O36" s="439">
        <f t="shared" si="40"/>
        <v>1.2000000000000006</v>
      </c>
      <c r="P36" s="439">
        <f t="shared" si="40"/>
        <v>0.8000000000000006</v>
      </c>
      <c r="Q36" s="439">
        <f t="shared" si="40"/>
        <v>0.40000000000000058</v>
      </c>
      <c r="R36" s="439">
        <f t="shared" si="40"/>
        <v>5.5511151231257827E-16</v>
      </c>
      <c r="T36" s="438" t="s">
        <v>437</v>
      </c>
      <c r="AA36" s="442"/>
      <c r="AB36" s="442">
        <f>+AA5-AB18</f>
        <v>4892.2758620689656</v>
      </c>
      <c r="AC36" s="442">
        <f t="shared" ref="AC36:AK36" si="41">+AB36-AC18</f>
        <v>4717.5517241379312</v>
      </c>
      <c r="AD36" s="442">
        <f t="shared" si="41"/>
        <v>4542.8275862068967</v>
      </c>
      <c r="AE36" s="442">
        <f t="shared" si="41"/>
        <v>4368.1034482758623</v>
      </c>
      <c r="AF36" s="442">
        <f t="shared" si="41"/>
        <v>4193.3793103448279</v>
      </c>
      <c r="AG36" s="442">
        <f t="shared" si="41"/>
        <v>4018.6551724137935</v>
      </c>
      <c r="AH36" s="442">
        <f t="shared" si="41"/>
        <v>3843.9310344827591</v>
      </c>
      <c r="AI36" s="442">
        <f t="shared" si="41"/>
        <v>3669.2068965517246</v>
      </c>
      <c r="AJ36" s="442">
        <f t="shared" si="41"/>
        <v>3494.4827586206902</v>
      </c>
      <c r="AK36" s="442">
        <f t="shared" si="41"/>
        <v>3319.7586206896558</v>
      </c>
    </row>
    <row r="37" spans="1:37" ht="15" outlineLevel="1">
      <c r="A37" s="438" t="s">
        <v>438</v>
      </c>
      <c r="H37" s="442"/>
      <c r="I37" s="439"/>
      <c r="J37" s="442">
        <f>+I4-J19</f>
        <v>-356.4</v>
      </c>
      <c r="K37" s="439">
        <f t="shared" ref="K37:R37" si="42">+J37-K19</f>
        <v>-316.79999999999995</v>
      </c>
      <c r="L37" s="439">
        <f t="shared" si="42"/>
        <v>-277.19999999999993</v>
      </c>
      <c r="M37" s="439">
        <f t="shared" si="42"/>
        <v>-237.59999999999994</v>
      </c>
      <c r="N37" s="439">
        <f t="shared" si="42"/>
        <v>-197.99999999999994</v>
      </c>
      <c r="O37" s="439">
        <f t="shared" si="42"/>
        <v>-158.39999999999995</v>
      </c>
      <c r="P37" s="439">
        <f t="shared" si="42"/>
        <v>-118.79999999999995</v>
      </c>
      <c r="Q37" s="439">
        <f t="shared" si="42"/>
        <v>-79.19999999999996</v>
      </c>
      <c r="R37" s="439">
        <f t="shared" si="42"/>
        <v>-39.599999999999959</v>
      </c>
      <c r="T37" s="438" t="s">
        <v>439</v>
      </c>
      <c r="AA37" s="442"/>
      <c r="AB37" s="442"/>
      <c r="AC37" s="442">
        <f>+AB5-AC19</f>
        <v>224.9655172413793</v>
      </c>
      <c r="AD37" s="442">
        <f t="shared" ref="AD37:AK37" si="43">+AC37-AD19</f>
        <v>216.93103448275861</v>
      </c>
      <c r="AE37" s="442">
        <f t="shared" si="43"/>
        <v>208.89655172413791</v>
      </c>
      <c r="AF37" s="442">
        <f t="shared" si="43"/>
        <v>200.86206896551721</v>
      </c>
      <c r="AG37" s="442">
        <f t="shared" si="43"/>
        <v>192.82758620689651</v>
      </c>
      <c r="AH37" s="442">
        <f t="shared" si="43"/>
        <v>184.79310344827582</v>
      </c>
      <c r="AI37" s="442">
        <f t="shared" si="43"/>
        <v>176.75862068965512</v>
      </c>
      <c r="AJ37" s="442">
        <f t="shared" si="43"/>
        <v>168.72413793103442</v>
      </c>
      <c r="AK37" s="442">
        <f t="shared" si="43"/>
        <v>160.68965517241372</v>
      </c>
    </row>
    <row r="38" spans="1:37" ht="15" outlineLevel="1">
      <c r="A38" s="438" t="s">
        <v>440</v>
      </c>
      <c r="H38" s="442"/>
      <c r="I38" s="439"/>
      <c r="J38" s="439"/>
      <c r="K38" s="442">
        <f>+J4-K20</f>
        <v>108</v>
      </c>
      <c r="L38" s="439">
        <f t="shared" ref="L38:R38" si="44">+K38-L20</f>
        <v>96</v>
      </c>
      <c r="M38" s="439">
        <f t="shared" si="44"/>
        <v>84</v>
      </c>
      <c r="N38" s="439">
        <f t="shared" si="44"/>
        <v>72</v>
      </c>
      <c r="O38" s="439">
        <f t="shared" si="44"/>
        <v>60</v>
      </c>
      <c r="P38" s="439">
        <f t="shared" si="44"/>
        <v>48</v>
      </c>
      <c r="Q38" s="439">
        <f t="shared" si="44"/>
        <v>36</v>
      </c>
      <c r="R38" s="439">
        <f t="shared" si="44"/>
        <v>24</v>
      </c>
      <c r="T38" s="438" t="s">
        <v>441</v>
      </c>
      <c r="AA38" s="442"/>
      <c r="AB38" s="442"/>
      <c r="AC38" s="442"/>
      <c r="AD38" s="442">
        <f>+AC5-AD20</f>
        <v>52330.068965517239</v>
      </c>
      <c r="AE38" s="442">
        <f t="shared" ref="AE38:AK38" si="45">+AD38-AE20</f>
        <v>50461.137931034478</v>
      </c>
      <c r="AF38" s="442">
        <f t="shared" si="45"/>
        <v>48592.206896551717</v>
      </c>
      <c r="AG38" s="442">
        <f t="shared" si="45"/>
        <v>46723.275862068956</v>
      </c>
      <c r="AH38" s="442">
        <f t="shared" si="45"/>
        <v>44854.344827586196</v>
      </c>
      <c r="AI38" s="442">
        <f t="shared" si="45"/>
        <v>42985.413793103435</v>
      </c>
      <c r="AJ38" s="442">
        <f t="shared" si="45"/>
        <v>41116.482758620674</v>
      </c>
      <c r="AK38" s="442">
        <f t="shared" si="45"/>
        <v>39247.551724137913</v>
      </c>
    </row>
    <row r="39" spans="1:37" ht="15" outlineLevel="1">
      <c r="A39" s="438" t="s">
        <v>442</v>
      </c>
      <c r="H39" s="442"/>
      <c r="I39" s="439"/>
      <c r="J39" s="439"/>
      <c r="K39" s="439"/>
      <c r="L39" s="442">
        <f>+K4-L21</f>
        <v>116.1</v>
      </c>
      <c r="M39" s="439">
        <f t="shared" ref="M39:R39" si="46">+L39-M21</f>
        <v>103.19999999999999</v>
      </c>
      <c r="N39" s="439">
        <f t="shared" si="46"/>
        <v>90.299999999999983</v>
      </c>
      <c r="O39" s="439">
        <f t="shared" si="46"/>
        <v>77.399999999999977</v>
      </c>
      <c r="P39" s="439">
        <f t="shared" si="46"/>
        <v>64.499999999999972</v>
      </c>
      <c r="Q39" s="439">
        <f t="shared" si="46"/>
        <v>51.599999999999973</v>
      </c>
      <c r="R39" s="439">
        <f t="shared" si="46"/>
        <v>38.699999999999974</v>
      </c>
      <c r="T39" s="438" t="s">
        <v>443</v>
      </c>
      <c r="AA39" s="442"/>
      <c r="AB39" s="442"/>
      <c r="AC39" s="442"/>
      <c r="AD39" s="442"/>
      <c r="AE39" s="442">
        <f>+AD5-AE21</f>
        <v>4566.8965517241377</v>
      </c>
      <c r="AF39" s="442">
        <f t="shared" ref="AF39:AK39" si="47">+AE39-AF21</f>
        <v>4403.7931034482754</v>
      </c>
      <c r="AG39" s="442">
        <f t="shared" si="47"/>
        <v>4240.689655172413</v>
      </c>
      <c r="AH39" s="442">
        <f t="shared" si="47"/>
        <v>4077.5862068965512</v>
      </c>
      <c r="AI39" s="442">
        <f t="shared" si="47"/>
        <v>3914.4827586206893</v>
      </c>
      <c r="AJ39" s="442">
        <f t="shared" si="47"/>
        <v>3751.3793103448274</v>
      </c>
      <c r="AK39" s="442">
        <f t="shared" si="47"/>
        <v>3588.2758620689656</v>
      </c>
    </row>
    <row r="40" spans="1:37" ht="15" outlineLevel="1">
      <c r="A40" s="438" t="s">
        <v>444</v>
      </c>
      <c r="H40" s="442"/>
      <c r="I40" s="439"/>
      <c r="J40" s="439"/>
      <c r="K40" s="439"/>
      <c r="L40" s="442"/>
      <c r="M40" s="442">
        <f>+L4-M22</f>
        <v>187.2</v>
      </c>
      <c r="N40" s="442">
        <f>+M40-N22</f>
        <v>166.39999999999998</v>
      </c>
      <c r="O40" s="442">
        <f>+N40-O22</f>
        <v>145.59999999999997</v>
      </c>
      <c r="P40" s="442">
        <f>+O40-P22</f>
        <v>124.79999999999997</v>
      </c>
      <c r="Q40" s="442">
        <f>+P40-Q22</f>
        <v>103.99999999999997</v>
      </c>
      <c r="R40" s="442">
        <f>+Q40-R22</f>
        <v>83.199999999999974</v>
      </c>
      <c r="T40" s="438" t="s">
        <v>445</v>
      </c>
      <c r="AA40" s="442"/>
      <c r="AB40" s="442"/>
      <c r="AC40" s="442"/>
      <c r="AD40" s="442"/>
      <c r="AE40" s="442"/>
      <c r="AF40" s="442">
        <f>+AE5-AF22</f>
        <v>2932.2758620689656</v>
      </c>
      <c r="AG40" s="442">
        <f>+AF40-AG22</f>
        <v>2827.5517241379312</v>
      </c>
      <c r="AH40" s="442">
        <f>+AG40-AH22</f>
        <v>2722.8275862068967</v>
      </c>
      <c r="AI40" s="442">
        <f>+AH40-AI22</f>
        <v>2618.1034482758623</v>
      </c>
      <c r="AJ40" s="442">
        <f>+AI40-AJ22</f>
        <v>2513.3793103448279</v>
      </c>
      <c r="AK40" s="442">
        <f>+AJ40-AK22</f>
        <v>2408.6551724137935</v>
      </c>
    </row>
    <row r="41" spans="1:37" ht="15" outlineLevel="1">
      <c r="A41" s="438" t="s">
        <v>537</v>
      </c>
      <c r="H41" s="442"/>
      <c r="I41" s="439"/>
      <c r="J41" s="439"/>
      <c r="K41" s="439"/>
      <c r="L41" s="442"/>
      <c r="M41" s="442"/>
      <c r="N41" s="442">
        <f>+M4-N23</f>
        <v>7.2</v>
      </c>
      <c r="O41" s="442">
        <f>+N41-O23</f>
        <v>6.4</v>
      </c>
      <c r="P41" s="442">
        <f>+O41-P23</f>
        <v>5.6000000000000005</v>
      </c>
      <c r="Q41" s="442">
        <f>+P41-Q23</f>
        <v>4.8000000000000007</v>
      </c>
      <c r="R41" s="442">
        <f>+Q41-R23</f>
        <v>4.0000000000000009</v>
      </c>
      <c r="T41" s="438" t="s">
        <v>542</v>
      </c>
      <c r="AA41" s="442"/>
      <c r="AB41" s="442"/>
      <c r="AC41" s="442"/>
      <c r="AD41" s="442"/>
      <c r="AE41" s="442"/>
      <c r="AF41" s="442"/>
      <c r="AG41" s="442">
        <f>+AF5-AG23</f>
        <v>28322.482758620688</v>
      </c>
      <c r="AH41" s="442">
        <f>+AG41-AH23</f>
        <v>27310.965517241377</v>
      </c>
      <c r="AI41" s="442">
        <f>+AH41-AI23</f>
        <v>26299.448275862065</v>
      </c>
      <c r="AJ41" s="442">
        <f>+AI41-AJ23</f>
        <v>25287.931034482754</v>
      </c>
      <c r="AK41" s="442">
        <f>+AJ41-AK23</f>
        <v>24276.413793103442</v>
      </c>
    </row>
    <row r="42" spans="1:37" ht="15" outlineLevel="1">
      <c r="A42" s="438" t="s">
        <v>538</v>
      </c>
      <c r="H42" s="442"/>
      <c r="I42" s="439"/>
      <c r="J42" s="439"/>
      <c r="K42" s="439"/>
      <c r="L42" s="442"/>
      <c r="M42" s="442"/>
      <c r="N42" s="442"/>
      <c r="O42" s="442">
        <f>+N4-O24</f>
        <v>65.7</v>
      </c>
      <c r="P42" s="442">
        <f>+O42-P24</f>
        <v>58.400000000000006</v>
      </c>
      <c r="Q42" s="442">
        <f>+P42-Q24</f>
        <v>51.100000000000009</v>
      </c>
      <c r="R42" s="442">
        <f>+Q42-R24</f>
        <v>43.800000000000011</v>
      </c>
      <c r="T42" s="438" t="s">
        <v>543</v>
      </c>
      <c r="AA42" s="442"/>
      <c r="AB42" s="442"/>
      <c r="AC42" s="442"/>
      <c r="AD42" s="442"/>
      <c r="AE42" s="442"/>
      <c r="AF42" s="442"/>
      <c r="AH42" s="439">
        <f>+AG5-AH24</f>
        <v>7417.1034482758623</v>
      </c>
      <c r="AI42" s="442">
        <f>+AH42-AI24</f>
        <v>7152.2068965517246</v>
      </c>
      <c r="AJ42" s="442">
        <f>+AI42-AJ24</f>
        <v>6887.310344827587</v>
      </c>
      <c r="AK42" s="442">
        <f>+AJ42-AK24</f>
        <v>6622.4137931034493</v>
      </c>
    </row>
    <row r="43" spans="1:37" ht="15" outlineLevel="1">
      <c r="A43" s="438" t="s">
        <v>539</v>
      </c>
      <c r="H43" s="442"/>
      <c r="I43" s="439"/>
      <c r="J43" s="439"/>
      <c r="K43" s="439"/>
      <c r="L43" s="442"/>
      <c r="M43" s="442"/>
      <c r="N43" s="442"/>
      <c r="O43" s="442"/>
      <c r="P43" s="442">
        <f>+O4-P25</f>
        <v>426.6</v>
      </c>
      <c r="Q43" s="442">
        <f>+P43-Q25</f>
        <v>379.20000000000005</v>
      </c>
      <c r="R43" s="442">
        <f>+Q43-R25</f>
        <v>331.80000000000007</v>
      </c>
      <c r="T43" s="438" t="s">
        <v>544</v>
      </c>
      <c r="AA43" s="442"/>
      <c r="AB43" s="442"/>
      <c r="AC43" s="442"/>
      <c r="AD43" s="442"/>
      <c r="AE43" s="442"/>
      <c r="AF43" s="442"/>
      <c r="AI43" s="439">
        <f>+AH5-AI25</f>
        <v>13007.448275862069</v>
      </c>
      <c r="AJ43" s="442">
        <f>+AI43-AJ25</f>
        <v>12542.896551724138</v>
      </c>
      <c r="AK43" s="442">
        <f>+AJ43-AK25</f>
        <v>12078.344827586207</v>
      </c>
    </row>
    <row r="44" spans="1:37" ht="15" outlineLevel="1">
      <c r="A44" s="438" t="s">
        <v>540</v>
      </c>
      <c r="H44" s="442"/>
      <c r="I44" s="439"/>
      <c r="J44" s="439"/>
      <c r="K44" s="439"/>
      <c r="L44" s="442"/>
      <c r="M44" s="442"/>
      <c r="N44" s="442"/>
      <c r="O44" s="442"/>
      <c r="P44" s="442"/>
      <c r="Q44" s="442">
        <f>+P4-Q26</f>
        <v>244.8</v>
      </c>
      <c r="R44" s="442">
        <f>+Q44-R26</f>
        <v>217.60000000000002</v>
      </c>
      <c r="T44" s="438" t="s">
        <v>545</v>
      </c>
      <c r="AA44" s="442"/>
      <c r="AB44" s="442"/>
      <c r="AC44" s="442"/>
      <c r="AD44" s="442"/>
      <c r="AE44" s="442"/>
      <c r="AF44" s="442"/>
      <c r="AJ44" s="439">
        <f>+AI5-AJ26</f>
        <v>7672.9655172413795</v>
      </c>
      <c r="AK44" s="442">
        <f>+AJ44-AK26</f>
        <v>7398.9310344827591</v>
      </c>
    </row>
    <row r="45" spans="1:37" ht="15" outlineLevel="1">
      <c r="A45" s="438" t="s">
        <v>541</v>
      </c>
      <c r="H45" s="442"/>
      <c r="I45" s="439"/>
      <c r="J45" s="439"/>
      <c r="K45" s="439"/>
      <c r="L45" s="442"/>
      <c r="M45" s="442"/>
      <c r="N45" s="442"/>
      <c r="O45" s="442"/>
      <c r="P45" s="442"/>
      <c r="Q45" s="442"/>
      <c r="R45" s="442">
        <f>+Q4-R27</f>
        <v>2226.6</v>
      </c>
      <c r="T45" s="438" t="s">
        <v>546</v>
      </c>
      <c r="AA45" s="442"/>
      <c r="AB45" s="442"/>
      <c r="AC45" s="442"/>
      <c r="AD45" s="442"/>
      <c r="AE45" s="442"/>
      <c r="AF45" s="442"/>
      <c r="AK45" s="439">
        <f>+AJ5-AK27</f>
        <v>5188.6896551724139</v>
      </c>
    </row>
    <row r="46" spans="1:37" ht="15">
      <c r="A46" s="438"/>
      <c r="H46" s="442"/>
      <c r="I46" s="439"/>
      <c r="J46" s="439"/>
      <c r="K46" s="439"/>
      <c r="L46" s="442"/>
      <c r="M46" s="442"/>
      <c r="N46" s="442"/>
      <c r="O46" s="442"/>
      <c r="P46" s="442"/>
      <c r="Q46" s="442"/>
      <c r="R46" s="442"/>
      <c r="T46" s="438"/>
      <c r="AA46" s="442"/>
      <c r="AB46" s="442"/>
      <c r="AC46" s="442"/>
      <c r="AD46" s="442"/>
      <c r="AE46" s="442"/>
      <c r="AF46" s="442"/>
    </row>
    <row r="47" spans="1:37" ht="15">
      <c r="A47" s="443" t="s">
        <v>447</v>
      </c>
      <c r="B47" s="444">
        <f>+B4</f>
        <v>0</v>
      </c>
      <c r="C47" s="444">
        <f t="shared" ref="C47:R47" si="48">+C4+SUM(C30:C45)</f>
        <v>3284</v>
      </c>
      <c r="D47" s="444">
        <f t="shared" si="48"/>
        <v>3014.6</v>
      </c>
      <c r="E47" s="444">
        <f t="shared" si="48"/>
        <v>2767.2999999999997</v>
      </c>
      <c r="F47" s="444">
        <f t="shared" si="48"/>
        <v>2424.2999999999997</v>
      </c>
      <c r="G47" s="444">
        <f t="shared" si="48"/>
        <v>2309.2999999999997</v>
      </c>
      <c r="H47" s="444">
        <f t="shared" si="48"/>
        <v>1947.4999999999998</v>
      </c>
      <c r="I47" s="444">
        <f t="shared" si="48"/>
        <v>1185.2999999999993</v>
      </c>
      <c r="J47" s="444">
        <f t="shared" si="48"/>
        <v>978.69999999999925</v>
      </c>
      <c r="K47" s="444">
        <f t="shared" si="48"/>
        <v>769.09999999999923</v>
      </c>
      <c r="L47" s="444">
        <f t="shared" si="48"/>
        <v>625.59999999999923</v>
      </c>
      <c r="M47" s="444">
        <f t="shared" si="48"/>
        <v>261.29999999999916</v>
      </c>
      <c r="N47" s="444">
        <f t="shared" si="48"/>
        <v>289.59999999999917</v>
      </c>
      <c r="O47" s="444">
        <f t="shared" si="48"/>
        <v>717.49999999999909</v>
      </c>
      <c r="P47" s="444">
        <f t="shared" si="48"/>
        <v>904.69999999999914</v>
      </c>
      <c r="Q47" s="444">
        <f t="shared" si="48"/>
        <v>3266.6999999999989</v>
      </c>
      <c r="R47" s="444">
        <f t="shared" si="48"/>
        <v>3021.0999999999995</v>
      </c>
      <c r="T47" s="443" t="s">
        <v>448</v>
      </c>
      <c r="U47" s="444">
        <f>+U5</f>
        <v>2684.1702857142859</v>
      </c>
      <c r="V47" s="444">
        <f t="shared" ref="V47:AK47" si="49">+V5+SUM(V30:V45)</f>
        <v>3852.6126896551727</v>
      </c>
      <c r="W47" s="444">
        <f t="shared" si="49"/>
        <v>3948.5723349753698</v>
      </c>
      <c r="X47" s="444">
        <f t="shared" si="49"/>
        <v>5195.5319802955673</v>
      </c>
      <c r="Y47" s="444">
        <f t="shared" si="49"/>
        <v>153165.52610837438</v>
      </c>
      <c r="Z47" s="444">
        <f t="shared" si="49"/>
        <v>166289.48575369461</v>
      </c>
      <c r="AA47" s="444">
        <f t="shared" si="49"/>
        <v>165420.1005714286</v>
      </c>
      <c r="AB47" s="444">
        <f t="shared" si="49"/>
        <v>159541.99125123155</v>
      </c>
      <c r="AC47" s="444">
        <f t="shared" si="49"/>
        <v>207621.84744827592</v>
      </c>
      <c r="AD47" s="444">
        <f t="shared" si="49"/>
        <v>204363.77261083748</v>
      </c>
      <c r="AE47" s="444">
        <f t="shared" si="49"/>
        <v>199249.59432512321</v>
      </c>
      <c r="AF47" s="444">
        <f t="shared" si="49"/>
        <v>220327.69190147784</v>
      </c>
      <c r="AG47" s="444">
        <f t="shared" si="49"/>
        <v>218742.27223645322</v>
      </c>
      <c r="AH47" s="444">
        <f t="shared" si="49"/>
        <v>222681.95601970443</v>
      </c>
      <c r="AI47" s="444">
        <f t="shared" si="49"/>
        <v>220632.08807881773</v>
      </c>
      <c r="AJ47" s="444">
        <f t="shared" si="49"/>
        <v>215735.18565517248</v>
      </c>
      <c r="AK47" s="444">
        <f t="shared" si="49"/>
        <v>208491.97288669948</v>
      </c>
    </row>
    <row r="49" spans="1:38" ht="15" outlineLevel="1">
      <c r="A49" s="438" t="s">
        <v>423</v>
      </c>
      <c r="B49" s="403">
        <v>2001</v>
      </c>
      <c r="C49" s="403">
        <v>2002</v>
      </c>
      <c r="D49" s="403">
        <v>2003</v>
      </c>
      <c r="E49" s="403">
        <v>2004</v>
      </c>
      <c r="F49" s="403">
        <v>2005</v>
      </c>
      <c r="G49" s="403">
        <v>2006</v>
      </c>
      <c r="H49" s="404">
        <v>2007</v>
      </c>
      <c r="I49" s="403">
        <v>2008</v>
      </c>
      <c r="J49" s="404">
        <v>2009</v>
      </c>
      <c r="K49" s="403">
        <v>2010</v>
      </c>
      <c r="L49" s="403">
        <v>2011</v>
      </c>
      <c r="M49" s="403">
        <v>2012</v>
      </c>
      <c r="N49" s="403">
        <v>2013</v>
      </c>
      <c r="O49" s="403">
        <v>2014</v>
      </c>
      <c r="P49" s="403">
        <v>2015</v>
      </c>
      <c r="Q49" s="403">
        <v>2016</v>
      </c>
      <c r="R49" s="403">
        <v>2017</v>
      </c>
      <c r="T49" s="438" t="s">
        <v>423</v>
      </c>
      <c r="U49" s="403">
        <v>2001</v>
      </c>
      <c r="V49" s="403">
        <v>2002</v>
      </c>
      <c r="W49" s="403">
        <v>2003</v>
      </c>
      <c r="X49" s="403">
        <v>2004</v>
      </c>
      <c r="Y49" s="403">
        <v>2005</v>
      </c>
      <c r="Z49" s="403">
        <v>2006</v>
      </c>
      <c r="AA49" s="404">
        <v>2007</v>
      </c>
      <c r="AB49" s="403">
        <v>2008</v>
      </c>
      <c r="AC49" s="404">
        <v>2009</v>
      </c>
      <c r="AD49" s="403">
        <v>2010</v>
      </c>
      <c r="AE49" s="404">
        <v>2011</v>
      </c>
      <c r="AF49" s="403">
        <v>2012</v>
      </c>
      <c r="AG49" s="404">
        <v>2013</v>
      </c>
      <c r="AH49" s="403">
        <v>2014</v>
      </c>
      <c r="AI49" s="404">
        <v>2015</v>
      </c>
      <c r="AJ49" s="403">
        <v>2016</v>
      </c>
      <c r="AK49" s="404">
        <v>2017</v>
      </c>
    </row>
    <row r="50" spans="1:38" ht="15" outlineLevel="1">
      <c r="A50" s="438" t="s">
        <v>449</v>
      </c>
      <c r="B50" s="439"/>
      <c r="C50" s="439">
        <f>+$B5*$S50</f>
        <v>95.337142857142851</v>
      </c>
      <c r="D50" s="439">
        <f>+$B5*$S50</f>
        <v>95.337142857142851</v>
      </c>
      <c r="E50" s="439">
        <f>+$B5*$S50</f>
        <v>95.337142857142851</v>
      </c>
      <c r="F50" s="439">
        <f>+$B5*$S50</f>
        <v>95.337142857142851</v>
      </c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40">
        <f>+'INPUT K'!C26</f>
        <v>0.25</v>
      </c>
      <c r="T50" s="438" t="s">
        <v>451</v>
      </c>
      <c r="V50" s="439">
        <f t="shared" ref="V50:AK50" si="50">+$U$6*$AL$50</f>
        <v>126.61293333333333</v>
      </c>
      <c r="W50" s="439">
        <f t="shared" si="50"/>
        <v>126.61293333333333</v>
      </c>
      <c r="X50" s="439">
        <f t="shared" si="50"/>
        <v>126.61293333333333</v>
      </c>
      <c r="Y50" s="439">
        <f t="shared" si="50"/>
        <v>126.61293333333333</v>
      </c>
      <c r="Z50" s="439">
        <f t="shared" si="50"/>
        <v>126.61293333333333</v>
      </c>
      <c r="AA50" s="439">
        <f t="shared" si="50"/>
        <v>126.61293333333333</v>
      </c>
      <c r="AB50" s="439">
        <f t="shared" si="50"/>
        <v>126.61293333333333</v>
      </c>
      <c r="AC50" s="439">
        <f t="shared" si="50"/>
        <v>126.61293333333333</v>
      </c>
      <c r="AD50" s="439">
        <f t="shared" si="50"/>
        <v>126.61293333333333</v>
      </c>
      <c r="AE50" s="439">
        <f t="shared" si="50"/>
        <v>126.61293333333333</v>
      </c>
      <c r="AF50" s="439">
        <f t="shared" si="50"/>
        <v>126.61293333333333</v>
      </c>
      <c r="AG50" s="439">
        <f t="shared" si="50"/>
        <v>126.61293333333333</v>
      </c>
      <c r="AH50" s="439">
        <f t="shared" si="50"/>
        <v>126.61293333333333</v>
      </c>
      <c r="AI50" s="439">
        <f t="shared" si="50"/>
        <v>126.61293333333333</v>
      </c>
      <c r="AJ50" s="439">
        <f t="shared" si="50"/>
        <v>126.61293333333333</v>
      </c>
      <c r="AK50" s="439">
        <f t="shared" si="50"/>
        <v>126.61293333333333</v>
      </c>
      <c r="AL50" s="441">
        <f>+'INPUT K'!W27</f>
        <v>3.3333333333333333E-2</v>
      </c>
    </row>
    <row r="51" spans="1:38" ht="15" outlineLevel="1">
      <c r="A51" s="438" t="s">
        <v>450</v>
      </c>
      <c r="B51" s="439"/>
      <c r="C51" s="439"/>
      <c r="D51" s="439">
        <f>+$C5*$S51</f>
        <v>46.08</v>
      </c>
      <c r="E51" s="439">
        <f>+$C5*$S51</f>
        <v>46.08</v>
      </c>
      <c r="F51" s="439">
        <f>+$C5*$S51</f>
        <v>46.08</v>
      </c>
      <c r="G51" s="439">
        <f>+$C5*$S51</f>
        <v>46.08</v>
      </c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40">
        <f t="shared" ref="S51:S65" si="51">+S50</f>
        <v>0.25</v>
      </c>
      <c r="T51" s="438" t="s">
        <v>453</v>
      </c>
      <c r="V51" s="439"/>
      <c r="W51" s="439">
        <f t="shared" ref="W51:AK51" si="52">+$V6*$AL$51</f>
        <v>10.833333333333334</v>
      </c>
      <c r="X51" s="439">
        <f t="shared" si="52"/>
        <v>10.833333333333334</v>
      </c>
      <c r="Y51" s="439">
        <f t="shared" si="52"/>
        <v>10.833333333333334</v>
      </c>
      <c r="Z51" s="439">
        <f t="shared" si="52"/>
        <v>10.833333333333334</v>
      </c>
      <c r="AA51" s="439">
        <f t="shared" si="52"/>
        <v>10.833333333333334</v>
      </c>
      <c r="AB51" s="439">
        <f t="shared" si="52"/>
        <v>10.833333333333334</v>
      </c>
      <c r="AC51" s="439">
        <f t="shared" si="52"/>
        <v>10.833333333333334</v>
      </c>
      <c r="AD51" s="439">
        <f t="shared" si="52"/>
        <v>10.833333333333334</v>
      </c>
      <c r="AE51" s="439">
        <f t="shared" si="52"/>
        <v>10.833333333333334</v>
      </c>
      <c r="AF51" s="439">
        <f t="shared" si="52"/>
        <v>10.833333333333334</v>
      </c>
      <c r="AG51" s="439">
        <f t="shared" si="52"/>
        <v>10.833333333333334</v>
      </c>
      <c r="AH51" s="439">
        <f t="shared" si="52"/>
        <v>10.833333333333334</v>
      </c>
      <c r="AI51" s="439">
        <f t="shared" si="52"/>
        <v>10.833333333333334</v>
      </c>
      <c r="AJ51" s="439">
        <f t="shared" si="52"/>
        <v>10.833333333333334</v>
      </c>
      <c r="AK51" s="439">
        <f t="shared" si="52"/>
        <v>10.833333333333334</v>
      </c>
      <c r="AL51" s="440">
        <f t="shared" ref="AL51:AL59" si="53">+AL50</f>
        <v>3.3333333333333333E-2</v>
      </c>
    </row>
    <row r="52" spans="1:38" ht="15" outlineLevel="1">
      <c r="A52" s="438" t="s">
        <v>452</v>
      </c>
      <c r="B52" s="439"/>
      <c r="C52" s="439"/>
      <c r="D52" s="439"/>
      <c r="E52" s="439">
        <f>+$D5*$S52</f>
        <v>31.75</v>
      </c>
      <c r="F52" s="439">
        <f>+$D5*$S52</f>
        <v>31.75</v>
      </c>
      <c r="G52" s="439">
        <f>+$D5*$S52</f>
        <v>31.75</v>
      </c>
      <c r="H52" s="439">
        <f>+$D5*$S52</f>
        <v>31.75</v>
      </c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40">
        <f t="shared" si="51"/>
        <v>0.25</v>
      </c>
      <c r="T52" s="438" t="s">
        <v>455</v>
      </c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  <c r="AK52" s="439"/>
      <c r="AL52" s="440">
        <f t="shared" si="53"/>
        <v>3.3333333333333333E-2</v>
      </c>
    </row>
    <row r="53" spans="1:38" ht="15" outlineLevel="1">
      <c r="A53" s="438" t="s">
        <v>454</v>
      </c>
      <c r="B53" s="439"/>
      <c r="C53" s="439"/>
      <c r="D53" s="439"/>
      <c r="E53" s="439"/>
      <c r="F53" s="439">
        <f>+$E5*$S53</f>
        <v>67</v>
      </c>
      <c r="G53" s="439">
        <f>+$E5*$S53</f>
        <v>67</v>
      </c>
      <c r="H53" s="439">
        <f>+$E5*$S53</f>
        <v>67</v>
      </c>
      <c r="I53" s="439">
        <f>+$E5*$S53</f>
        <v>67</v>
      </c>
      <c r="J53" s="439"/>
      <c r="K53" s="439"/>
      <c r="L53" s="439"/>
      <c r="M53" s="439"/>
      <c r="N53" s="439"/>
      <c r="O53" s="439"/>
      <c r="P53" s="439"/>
      <c r="Q53" s="439"/>
      <c r="R53" s="439"/>
      <c r="S53" s="440">
        <f t="shared" si="51"/>
        <v>0.25</v>
      </c>
      <c r="T53" s="438" t="s">
        <v>457</v>
      </c>
      <c r="V53" s="439"/>
      <c r="W53" s="439"/>
      <c r="X53" s="439"/>
      <c r="Y53" s="439">
        <f t="shared" ref="Y53:AK53" si="54">+$X$6*$AL$53</f>
        <v>0</v>
      </c>
      <c r="Z53" s="439">
        <f t="shared" si="54"/>
        <v>0</v>
      </c>
      <c r="AA53" s="439">
        <f t="shared" si="54"/>
        <v>0</v>
      </c>
      <c r="AB53" s="439">
        <f t="shared" si="54"/>
        <v>0</v>
      </c>
      <c r="AC53" s="439">
        <f t="shared" si="54"/>
        <v>0</v>
      </c>
      <c r="AD53" s="439">
        <f t="shared" si="54"/>
        <v>0</v>
      </c>
      <c r="AE53" s="439">
        <f t="shared" si="54"/>
        <v>0</v>
      </c>
      <c r="AF53" s="439">
        <f t="shared" si="54"/>
        <v>0</v>
      </c>
      <c r="AG53" s="439">
        <f t="shared" si="54"/>
        <v>0</v>
      </c>
      <c r="AH53" s="439">
        <f t="shared" si="54"/>
        <v>0</v>
      </c>
      <c r="AI53" s="439">
        <f t="shared" si="54"/>
        <v>0</v>
      </c>
      <c r="AJ53" s="439">
        <f t="shared" si="54"/>
        <v>0</v>
      </c>
      <c r="AK53" s="439">
        <f t="shared" si="54"/>
        <v>0</v>
      </c>
      <c r="AL53" s="440">
        <f t="shared" si="53"/>
        <v>3.3333333333333333E-2</v>
      </c>
    </row>
    <row r="54" spans="1:38" ht="15" outlineLevel="1">
      <c r="A54" s="438" t="s">
        <v>456</v>
      </c>
      <c r="B54" s="439"/>
      <c r="C54" s="439"/>
      <c r="D54" s="439"/>
      <c r="E54" s="439"/>
      <c r="F54" s="439"/>
      <c r="G54" s="439">
        <f>+$F5*$S54</f>
        <v>19.5</v>
      </c>
      <c r="H54" s="439">
        <f>+$F5*$S54</f>
        <v>19.5</v>
      </c>
      <c r="I54" s="439">
        <f>+$F5*$S54</f>
        <v>19.5</v>
      </c>
      <c r="J54" s="439">
        <f>+$F5*$S54</f>
        <v>19.5</v>
      </c>
      <c r="K54" s="439"/>
      <c r="L54" s="439"/>
      <c r="M54" s="439"/>
      <c r="N54" s="439"/>
      <c r="O54" s="439"/>
      <c r="P54" s="439"/>
      <c r="Q54" s="439"/>
      <c r="R54" s="439"/>
      <c r="S54" s="440">
        <f t="shared" si="51"/>
        <v>0.25</v>
      </c>
      <c r="T54" s="438" t="s">
        <v>459</v>
      </c>
      <c r="V54" s="439"/>
      <c r="W54" s="439"/>
      <c r="X54" s="439"/>
      <c r="Y54" s="439"/>
      <c r="Z54" s="439">
        <f t="shared" ref="Z54:AK54" si="55">+$Y$6*$AL$54</f>
        <v>0</v>
      </c>
      <c r="AA54" s="439">
        <f t="shared" si="55"/>
        <v>0</v>
      </c>
      <c r="AB54" s="439">
        <f t="shared" si="55"/>
        <v>0</v>
      </c>
      <c r="AC54" s="439">
        <f t="shared" si="55"/>
        <v>0</v>
      </c>
      <c r="AD54" s="439">
        <f t="shared" si="55"/>
        <v>0</v>
      </c>
      <c r="AE54" s="439">
        <f t="shared" si="55"/>
        <v>0</v>
      </c>
      <c r="AF54" s="439">
        <f t="shared" si="55"/>
        <v>0</v>
      </c>
      <c r="AG54" s="439">
        <f t="shared" si="55"/>
        <v>0</v>
      </c>
      <c r="AH54" s="439">
        <f t="shared" si="55"/>
        <v>0</v>
      </c>
      <c r="AI54" s="439">
        <f t="shared" si="55"/>
        <v>0</v>
      </c>
      <c r="AJ54" s="439">
        <f t="shared" si="55"/>
        <v>0</v>
      </c>
      <c r="AK54" s="439">
        <f t="shared" si="55"/>
        <v>0</v>
      </c>
      <c r="AL54" s="440">
        <f t="shared" si="53"/>
        <v>3.3333333333333333E-2</v>
      </c>
    </row>
    <row r="55" spans="1:38" ht="15" outlineLevel="1">
      <c r="A55" s="438" t="s">
        <v>458</v>
      </c>
      <c r="B55" s="439"/>
      <c r="C55" s="439"/>
      <c r="D55" s="439"/>
      <c r="E55" s="439"/>
      <c r="F55" s="439"/>
      <c r="G55" s="439"/>
      <c r="H55" s="439">
        <f>+$G5*$S55</f>
        <v>22.5</v>
      </c>
      <c r="I55" s="439">
        <f>+$G5*$S55</f>
        <v>22.5</v>
      </c>
      <c r="J55" s="439">
        <f>+$G5*$S55</f>
        <v>22.5</v>
      </c>
      <c r="K55" s="439">
        <f>+$G5*$S55</f>
        <v>22.5</v>
      </c>
      <c r="L55" s="439"/>
      <c r="M55" s="439"/>
      <c r="N55" s="439"/>
      <c r="O55" s="439"/>
      <c r="P55" s="439"/>
      <c r="Q55" s="439"/>
      <c r="R55" s="439"/>
      <c r="S55" s="440">
        <f t="shared" si="51"/>
        <v>0.25</v>
      </c>
      <c r="T55" s="438" t="s">
        <v>461</v>
      </c>
      <c r="V55" s="439"/>
      <c r="W55" s="439"/>
      <c r="X55" s="439"/>
      <c r="Y55" s="439"/>
      <c r="Z55" s="439"/>
      <c r="AA55" s="439">
        <f t="shared" ref="AA55:AK55" si="56">+$Z$6*$AL$55</f>
        <v>3.3333333333333333E-2</v>
      </c>
      <c r="AB55" s="439">
        <f t="shared" si="56"/>
        <v>3.3333333333333333E-2</v>
      </c>
      <c r="AC55" s="439">
        <f t="shared" si="56"/>
        <v>3.3333333333333333E-2</v>
      </c>
      <c r="AD55" s="439">
        <f t="shared" si="56"/>
        <v>3.3333333333333333E-2</v>
      </c>
      <c r="AE55" s="439">
        <f t="shared" si="56"/>
        <v>3.3333333333333333E-2</v>
      </c>
      <c r="AF55" s="439">
        <f t="shared" si="56"/>
        <v>3.3333333333333333E-2</v>
      </c>
      <c r="AG55" s="439">
        <f t="shared" si="56"/>
        <v>3.3333333333333333E-2</v>
      </c>
      <c r="AH55" s="439">
        <f t="shared" si="56"/>
        <v>3.3333333333333333E-2</v>
      </c>
      <c r="AI55" s="439">
        <f t="shared" si="56"/>
        <v>3.3333333333333333E-2</v>
      </c>
      <c r="AJ55" s="439">
        <f t="shared" si="56"/>
        <v>3.3333333333333333E-2</v>
      </c>
      <c r="AK55" s="439">
        <f t="shared" si="56"/>
        <v>3.3333333333333333E-2</v>
      </c>
      <c r="AL55" s="440">
        <f t="shared" si="53"/>
        <v>3.3333333333333333E-2</v>
      </c>
    </row>
    <row r="56" spans="1:38" ht="15" outlineLevel="1">
      <c r="A56" s="438" t="s">
        <v>460</v>
      </c>
      <c r="B56" s="439"/>
      <c r="C56" s="439"/>
      <c r="D56" s="439"/>
      <c r="E56" s="439"/>
      <c r="F56" s="439"/>
      <c r="G56" s="439"/>
      <c r="H56" s="439"/>
      <c r="I56" s="439">
        <f>+$H5*$S56</f>
        <v>21.5</v>
      </c>
      <c r="J56" s="439">
        <f>+$H5*$S56</f>
        <v>21.5</v>
      </c>
      <c r="K56" s="439">
        <f>+$H5*$S56</f>
        <v>21.5</v>
      </c>
      <c r="L56" s="439">
        <f>+$H5*$S56</f>
        <v>21.5</v>
      </c>
      <c r="M56" s="439"/>
      <c r="N56" s="439"/>
      <c r="O56" s="439"/>
      <c r="P56" s="439"/>
      <c r="Q56" s="439"/>
      <c r="R56" s="439"/>
      <c r="S56" s="440">
        <f t="shared" si="51"/>
        <v>0.25</v>
      </c>
      <c r="T56" s="438" t="s">
        <v>463</v>
      </c>
      <c r="V56" s="439"/>
      <c r="W56" s="439"/>
      <c r="X56" s="439"/>
      <c r="Y56" s="439"/>
      <c r="Z56" s="439"/>
      <c r="AA56" s="439"/>
      <c r="AB56" s="439">
        <f t="shared" ref="AB56:AK56" si="57">+$AA$6*$AL$56</f>
        <v>0</v>
      </c>
      <c r="AC56" s="439">
        <f t="shared" si="57"/>
        <v>0</v>
      </c>
      <c r="AD56" s="439">
        <f t="shared" si="57"/>
        <v>0</v>
      </c>
      <c r="AE56" s="439">
        <f t="shared" si="57"/>
        <v>0</v>
      </c>
      <c r="AF56" s="439">
        <f t="shared" si="57"/>
        <v>0</v>
      </c>
      <c r="AG56" s="439">
        <f t="shared" si="57"/>
        <v>0</v>
      </c>
      <c r="AH56" s="439">
        <f t="shared" si="57"/>
        <v>0</v>
      </c>
      <c r="AI56" s="439">
        <f t="shared" si="57"/>
        <v>0</v>
      </c>
      <c r="AJ56" s="439">
        <f t="shared" si="57"/>
        <v>0</v>
      </c>
      <c r="AK56" s="439">
        <f t="shared" si="57"/>
        <v>0</v>
      </c>
      <c r="AL56" s="440">
        <f t="shared" si="53"/>
        <v>3.3333333333333333E-2</v>
      </c>
    </row>
    <row r="57" spans="1:38" ht="15" outlineLevel="1">
      <c r="A57" s="438" t="s">
        <v>462</v>
      </c>
      <c r="B57" s="439"/>
      <c r="C57" s="439"/>
      <c r="D57" s="439"/>
      <c r="E57" s="439"/>
      <c r="F57" s="439"/>
      <c r="G57" s="439"/>
      <c r="H57" s="439"/>
      <c r="I57" s="439"/>
      <c r="J57" s="439">
        <f>+$I5*$S57</f>
        <v>65</v>
      </c>
      <c r="K57" s="439">
        <f>+$I5*$S57</f>
        <v>65</v>
      </c>
      <c r="L57" s="439">
        <f>+$I5*$S57</f>
        <v>65</v>
      </c>
      <c r="M57" s="439">
        <f>+$I5*$S57</f>
        <v>65</v>
      </c>
      <c r="N57" s="439"/>
      <c r="O57" s="439"/>
      <c r="P57" s="439"/>
      <c r="Q57" s="439"/>
      <c r="R57" s="439"/>
      <c r="S57" s="440">
        <f t="shared" si="51"/>
        <v>0.25</v>
      </c>
      <c r="T57" s="438" t="s">
        <v>465</v>
      </c>
      <c r="V57" s="439"/>
      <c r="W57" s="439"/>
      <c r="X57" s="439"/>
      <c r="Y57" s="439"/>
      <c r="Z57" s="439"/>
      <c r="AA57" s="439"/>
      <c r="AB57" s="439"/>
      <c r="AC57" s="439">
        <f t="shared" ref="AC57:AK57" si="58">+$AB$6*$AL$57</f>
        <v>0</v>
      </c>
      <c r="AD57" s="439">
        <f t="shared" si="58"/>
        <v>0</v>
      </c>
      <c r="AE57" s="439">
        <f t="shared" si="58"/>
        <v>0</v>
      </c>
      <c r="AF57" s="439">
        <f t="shared" si="58"/>
        <v>0</v>
      </c>
      <c r="AG57" s="439">
        <f t="shared" si="58"/>
        <v>0</v>
      </c>
      <c r="AH57" s="439">
        <f t="shared" si="58"/>
        <v>0</v>
      </c>
      <c r="AI57" s="439">
        <f t="shared" si="58"/>
        <v>0</v>
      </c>
      <c r="AJ57" s="439">
        <f t="shared" si="58"/>
        <v>0</v>
      </c>
      <c r="AK57" s="439">
        <f t="shared" si="58"/>
        <v>0</v>
      </c>
      <c r="AL57" s="440">
        <f t="shared" si="53"/>
        <v>3.3333333333333333E-2</v>
      </c>
    </row>
    <row r="58" spans="1:38" ht="15" outlineLevel="1">
      <c r="A58" s="438" t="s">
        <v>464</v>
      </c>
      <c r="B58" s="439"/>
      <c r="C58" s="439"/>
      <c r="D58" s="439"/>
      <c r="E58" s="439"/>
      <c r="F58" s="439"/>
      <c r="G58" s="439"/>
      <c r="H58" s="439"/>
      <c r="I58" s="439"/>
      <c r="J58" s="439"/>
      <c r="K58" s="439">
        <f>+$J5*$S58</f>
        <v>34.25</v>
      </c>
      <c r="L58" s="439">
        <f>+$J5*$S58</f>
        <v>34.25</v>
      </c>
      <c r="M58" s="439">
        <f>+$J5*$S58</f>
        <v>34.25</v>
      </c>
      <c r="N58" s="439">
        <f>+$J5*$S58</f>
        <v>34.25</v>
      </c>
      <c r="O58" s="439"/>
      <c r="P58" s="439"/>
      <c r="Q58" s="439"/>
      <c r="R58" s="439"/>
      <c r="S58" s="440">
        <f t="shared" si="51"/>
        <v>0.25</v>
      </c>
      <c r="T58" s="438" t="s">
        <v>467</v>
      </c>
      <c r="V58" s="439"/>
      <c r="W58" s="439"/>
      <c r="X58" s="439"/>
      <c r="Y58" s="439"/>
      <c r="Z58" s="439"/>
      <c r="AA58" s="439"/>
      <c r="AB58" s="439"/>
      <c r="AC58" s="439"/>
      <c r="AD58" s="439">
        <f t="shared" ref="AD58:AK58" si="59">+$AC$6*$AL$58</f>
        <v>0</v>
      </c>
      <c r="AE58" s="439">
        <f t="shared" si="59"/>
        <v>0</v>
      </c>
      <c r="AF58" s="439">
        <f t="shared" si="59"/>
        <v>0</v>
      </c>
      <c r="AG58" s="439">
        <f t="shared" si="59"/>
        <v>0</v>
      </c>
      <c r="AH58" s="439">
        <f t="shared" si="59"/>
        <v>0</v>
      </c>
      <c r="AI58" s="439">
        <f t="shared" si="59"/>
        <v>0</v>
      </c>
      <c r="AJ58" s="439">
        <f t="shared" si="59"/>
        <v>0</v>
      </c>
      <c r="AK58" s="439">
        <f t="shared" si="59"/>
        <v>0</v>
      </c>
      <c r="AL58" s="440">
        <f t="shared" si="53"/>
        <v>3.3333333333333333E-2</v>
      </c>
    </row>
    <row r="59" spans="1:38" ht="15" outlineLevel="1">
      <c r="A59" s="438" t="s">
        <v>466</v>
      </c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>
        <f>+$K5*$S59</f>
        <v>63</v>
      </c>
      <c r="M59" s="439">
        <f>+$K5*$S59</f>
        <v>63</v>
      </c>
      <c r="N59" s="439">
        <f>+$K5*$S59</f>
        <v>63</v>
      </c>
      <c r="O59" s="439">
        <f>+$K5*$S59</f>
        <v>63</v>
      </c>
      <c r="P59" s="439"/>
      <c r="Q59" s="439"/>
      <c r="R59" s="439"/>
      <c r="S59" s="440">
        <f t="shared" si="51"/>
        <v>0.25</v>
      </c>
      <c r="T59" s="438" t="s">
        <v>469</v>
      </c>
      <c r="V59" s="439"/>
      <c r="W59" s="439"/>
      <c r="X59" s="439"/>
      <c r="Y59" s="439"/>
      <c r="Z59" s="439"/>
      <c r="AB59" s="439"/>
      <c r="AC59" s="439"/>
      <c r="AD59" s="439"/>
      <c r="AE59" s="439">
        <f t="shared" ref="AE59:AK59" si="60">+$AD$6*$AL$59</f>
        <v>0</v>
      </c>
      <c r="AF59" s="439">
        <f t="shared" si="60"/>
        <v>0</v>
      </c>
      <c r="AG59" s="439">
        <f t="shared" si="60"/>
        <v>0</v>
      </c>
      <c r="AH59" s="439">
        <f t="shared" si="60"/>
        <v>0</v>
      </c>
      <c r="AI59" s="439">
        <f t="shared" si="60"/>
        <v>0</v>
      </c>
      <c r="AJ59" s="439">
        <f t="shared" si="60"/>
        <v>0</v>
      </c>
      <c r="AK59" s="439">
        <f t="shared" si="60"/>
        <v>0</v>
      </c>
      <c r="AL59" s="440">
        <f t="shared" si="53"/>
        <v>3.3333333333333333E-2</v>
      </c>
    </row>
    <row r="60" spans="1:38" ht="15" outlineLevel="1">
      <c r="A60" s="438" t="s">
        <v>468</v>
      </c>
      <c r="B60" s="442"/>
      <c r="C60" s="442"/>
      <c r="M60" s="439">
        <f>+$L5*$S60</f>
        <v>36.25</v>
      </c>
      <c r="N60" s="439">
        <f>+$L5*$S60</f>
        <v>36.25</v>
      </c>
      <c r="O60" s="439">
        <f>+$L5*$S60</f>
        <v>36.25</v>
      </c>
      <c r="P60" s="439">
        <f>+$L5*$S60</f>
        <v>36.25</v>
      </c>
      <c r="Q60" s="439"/>
      <c r="R60" s="439"/>
      <c r="S60" s="440">
        <f t="shared" si="51"/>
        <v>0.25</v>
      </c>
      <c r="T60" s="438" t="s">
        <v>470</v>
      </c>
      <c r="V60" s="439"/>
      <c r="W60" s="439"/>
      <c r="X60" s="439"/>
      <c r="Y60" s="439"/>
      <c r="Z60" s="439"/>
      <c r="AB60" s="439"/>
      <c r="AC60" s="439"/>
      <c r="AD60" s="439"/>
      <c r="AE60" s="439"/>
      <c r="AF60" s="439">
        <f t="shared" ref="AF60:AK60" si="61">+$AE$6*$AL$60</f>
        <v>0</v>
      </c>
      <c r="AG60" s="439">
        <f t="shared" si="61"/>
        <v>0</v>
      </c>
      <c r="AH60" s="439">
        <f t="shared" si="61"/>
        <v>0</v>
      </c>
      <c r="AI60" s="439">
        <f t="shared" si="61"/>
        <v>0</v>
      </c>
      <c r="AJ60" s="439">
        <f t="shared" si="61"/>
        <v>0</v>
      </c>
      <c r="AK60" s="439">
        <f t="shared" si="61"/>
        <v>0</v>
      </c>
      <c r="AL60" s="440">
        <f>+AL59</f>
        <v>3.3333333333333333E-2</v>
      </c>
    </row>
    <row r="61" spans="1:38" ht="15" outlineLevel="1">
      <c r="A61" s="438" t="s">
        <v>547</v>
      </c>
      <c r="B61" s="442"/>
      <c r="C61" s="442"/>
      <c r="M61" s="439"/>
      <c r="N61" s="439">
        <f>+$M5*$S61</f>
        <v>40.75</v>
      </c>
      <c r="O61" s="439">
        <f>+$M5*$S61</f>
        <v>40.75</v>
      </c>
      <c r="P61" s="439">
        <f>+$M5*$S61</f>
        <v>40.75</v>
      </c>
      <c r="Q61" s="439">
        <f>+$M5*$S61</f>
        <v>40.75</v>
      </c>
      <c r="R61" s="439"/>
      <c r="S61" s="440">
        <f t="shared" si="51"/>
        <v>0.25</v>
      </c>
      <c r="T61" s="438" t="s">
        <v>552</v>
      </c>
      <c r="V61" s="439"/>
      <c r="W61" s="439"/>
      <c r="X61" s="439"/>
      <c r="Y61" s="439"/>
      <c r="Z61" s="439"/>
      <c r="AB61" s="439"/>
      <c r="AC61" s="439"/>
      <c r="AD61" s="439"/>
      <c r="AE61" s="439"/>
      <c r="AF61" s="439"/>
      <c r="AG61" s="439">
        <f>+$AF$6*$AL$61</f>
        <v>0</v>
      </c>
      <c r="AH61" s="439">
        <f>+$AF$6*$AL$61</f>
        <v>0</v>
      </c>
      <c r="AI61" s="439">
        <f>+$AF$6*$AL$61</f>
        <v>0</v>
      </c>
      <c r="AJ61" s="439">
        <f>+$AF$6*$AL$61</f>
        <v>0</v>
      </c>
      <c r="AK61" s="439">
        <f>+$AF$6*$AL$61</f>
        <v>0</v>
      </c>
      <c r="AL61" s="440">
        <f t="shared" ref="AL61:AL65" si="62">+AL60</f>
        <v>3.3333333333333333E-2</v>
      </c>
    </row>
    <row r="62" spans="1:38" ht="15" outlineLevel="1">
      <c r="A62" s="438" t="s">
        <v>548</v>
      </c>
      <c r="B62" s="442"/>
      <c r="C62" s="442"/>
      <c r="M62" s="439"/>
      <c r="N62" s="439"/>
      <c r="O62" s="439">
        <f>+$N5*$S62</f>
        <v>14.5</v>
      </c>
      <c r="P62" s="439">
        <f>+$N5*$S62</f>
        <v>14.5</v>
      </c>
      <c r="Q62" s="439">
        <f>+$N5*$S62</f>
        <v>14.5</v>
      </c>
      <c r="R62" s="439">
        <f>+$N5*$S62</f>
        <v>14.5</v>
      </c>
      <c r="S62" s="440">
        <f t="shared" si="51"/>
        <v>0.25</v>
      </c>
      <c r="T62" s="438" t="s">
        <v>553</v>
      </c>
      <c r="V62" s="439"/>
      <c r="W62" s="439"/>
      <c r="X62" s="439"/>
      <c r="Y62" s="439"/>
      <c r="Z62" s="439"/>
      <c r="AB62" s="439"/>
      <c r="AC62" s="439"/>
      <c r="AD62" s="439"/>
      <c r="AE62" s="439"/>
      <c r="AF62" s="439"/>
      <c r="AG62" s="440"/>
      <c r="AH62" s="439">
        <f>+$AG$6*$AL$62</f>
        <v>0</v>
      </c>
      <c r="AI62" s="439">
        <f>+$AG$6*$AL$62</f>
        <v>0</v>
      </c>
      <c r="AJ62" s="439">
        <f>+$AG$6*$AL$62</f>
        <v>0</v>
      </c>
      <c r="AK62" s="439">
        <f>+$AG$6*$AL$62</f>
        <v>0</v>
      </c>
      <c r="AL62" s="440">
        <f t="shared" si="62"/>
        <v>3.3333333333333333E-2</v>
      </c>
    </row>
    <row r="63" spans="1:38" ht="15" outlineLevel="1">
      <c r="A63" s="438" t="s">
        <v>549</v>
      </c>
      <c r="B63" s="442"/>
      <c r="C63" s="442"/>
      <c r="M63" s="439"/>
      <c r="N63" s="439"/>
      <c r="O63" s="439"/>
      <c r="P63" s="439">
        <f>+$O5*$S63</f>
        <v>61.5</v>
      </c>
      <c r="Q63" s="439">
        <f>+$O5*$S63</f>
        <v>61.5</v>
      </c>
      <c r="R63" s="439">
        <f>+$O5*$S63</f>
        <v>61.5</v>
      </c>
      <c r="S63" s="440">
        <f t="shared" si="51"/>
        <v>0.25</v>
      </c>
      <c r="T63" s="438" t="s">
        <v>554</v>
      </c>
      <c r="V63" s="439"/>
      <c r="W63" s="439"/>
      <c r="X63" s="439"/>
      <c r="Y63" s="439"/>
      <c r="Z63" s="439"/>
      <c r="AB63" s="439"/>
      <c r="AC63" s="439"/>
      <c r="AD63" s="439"/>
      <c r="AE63" s="439"/>
      <c r="AF63" s="439"/>
      <c r="AG63" s="440"/>
      <c r="AI63" s="439">
        <f>+$AH$6*$AL$63</f>
        <v>0</v>
      </c>
      <c r="AJ63" s="439">
        <f>+$AH$6*$AL$63</f>
        <v>0</v>
      </c>
      <c r="AK63" s="439">
        <f>+$AH$6*$AL$63</f>
        <v>0</v>
      </c>
      <c r="AL63" s="440">
        <f t="shared" si="62"/>
        <v>3.3333333333333333E-2</v>
      </c>
    </row>
    <row r="64" spans="1:38" ht="15" outlineLevel="1">
      <c r="A64" s="438" t="s">
        <v>550</v>
      </c>
      <c r="B64" s="442"/>
      <c r="C64" s="442"/>
      <c r="M64" s="439"/>
      <c r="N64" s="439"/>
      <c r="O64" s="439"/>
      <c r="P64" s="439"/>
      <c r="Q64" s="439">
        <f>+$P5*$S64</f>
        <v>8.75</v>
      </c>
      <c r="R64" s="439">
        <f>+$P5*$S64</f>
        <v>8.75</v>
      </c>
      <c r="S64" s="440">
        <f t="shared" si="51"/>
        <v>0.25</v>
      </c>
      <c r="T64" s="438" t="s">
        <v>555</v>
      </c>
      <c r="V64" s="439"/>
      <c r="W64" s="439"/>
      <c r="X64" s="439"/>
      <c r="Y64" s="439"/>
      <c r="Z64" s="439"/>
      <c r="AB64" s="439"/>
      <c r="AC64" s="439"/>
      <c r="AD64" s="439"/>
      <c r="AE64" s="439"/>
      <c r="AF64" s="439"/>
      <c r="AG64" s="440"/>
      <c r="AJ64" s="439">
        <f>+$AI$6*$AL$64</f>
        <v>0</v>
      </c>
      <c r="AK64" s="439">
        <f>+$AI$6*$AL$64</f>
        <v>0</v>
      </c>
      <c r="AL64" s="440">
        <f t="shared" si="62"/>
        <v>3.3333333333333333E-2</v>
      </c>
    </row>
    <row r="65" spans="1:38" ht="15" outlineLevel="1">
      <c r="A65" s="438" t="s">
        <v>551</v>
      </c>
      <c r="B65" s="442"/>
      <c r="C65" s="442"/>
      <c r="M65" s="439"/>
      <c r="N65" s="439"/>
      <c r="O65" s="439"/>
      <c r="P65" s="439"/>
      <c r="Q65" s="439"/>
      <c r="R65" s="439">
        <f>+$Q5*$S65</f>
        <v>117.75</v>
      </c>
      <c r="S65" s="440">
        <f t="shared" si="51"/>
        <v>0.25</v>
      </c>
      <c r="T65" s="438" t="s">
        <v>556</v>
      </c>
      <c r="V65" s="439"/>
      <c r="W65" s="439"/>
      <c r="X65" s="439"/>
      <c r="Y65" s="439"/>
      <c r="Z65" s="439"/>
      <c r="AB65" s="439"/>
      <c r="AC65" s="439"/>
      <c r="AD65" s="439"/>
      <c r="AE65" s="439"/>
      <c r="AF65" s="439"/>
      <c r="AG65" s="440"/>
      <c r="AK65" s="439">
        <f>+$AJ$6*$AL$65</f>
        <v>0</v>
      </c>
      <c r="AL65" s="440">
        <f t="shared" si="62"/>
        <v>3.3333333333333333E-2</v>
      </c>
    </row>
    <row r="66" spans="1:38" ht="15" outlineLevel="1">
      <c r="A66" s="438"/>
      <c r="B66" s="442"/>
      <c r="C66" s="442"/>
      <c r="M66" s="439"/>
      <c r="N66" s="439"/>
      <c r="O66" s="439"/>
      <c r="P66" s="439"/>
      <c r="Q66" s="439"/>
      <c r="R66" s="439"/>
      <c r="S66" s="440"/>
    </row>
    <row r="67" spans="1:38" ht="15.75" outlineLevel="1" thickBot="1">
      <c r="A67" s="438"/>
      <c r="B67" s="442"/>
      <c r="C67" s="442"/>
      <c r="T67" s="438"/>
      <c r="V67" s="439"/>
      <c r="W67" s="439"/>
      <c r="X67" s="439"/>
      <c r="Y67" s="439"/>
      <c r="Z67" s="439"/>
      <c r="AB67" s="439"/>
      <c r="AC67" s="439"/>
      <c r="AD67" s="439"/>
      <c r="AE67" s="439"/>
    </row>
    <row r="68" spans="1:38" ht="15" outlineLevel="1">
      <c r="A68" s="438" t="s">
        <v>446</v>
      </c>
      <c r="B68" s="403">
        <v>2001</v>
      </c>
      <c r="C68" s="403">
        <v>2002</v>
      </c>
      <c r="D68" s="403">
        <v>2003</v>
      </c>
      <c r="E68" s="403">
        <v>2004</v>
      </c>
      <c r="F68" s="403">
        <v>2005</v>
      </c>
      <c r="G68" s="403">
        <v>2006</v>
      </c>
      <c r="H68" s="404">
        <v>2007</v>
      </c>
      <c r="I68" s="403">
        <v>2008</v>
      </c>
      <c r="J68" s="404">
        <v>2009</v>
      </c>
      <c r="K68" s="403">
        <v>2010</v>
      </c>
      <c r="L68" s="404">
        <v>2011</v>
      </c>
      <c r="M68" s="403">
        <v>2012</v>
      </c>
      <c r="N68" s="404">
        <v>2013</v>
      </c>
      <c r="O68" s="403">
        <v>2014</v>
      </c>
      <c r="P68" s="404">
        <v>2015</v>
      </c>
      <c r="Q68" s="403">
        <v>2016</v>
      </c>
      <c r="R68" s="404">
        <v>2017</v>
      </c>
      <c r="T68" s="438" t="s">
        <v>446</v>
      </c>
      <c r="U68" s="403">
        <v>2001</v>
      </c>
      <c r="V68" s="403">
        <v>2002</v>
      </c>
      <c r="W68" s="403">
        <v>2003</v>
      </c>
      <c r="X68" s="403">
        <v>2004</v>
      </c>
      <c r="Y68" s="403">
        <v>2005</v>
      </c>
      <c r="Z68" s="403">
        <v>2006</v>
      </c>
      <c r="AA68" s="404">
        <v>2007</v>
      </c>
      <c r="AB68" s="403">
        <v>2008</v>
      </c>
      <c r="AC68" s="404">
        <v>2009</v>
      </c>
      <c r="AD68" s="403">
        <v>2010</v>
      </c>
      <c r="AE68" s="404">
        <v>2011</v>
      </c>
      <c r="AF68" s="403">
        <v>2012</v>
      </c>
      <c r="AG68" s="404">
        <v>2013</v>
      </c>
      <c r="AH68" s="403">
        <v>2014</v>
      </c>
      <c r="AI68" s="404">
        <v>2015</v>
      </c>
      <c r="AJ68" s="403">
        <v>2016</v>
      </c>
      <c r="AK68" s="404">
        <v>2017</v>
      </c>
    </row>
    <row r="69" spans="1:38" ht="15" outlineLevel="1">
      <c r="A69" s="438" t="s">
        <v>449</v>
      </c>
      <c r="C69" s="439">
        <f>+B5-C50</f>
        <v>286.01142857142855</v>
      </c>
      <c r="D69" s="439">
        <f t="shared" ref="D69:R69" si="63">+C69-D50</f>
        <v>190.6742857142857</v>
      </c>
      <c r="E69" s="439">
        <f t="shared" si="63"/>
        <v>95.337142857142851</v>
      </c>
      <c r="F69" s="439">
        <f t="shared" si="63"/>
        <v>0</v>
      </c>
      <c r="G69" s="439">
        <f t="shared" si="63"/>
        <v>0</v>
      </c>
      <c r="H69" s="439">
        <f t="shared" si="63"/>
        <v>0</v>
      </c>
      <c r="I69" s="439">
        <f t="shared" si="63"/>
        <v>0</v>
      </c>
      <c r="J69" s="439">
        <f t="shared" si="63"/>
        <v>0</v>
      </c>
      <c r="K69" s="439">
        <f t="shared" si="63"/>
        <v>0</v>
      </c>
      <c r="L69" s="439">
        <f t="shared" si="63"/>
        <v>0</v>
      </c>
      <c r="M69" s="439">
        <f t="shared" si="63"/>
        <v>0</v>
      </c>
      <c r="N69" s="439">
        <f t="shared" si="63"/>
        <v>0</v>
      </c>
      <c r="O69" s="439">
        <f t="shared" si="63"/>
        <v>0</v>
      </c>
      <c r="P69" s="439">
        <f t="shared" si="63"/>
        <v>0</v>
      </c>
      <c r="Q69" s="439">
        <f t="shared" si="63"/>
        <v>0</v>
      </c>
      <c r="R69" s="439">
        <f t="shared" si="63"/>
        <v>0</v>
      </c>
      <c r="T69" s="438" t="s">
        <v>451</v>
      </c>
      <c r="U69" s="442"/>
      <c r="V69" s="442">
        <f>+U6-V50</f>
        <v>3671.7750666666666</v>
      </c>
      <c r="W69" s="442">
        <f t="shared" ref="W69:AK69" si="64">+V69-W50</f>
        <v>3545.1621333333333</v>
      </c>
      <c r="X69" s="442">
        <f t="shared" si="64"/>
        <v>3418.5491999999999</v>
      </c>
      <c r="Y69" s="442">
        <f t="shared" si="64"/>
        <v>3291.9362666666666</v>
      </c>
      <c r="Z69" s="442">
        <f t="shared" si="64"/>
        <v>3165.3233333333333</v>
      </c>
      <c r="AA69" s="442">
        <f t="shared" si="64"/>
        <v>3038.7103999999999</v>
      </c>
      <c r="AB69" s="442">
        <f t="shared" si="64"/>
        <v>2912.0974666666666</v>
      </c>
      <c r="AC69" s="442">
        <f t="shared" si="64"/>
        <v>2785.4845333333333</v>
      </c>
      <c r="AD69" s="442">
        <f t="shared" si="64"/>
        <v>2658.8715999999999</v>
      </c>
      <c r="AE69" s="442">
        <f t="shared" si="64"/>
        <v>2532.2586666666666</v>
      </c>
      <c r="AF69" s="442">
        <f t="shared" si="64"/>
        <v>2405.6457333333333</v>
      </c>
      <c r="AG69" s="442">
        <f t="shared" si="64"/>
        <v>2279.0328</v>
      </c>
      <c r="AH69" s="442">
        <f t="shared" si="64"/>
        <v>2152.4198666666666</v>
      </c>
      <c r="AI69" s="442">
        <f t="shared" si="64"/>
        <v>2025.8069333333333</v>
      </c>
      <c r="AJ69" s="442">
        <f t="shared" si="64"/>
        <v>1899.194</v>
      </c>
      <c r="AK69" s="442">
        <f t="shared" si="64"/>
        <v>1772.5810666666666</v>
      </c>
    </row>
    <row r="70" spans="1:38" ht="15" outlineLevel="1">
      <c r="A70" s="438" t="s">
        <v>450</v>
      </c>
      <c r="D70" s="442">
        <f>+C5-D51</f>
        <v>138.24</v>
      </c>
      <c r="E70" s="442">
        <f t="shared" ref="E70:R70" si="65">+D70-E51</f>
        <v>92.160000000000011</v>
      </c>
      <c r="F70" s="442">
        <f t="shared" si="65"/>
        <v>46.080000000000013</v>
      </c>
      <c r="G70" s="442">
        <f t="shared" si="65"/>
        <v>0</v>
      </c>
      <c r="H70" s="442">
        <f t="shared" si="65"/>
        <v>0</v>
      </c>
      <c r="I70" s="442">
        <f t="shared" si="65"/>
        <v>0</v>
      </c>
      <c r="J70" s="442">
        <f t="shared" si="65"/>
        <v>0</v>
      </c>
      <c r="K70" s="442">
        <f t="shared" si="65"/>
        <v>0</v>
      </c>
      <c r="L70" s="442">
        <f t="shared" si="65"/>
        <v>0</v>
      </c>
      <c r="M70" s="442">
        <f t="shared" si="65"/>
        <v>0</v>
      </c>
      <c r="N70" s="442">
        <f t="shared" si="65"/>
        <v>0</v>
      </c>
      <c r="O70" s="442">
        <f t="shared" si="65"/>
        <v>0</v>
      </c>
      <c r="P70" s="442">
        <f t="shared" si="65"/>
        <v>0</v>
      </c>
      <c r="Q70" s="442">
        <f t="shared" si="65"/>
        <v>0</v>
      </c>
      <c r="R70" s="442">
        <f t="shared" si="65"/>
        <v>0</v>
      </c>
      <c r="T70" s="438" t="s">
        <v>453</v>
      </c>
      <c r="W70" s="442">
        <f>+V6-W51</f>
        <v>314.16666666666669</v>
      </c>
      <c r="X70" s="442">
        <f t="shared" ref="X70:AK70" si="66">+W70-X51</f>
        <v>303.33333333333337</v>
      </c>
      <c r="Y70" s="442">
        <f t="shared" si="66"/>
        <v>292.50000000000006</v>
      </c>
      <c r="Z70" s="442">
        <f t="shared" si="66"/>
        <v>281.66666666666674</v>
      </c>
      <c r="AA70" s="442">
        <f t="shared" si="66"/>
        <v>270.83333333333343</v>
      </c>
      <c r="AB70" s="442">
        <f t="shared" si="66"/>
        <v>260.00000000000011</v>
      </c>
      <c r="AC70" s="442">
        <f t="shared" si="66"/>
        <v>249.16666666666677</v>
      </c>
      <c r="AD70" s="442">
        <f t="shared" si="66"/>
        <v>238.33333333333343</v>
      </c>
      <c r="AE70" s="442">
        <f t="shared" si="66"/>
        <v>227.50000000000009</v>
      </c>
      <c r="AF70" s="442">
        <f t="shared" si="66"/>
        <v>216.66666666666674</v>
      </c>
      <c r="AG70" s="442">
        <f t="shared" si="66"/>
        <v>205.8333333333334</v>
      </c>
      <c r="AH70" s="442">
        <f t="shared" si="66"/>
        <v>195.00000000000006</v>
      </c>
      <c r="AI70" s="442">
        <f t="shared" si="66"/>
        <v>184.16666666666671</v>
      </c>
      <c r="AJ70" s="442">
        <f t="shared" si="66"/>
        <v>173.33333333333337</v>
      </c>
      <c r="AK70" s="442">
        <f t="shared" si="66"/>
        <v>162.50000000000003</v>
      </c>
    </row>
    <row r="71" spans="1:38" ht="15" outlineLevel="1">
      <c r="A71" s="438" t="s">
        <v>452</v>
      </c>
      <c r="E71" s="442">
        <f>+D5-E52</f>
        <v>95.25</v>
      </c>
      <c r="F71" s="442">
        <f t="shared" ref="F71:R71" si="67">+E71-F52</f>
        <v>63.5</v>
      </c>
      <c r="G71" s="442">
        <f t="shared" si="67"/>
        <v>31.75</v>
      </c>
      <c r="H71" s="442">
        <f t="shared" si="67"/>
        <v>0</v>
      </c>
      <c r="I71" s="442">
        <f t="shared" si="67"/>
        <v>0</v>
      </c>
      <c r="J71" s="442">
        <f t="shared" si="67"/>
        <v>0</v>
      </c>
      <c r="K71" s="442">
        <f t="shared" si="67"/>
        <v>0</v>
      </c>
      <c r="L71" s="442">
        <f t="shared" si="67"/>
        <v>0</v>
      </c>
      <c r="M71" s="442">
        <f t="shared" si="67"/>
        <v>0</v>
      </c>
      <c r="N71" s="442">
        <f t="shared" si="67"/>
        <v>0</v>
      </c>
      <c r="O71" s="442">
        <f t="shared" si="67"/>
        <v>0</v>
      </c>
      <c r="P71" s="442">
        <f t="shared" si="67"/>
        <v>0</v>
      </c>
      <c r="Q71" s="442">
        <f t="shared" si="67"/>
        <v>0</v>
      </c>
      <c r="R71" s="442">
        <f t="shared" si="67"/>
        <v>0</v>
      </c>
      <c r="T71" s="438" t="s">
        <v>455</v>
      </c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</row>
    <row r="72" spans="1:38" ht="15" outlineLevel="1">
      <c r="A72" s="438" t="s">
        <v>454</v>
      </c>
      <c r="F72" s="442">
        <f>+E5-F53</f>
        <v>201</v>
      </c>
      <c r="G72" s="442">
        <f t="shared" ref="G72:R72" si="68">+F72-G53</f>
        <v>134</v>
      </c>
      <c r="H72" s="442">
        <f t="shared" si="68"/>
        <v>67</v>
      </c>
      <c r="I72" s="442">
        <f t="shared" si="68"/>
        <v>0</v>
      </c>
      <c r="J72" s="442">
        <f t="shared" si="68"/>
        <v>0</v>
      </c>
      <c r="K72" s="442">
        <f t="shared" si="68"/>
        <v>0</v>
      </c>
      <c r="L72" s="442">
        <f t="shared" si="68"/>
        <v>0</v>
      </c>
      <c r="M72" s="442">
        <f t="shared" si="68"/>
        <v>0</v>
      </c>
      <c r="N72" s="442">
        <f t="shared" si="68"/>
        <v>0</v>
      </c>
      <c r="O72" s="442">
        <f t="shared" si="68"/>
        <v>0</v>
      </c>
      <c r="P72" s="442">
        <f t="shared" si="68"/>
        <v>0</v>
      </c>
      <c r="Q72" s="442">
        <f t="shared" si="68"/>
        <v>0</v>
      </c>
      <c r="R72" s="442">
        <f t="shared" si="68"/>
        <v>0</v>
      </c>
      <c r="T72" s="438" t="s">
        <v>457</v>
      </c>
      <c r="Y72" s="442">
        <f>+X6-Y53</f>
        <v>0</v>
      </c>
      <c r="Z72" s="442">
        <f t="shared" ref="Z72:AK72" si="69">+Y72-Z53</f>
        <v>0</v>
      </c>
      <c r="AA72" s="442">
        <f t="shared" si="69"/>
        <v>0</v>
      </c>
      <c r="AB72" s="442">
        <f t="shared" si="69"/>
        <v>0</v>
      </c>
      <c r="AC72" s="442">
        <f t="shared" si="69"/>
        <v>0</v>
      </c>
      <c r="AD72" s="442">
        <f t="shared" si="69"/>
        <v>0</v>
      </c>
      <c r="AE72" s="442">
        <f t="shared" si="69"/>
        <v>0</v>
      </c>
      <c r="AF72" s="442">
        <f t="shared" si="69"/>
        <v>0</v>
      </c>
      <c r="AG72" s="442">
        <f t="shared" si="69"/>
        <v>0</v>
      </c>
      <c r="AH72" s="442">
        <f t="shared" si="69"/>
        <v>0</v>
      </c>
      <c r="AI72" s="442">
        <f t="shared" si="69"/>
        <v>0</v>
      </c>
      <c r="AJ72" s="442">
        <f t="shared" si="69"/>
        <v>0</v>
      </c>
      <c r="AK72" s="442">
        <f t="shared" si="69"/>
        <v>0</v>
      </c>
    </row>
    <row r="73" spans="1:38" ht="15" outlineLevel="1">
      <c r="A73" s="438" t="s">
        <v>456</v>
      </c>
      <c r="G73" s="439">
        <f>+F5-G54</f>
        <v>58.5</v>
      </c>
      <c r="H73" s="439">
        <f t="shared" ref="H73:R73" si="70">+G73-H54</f>
        <v>39</v>
      </c>
      <c r="I73" s="439">
        <f t="shared" si="70"/>
        <v>19.5</v>
      </c>
      <c r="J73" s="439">
        <f t="shared" si="70"/>
        <v>0</v>
      </c>
      <c r="K73" s="439">
        <f t="shared" si="70"/>
        <v>0</v>
      </c>
      <c r="L73" s="439">
        <f t="shared" si="70"/>
        <v>0</v>
      </c>
      <c r="M73" s="439">
        <f t="shared" si="70"/>
        <v>0</v>
      </c>
      <c r="N73" s="439">
        <f t="shared" si="70"/>
        <v>0</v>
      </c>
      <c r="O73" s="439">
        <f t="shared" si="70"/>
        <v>0</v>
      </c>
      <c r="P73" s="439">
        <f t="shared" si="70"/>
        <v>0</v>
      </c>
      <c r="Q73" s="439">
        <f t="shared" si="70"/>
        <v>0</v>
      </c>
      <c r="R73" s="439">
        <f t="shared" si="70"/>
        <v>0</v>
      </c>
      <c r="T73" s="438" t="s">
        <v>459</v>
      </c>
      <c r="Z73" s="442">
        <f>+Y6-Z54</f>
        <v>0</v>
      </c>
      <c r="AA73" s="442">
        <f t="shared" ref="AA73:AK73" si="71">+Z73-AA54</f>
        <v>0</v>
      </c>
      <c r="AB73" s="442">
        <f t="shared" si="71"/>
        <v>0</v>
      </c>
      <c r="AC73" s="442">
        <f t="shared" si="71"/>
        <v>0</v>
      </c>
      <c r="AD73" s="442">
        <f t="shared" si="71"/>
        <v>0</v>
      </c>
      <c r="AE73" s="442">
        <f t="shared" si="71"/>
        <v>0</v>
      </c>
      <c r="AF73" s="442">
        <f t="shared" si="71"/>
        <v>0</v>
      </c>
      <c r="AG73" s="442">
        <f t="shared" si="71"/>
        <v>0</v>
      </c>
      <c r="AH73" s="442">
        <f t="shared" si="71"/>
        <v>0</v>
      </c>
      <c r="AI73" s="442">
        <f t="shared" si="71"/>
        <v>0</v>
      </c>
      <c r="AJ73" s="442">
        <f t="shared" si="71"/>
        <v>0</v>
      </c>
      <c r="AK73" s="442">
        <f t="shared" si="71"/>
        <v>0</v>
      </c>
    </row>
    <row r="74" spans="1:38" ht="15" outlineLevel="1">
      <c r="A74" s="438" t="s">
        <v>458</v>
      </c>
      <c r="H74" s="442">
        <f>+G5-H55</f>
        <v>67.5</v>
      </c>
      <c r="I74" s="439">
        <f t="shared" ref="I74:R74" si="72">+H74-I55</f>
        <v>45</v>
      </c>
      <c r="J74" s="439">
        <f t="shared" si="72"/>
        <v>22.5</v>
      </c>
      <c r="K74" s="439">
        <f t="shared" si="72"/>
        <v>0</v>
      </c>
      <c r="L74" s="439">
        <f t="shared" si="72"/>
        <v>0</v>
      </c>
      <c r="M74" s="439">
        <f t="shared" si="72"/>
        <v>0</v>
      </c>
      <c r="N74" s="439">
        <f t="shared" si="72"/>
        <v>0</v>
      </c>
      <c r="O74" s="439">
        <f t="shared" si="72"/>
        <v>0</v>
      </c>
      <c r="P74" s="439">
        <f t="shared" si="72"/>
        <v>0</v>
      </c>
      <c r="Q74" s="439">
        <f t="shared" si="72"/>
        <v>0</v>
      </c>
      <c r="R74" s="439">
        <f t="shared" si="72"/>
        <v>0</v>
      </c>
      <c r="T74" s="438" t="s">
        <v>461</v>
      </c>
      <c r="AA74" s="442">
        <f>+Z6-AA55</f>
        <v>0.96666666666666667</v>
      </c>
      <c r="AB74" s="442">
        <f t="shared" ref="AB74:AK74" si="73">+AA74-AB55</f>
        <v>0.93333333333333335</v>
      </c>
      <c r="AC74" s="442">
        <f t="shared" si="73"/>
        <v>0.9</v>
      </c>
      <c r="AD74" s="442">
        <f t="shared" si="73"/>
        <v>0.8666666666666667</v>
      </c>
      <c r="AE74" s="442">
        <f t="shared" si="73"/>
        <v>0.83333333333333337</v>
      </c>
      <c r="AF74" s="442">
        <f t="shared" si="73"/>
        <v>0.8</v>
      </c>
      <c r="AG74" s="442">
        <f t="shared" si="73"/>
        <v>0.76666666666666672</v>
      </c>
      <c r="AH74" s="442">
        <f t="shared" si="73"/>
        <v>0.73333333333333339</v>
      </c>
      <c r="AI74" s="442">
        <f t="shared" si="73"/>
        <v>0.70000000000000007</v>
      </c>
      <c r="AJ74" s="442">
        <f t="shared" si="73"/>
        <v>0.66666666666666674</v>
      </c>
      <c r="AK74" s="442">
        <f t="shared" si="73"/>
        <v>0.63333333333333341</v>
      </c>
    </row>
    <row r="75" spans="1:38" ht="15" outlineLevel="1">
      <c r="A75" s="438" t="s">
        <v>460</v>
      </c>
      <c r="I75" s="442">
        <f>+H5-I56</f>
        <v>64.5</v>
      </c>
      <c r="J75" s="439">
        <f t="shared" ref="J75:R75" si="74">+I75-J56</f>
        <v>43</v>
      </c>
      <c r="K75" s="439">
        <f t="shared" si="74"/>
        <v>21.5</v>
      </c>
      <c r="L75" s="439">
        <f t="shared" si="74"/>
        <v>0</v>
      </c>
      <c r="M75" s="439">
        <f t="shared" si="74"/>
        <v>0</v>
      </c>
      <c r="N75" s="439">
        <f t="shared" si="74"/>
        <v>0</v>
      </c>
      <c r="O75" s="439">
        <f t="shared" si="74"/>
        <v>0</v>
      </c>
      <c r="P75" s="439">
        <f t="shared" si="74"/>
        <v>0</v>
      </c>
      <c r="Q75" s="439">
        <f t="shared" si="74"/>
        <v>0</v>
      </c>
      <c r="R75" s="439">
        <f t="shared" si="74"/>
        <v>0</v>
      </c>
      <c r="T75" s="438" t="s">
        <v>463</v>
      </c>
      <c r="AA75" s="442"/>
      <c r="AB75" s="442">
        <f>+AA6-AB56</f>
        <v>0</v>
      </c>
      <c r="AC75" s="442">
        <f t="shared" ref="AC75:AK75" si="75">+AB75-AC56</f>
        <v>0</v>
      </c>
      <c r="AD75" s="442">
        <f t="shared" si="75"/>
        <v>0</v>
      </c>
      <c r="AE75" s="442">
        <f t="shared" si="75"/>
        <v>0</v>
      </c>
      <c r="AF75" s="442">
        <f t="shared" si="75"/>
        <v>0</v>
      </c>
      <c r="AG75" s="442">
        <f t="shared" si="75"/>
        <v>0</v>
      </c>
      <c r="AH75" s="442">
        <f t="shared" si="75"/>
        <v>0</v>
      </c>
      <c r="AI75" s="442">
        <f t="shared" si="75"/>
        <v>0</v>
      </c>
      <c r="AJ75" s="442">
        <f t="shared" si="75"/>
        <v>0</v>
      </c>
      <c r="AK75" s="442">
        <f t="shared" si="75"/>
        <v>0</v>
      </c>
    </row>
    <row r="76" spans="1:38" ht="15" outlineLevel="1">
      <c r="A76" s="438" t="s">
        <v>462</v>
      </c>
      <c r="J76" s="442">
        <f>+I5-J57</f>
        <v>195</v>
      </c>
      <c r="K76" s="439">
        <f t="shared" ref="K76:R76" si="76">+J76-K57</f>
        <v>130</v>
      </c>
      <c r="L76" s="439">
        <f t="shared" si="76"/>
        <v>65</v>
      </c>
      <c r="M76" s="439">
        <f t="shared" si="76"/>
        <v>0</v>
      </c>
      <c r="N76" s="439">
        <f t="shared" si="76"/>
        <v>0</v>
      </c>
      <c r="O76" s="439">
        <f t="shared" si="76"/>
        <v>0</v>
      </c>
      <c r="P76" s="439">
        <f t="shared" si="76"/>
        <v>0</v>
      </c>
      <c r="Q76" s="439">
        <f t="shared" si="76"/>
        <v>0</v>
      </c>
      <c r="R76" s="439">
        <f t="shared" si="76"/>
        <v>0</v>
      </c>
      <c r="T76" s="438" t="s">
        <v>465</v>
      </c>
      <c r="AA76" s="442"/>
      <c r="AB76" s="442"/>
      <c r="AC76" s="442">
        <f>+AB6-AC57</f>
        <v>0</v>
      </c>
      <c r="AD76" s="442">
        <f t="shared" ref="AD76:AK76" si="77">+AC76-AD57</f>
        <v>0</v>
      </c>
      <c r="AE76" s="442">
        <f t="shared" si="77"/>
        <v>0</v>
      </c>
      <c r="AF76" s="442">
        <f t="shared" si="77"/>
        <v>0</v>
      </c>
      <c r="AG76" s="442">
        <f t="shared" si="77"/>
        <v>0</v>
      </c>
      <c r="AH76" s="442">
        <f t="shared" si="77"/>
        <v>0</v>
      </c>
      <c r="AI76" s="442">
        <f t="shared" si="77"/>
        <v>0</v>
      </c>
      <c r="AJ76" s="442">
        <f t="shared" si="77"/>
        <v>0</v>
      </c>
      <c r="AK76" s="442">
        <f t="shared" si="77"/>
        <v>0</v>
      </c>
    </row>
    <row r="77" spans="1:38" ht="15" outlineLevel="1">
      <c r="A77" s="438" t="s">
        <v>464</v>
      </c>
      <c r="K77" s="442">
        <f>+J5-K58</f>
        <v>102.75</v>
      </c>
      <c r="L77" s="439">
        <f t="shared" ref="L77:R77" si="78">+K77-L58</f>
        <v>68.5</v>
      </c>
      <c r="M77" s="439">
        <f t="shared" si="78"/>
        <v>34.25</v>
      </c>
      <c r="N77" s="439">
        <f t="shared" si="78"/>
        <v>0</v>
      </c>
      <c r="O77" s="439">
        <f t="shared" si="78"/>
        <v>0</v>
      </c>
      <c r="P77" s="439">
        <f t="shared" si="78"/>
        <v>0</v>
      </c>
      <c r="Q77" s="439">
        <f t="shared" si="78"/>
        <v>0</v>
      </c>
      <c r="R77" s="439">
        <f t="shared" si="78"/>
        <v>0</v>
      </c>
      <c r="T77" s="438" t="s">
        <v>467</v>
      </c>
      <c r="AA77" s="442"/>
      <c r="AB77" s="442"/>
      <c r="AC77" s="442"/>
      <c r="AD77" s="442">
        <f>+AC6-AD58</f>
        <v>0</v>
      </c>
      <c r="AE77" s="442">
        <f t="shared" ref="AE77:AK77" si="79">+AD77-AE58</f>
        <v>0</v>
      </c>
      <c r="AF77" s="442">
        <f t="shared" si="79"/>
        <v>0</v>
      </c>
      <c r="AG77" s="442">
        <f t="shared" si="79"/>
        <v>0</v>
      </c>
      <c r="AH77" s="442">
        <f t="shared" si="79"/>
        <v>0</v>
      </c>
      <c r="AI77" s="442">
        <f t="shared" si="79"/>
        <v>0</v>
      </c>
      <c r="AJ77" s="442">
        <f t="shared" si="79"/>
        <v>0</v>
      </c>
      <c r="AK77" s="442">
        <f t="shared" si="79"/>
        <v>0</v>
      </c>
    </row>
    <row r="78" spans="1:38" ht="15" outlineLevel="1">
      <c r="A78" s="438" t="s">
        <v>466</v>
      </c>
      <c r="L78" s="442">
        <f>+K5-L59</f>
        <v>189</v>
      </c>
      <c r="M78" s="439">
        <f t="shared" ref="M78:R78" si="80">+L78-M59</f>
        <v>126</v>
      </c>
      <c r="N78" s="439">
        <f t="shared" si="80"/>
        <v>63</v>
      </c>
      <c r="O78" s="439">
        <f t="shared" si="80"/>
        <v>0</v>
      </c>
      <c r="P78" s="439">
        <f t="shared" si="80"/>
        <v>0</v>
      </c>
      <c r="Q78" s="439">
        <f t="shared" si="80"/>
        <v>0</v>
      </c>
      <c r="R78" s="439">
        <f t="shared" si="80"/>
        <v>0</v>
      </c>
      <c r="T78" s="438" t="s">
        <v>469</v>
      </c>
      <c r="AA78" s="442"/>
      <c r="AB78" s="442"/>
      <c r="AC78" s="442"/>
      <c r="AD78" s="442"/>
      <c r="AE78" s="442">
        <f>+AD6-AE59</f>
        <v>0</v>
      </c>
      <c r="AF78" s="442">
        <f t="shared" ref="AF78:AK78" si="81">+AE78-AF59</f>
        <v>0</v>
      </c>
      <c r="AG78" s="442">
        <f t="shared" si="81"/>
        <v>0</v>
      </c>
      <c r="AH78" s="442">
        <f t="shared" si="81"/>
        <v>0</v>
      </c>
      <c r="AI78" s="442">
        <f t="shared" si="81"/>
        <v>0</v>
      </c>
      <c r="AJ78" s="442">
        <f t="shared" si="81"/>
        <v>0</v>
      </c>
      <c r="AK78" s="442">
        <f t="shared" si="81"/>
        <v>0</v>
      </c>
    </row>
    <row r="79" spans="1:38" ht="15" outlineLevel="1">
      <c r="A79" s="438" t="s">
        <v>468</v>
      </c>
      <c r="M79" s="442">
        <f>+L5-M60</f>
        <v>108.75</v>
      </c>
      <c r="N79" s="442">
        <f>+M79-N60</f>
        <v>72.5</v>
      </c>
      <c r="O79" s="442">
        <f>+N79-O60</f>
        <v>36.25</v>
      </c>
      <c r="P79" s="442">
        <f>+O79-P60</f>
        <v>0</v>
      </c>
      <c r="Q79" s="442">
        <f>+P79-Q60</f>
        <v>0</v>
      </c>
      <c r="R79" s="442">
        <f>+Q79-R60</f>
        <v>0</v>
      </c>
      <c r="T79" s="438" t="s">
        <v>470</v>
      </c>
      <c r="AA79" s="442"/>
      <c r="AB79" s="442"/>
      <c r="AC79" s="442"/>
      <c r="AD79" s="442"/>
      <c r="AE79" s="442"/>
      <c r="AF79" s="442">
        <f>+AE6-AF60</f>
        <v>0</v>
      </c>
      <c r="AG79" s="442">
        <f>+AF79-AG60</f>
        <v>0</v>
      </c>
      <c r="AH79" s="442">
        <f>+AG79-AH60</f>
        <v>0</v>
      </c>
      <c r="AI79" s="442">
        <f>+AH79-AI60</f>
        <v>0</v>
      </c>
      <c r="AJ79" s="442">
        <f>+AI79-AJ60</f>
        <v>0</v>
      </c>
      <c r="AK79" s="442">
        <f>+AJ79-AK60</f>
        <v>0</v>
      </c>
    </row>
    <row r="80" spans="1:38" ht="15" outlineLevel="1">
      <c r="A80" s="438" t="s">
        <v>547</v>
      </c>
      <c r="M80" s="442"/>
      <c r="N80" s="442">
        <f>+M5-N61</f>
        <v>122.25</v>
      </c>
      <c r="O80" s="442">
        <f>+N80-O61</f>
        <v>81.5</v>
      </c>
      <c r="P80" s="442">
        <f>+O80-P61</f>
        <v>40.75</v>
      </c>
      <c r="Q80" s="442">
        <f>+P80-Q61</f>
        <v>0</v>
      </c>
      <c r="R80" s="442">
        <f>+Q80-R61</f>
        <v>0</v>
      </c>
      <c r="T80" s="438" t="s">
        <v>552</v>
      </c>
      <c r="AA80" s="442"/>
      <c r="AB80" s="442"/>
      <c r="AC80" s="442"/>
      <c r="AD80" s="442"/>
      <c r="AE80" s="442"/>
      <c r="AF80" s="442"/>
      <c r="AG80" s="442">
        <f>+AF6-AG61</f>
        <v>0</v>
      </c>
      <c r="AH80" s="442">
        <f>+AG80-AH61</f>
        <v>0</v>
      </c>
      <c r="AI80" s="442">
        <f>+AH80-AI61</f>
        <v>0</v>
      </c>
      <c r="AJ80" s="442">
        <f>+AI80-AJ61</f>
        <v>0</v>
      </c>
      <c r="AK80" s="442">
        <f>+AJ80-AK61</f>
        <v>0</v>
      </c>
    </row>
    <row r="81" spans="1:38" ht="15" outlineLevel="1">
      <c r="A81" s="438" t="s">
        <v>548</v>
      </c>
      <c r="M81" s="442"/>
      <c r="N81" s="442"/>
      <c r="O81" s="442">
        <f>+N5-O62</f>
        <v>43.5</v>
      </c>
      <c r="P81" s="442">
        <f>+O81-P62</f>
        <v>29</v>
      </c>
      <c r="Q81" s="442">
        <f>+P81-Q62</f>
        <v>14.5</v>
      </c>
      <c r="R81" s="442">
        <f>+Q81-R62</f>
        <v>0</v>
      </c>
      <c r="T81" s="438" t="s">
        <v>553</v>
      </c>
      <c r="AA81" s="442"/>
      <c r="AB81" s="442"/>
      <c r="AC81" s="442"/>
      <c r="AD81" s="442"/>
      <c r="AE81" s="442"/>
      <c r="AF81" s="442"/>
      <c r="AH81" s="442">
        <f>+AG6-AH62</f>
        <v>0</v>
      </c>
      <c r="AI81" s="442">
        <f>+AH81-AI62</f>
        <v>0</v>
      </c>
      <c r="AJ81" s="442">
        <f>+AI81-AJ62</f>
        <v>0</v>
      </c>
      <c r="AK81" s="442">
        <f>+AJ81-AK62</f>
        <v>0</v>
      </c>
    </row>
    <row r="82" spans="1:38" ht="15" outlineLevel="1">
      <c r="A82" s="438" t="s">
        <v>549</v>
      </c>
      <c r="M82" s="442"/>
      <c r="N82" s="442"/>
      <c r="O82" s="442"/>
      <c r="P82" s="442">
        <f>+O5-P63</f>
        <v>184.5</v>
      </c>
      <c r="Q82" s="442">
        <f>+P82-Q63</f>
        <v>123</v>
      </c>
      <c r="R82" s="442">
        <f>+Q82-R63</f>
        <v>61.5</v>
      </c>
      <c r="T82" s="438" t="s">
        <v>554</v>
      </c>
      <c r="AA82" s="442"/>
      <c r="AB82" s="442"/>
      <c r="AC82" s="442"/>
      <c r="AD82" s="442"/>
      <c r="AE82" s="442"/>
      <c r="AF82" s="442"/>
      <c r="AI82" s="442">
        <f>+AH6-AI63</f>
        <v>0</v>
      </c>
      <c r="AJ82" s="442">
        <f>+AI82-AJ63</f>
        <v>0</v>
      </c>
      <c r="AK82" s="442">
        <f>+AJ82-AK63</f>
        <v>0</v>
      </c>
    </row>
    <row r="83" spans="1:38" ht="15" outlineLevel="1">
      <c r="A83" s="438" t="s">
        <v>550</v>
      </c>
      <c r="M83" s="442"/>
      <c r="N83" s="442"/>
      <c r="O83" s="442"/>
      <c r="P83" s="442"/>
      <c r="Q83" s="442">
        <f>+P5-Q64</f>
        <v>26.25</v>
      </c>
      <c r="R83" s="442">
        <f>+Q83-R64</f>
        <v>17.5</v>
      </c>
      <c r="T83" s="438" t="s">
        <v>555</v>
      </c>
      <c r="AA83" s="442"/>
      <c r="AB83" s="442"/>
      <c r="AC83" s="442"/>
      <c r="AD83" s="442"/>
      <c r="AE83" s="442"/>
      <c r="AF83" s="442"/>
      <c r="AJ83" s="442">
        <f>+AI6-AJ64</f>
        <v>0</v>
      </c>
      <c r="AK83" s="442">
        <f>+AJ83-AK64</f>
        <v>0</v>
      </c>
    </row>
    <row r="84" spans="1:38" ht="15" outlineLevel="1">
      <c r="A84" s="438" t="s">
        <v>551</v>
      </c>
      <c r="M84" s="442"/>
      <c r="N84" s="442"/>
      <c r="O84" s="442"/>
      <c r="P84" s="442"/>
      <c r="Q84" s="442"/>
      <c r="R84" s="442">
        <f>+Q5-R65</f>
        <v>353.25</v>
      </c>
      <c r="T84" s="438" t="s">
        <v>556</v>
      </c>
      <c r="AA84" s="442"/>
      <c r="AB84" s="442"/>
      <c r="AC84" s="442"/>
      <c r="AD84" s="442"/>
      <c r="AE84" s="442"/>
      <c r="AF84" s="442"/>
      <c r="AK84" s="442">
        <f>+AJ6-AK65</f>
        <v>0</v>
      </c>
    </row>
    <row r="85" spans="1:38" ht="15" outlineLevel="1">
      <c r="A85" s="438"/>
      <c r="M85" s="442"/>
      <c r="N85" s="442"/>
      <c r="O85" s="442"/>
      <c r="P85" s="442"/>
      <c r="Q85" s="442"/>
      <c r="R85" s="442"/>
      <c r="T85" s="438"/>
      <c r="AA85" s="442"/>
      <c r="AB85" s="442"/>
      <c r="AC85" s="442"/>
      <c r="AD85" s="442"/>
      <c r="AE85" s="442"/>
      <c r="AF85" s="442"/>
    </row>
    <row r="86" spans="1:38" outlineLevel="1"/>
    <row r="87" spans="1:38" ht="15">
      <c r="A87" s="443" t="s">
        <v>471</v>
      </c>
      <c r="B87" s="444">
        <f>+B5</f>
        <v>381.3485714285714</v>
      </c>
      <c r="C87" s="444">
        <f t="shared" ref="C87:R87" si="82">+C5+SUM(C69:C84)</f>
        <v>470.33142857142855</v>
      </c>
      <c r="D87" s="444">
        <f t="shared" si="82"/>
        <v>455.91428571428571</v>
      </c>
      <c r="E87" s="444">
        <f t="shared" si="82"/>
        <v>550.74714285714288</v>
      </c>
      <c r="F87" s="444">
        <f t="shared" si="82"/>
        <v>388.58000000000004</v>
      </c>
      <c r="G87" s="444">
        <f t="shared" si="82"/>
        <v>314.25</v>
      </c>
      <c r="H87" s="444">
        <f t="shared" si="82"/>
        <v>259.5</v>
      </c>
      <c r="I87" s="444">
        <f t="shared" si="82"/>
        <v>389</v>
      </c>
      <c r="J87" s="444">
        <f t="shared" si="82"/>
        <v>397.5</v>
      </c>
      <c r="K87" s="444">
        <f t="shared" si="82"/>
        <v>506.25</v>
      </c>
      <c r="L87" s="444">
        <f t="shared" si="82"/>
        <v>467.5</v>
      </c>
      <c r="M87" s="444">
        <f t="shared" si="82"/>
        <v>432</v>
      </c>
      <c r="N87" s="444">
        <f t="shared" si="82"/>
        <v>315.75</v>
      </c>
      <c r="O87" s="444">
        <f t="shared" si="82"/>
        <v>407.25</v>
      </c>
      <c r="P87" s="444">
        <f t="shared" si="82"/>
        <v>289.25</v>
      </c>
      <c r="Q87" s="444">
        <f t="shared" si="82"/>
        <v>634.75</v>
      </c>
      <c r="R87" s="444">
        <f t="shared" si="82"/>
        <v>600.25</v>
      </c>
      <c r="T87" s="443" t="s">
        <v>472</v>
      </c>
      <c r="U87" s="444">
        <f>+U6</f>
        <v>3798.3879999999999</v>
      </c>
      <c r="V87" s="444">
        <f t="shared" ref="V87:AK87" si="83">+V6+SUM(V69:V84)</f>
        <v>3996.7750666666666</v>
      </c>
      <c r="W87" s="444">
        <f t="shared" si="83"/>
        <v>3810.3287999999998</v>
      </c>
      <c r="X87" s="444">
        <f t="shared" si="83"/>
        <v>3721.8825333333334</v>
      </c>
      <c r="Y87" s="444">
        <f t="shared" si="83"/>
        <v>3584.4362666666666</v>
      </c>
      <c r="Z87" s="444">
        <f t="shared" si="83"/>
        <v>3447.99</v>
      </c>
      <c r="AA87" s="444">
        <f t="shared" si="83"/>
        <v>3310.5104000000001</v>
      </c>
      <c r="AB87" s="444">
        <f t="shared" si="83"/>
        <v>3173.0308</v>
      </c>
      <c r="AC87" s="444">
        <f t="shared" si="83"/>
        <v>3035.5512000000003</v>
      </c>
      <c r="AD87" s="444">
        <f t="shared" si="83"/>
        <v>2898.0716000000002</v>
      </c>
      <c r="AE87" s="444">
        <f t="shared" si="83"/>
        <v>2760.5920000000001</v>
      </c>
      <c r="AF87" s="444">
        <f t="shared" si="83"/>
        <v>2623.1124</v>
      </c>
      <c r="AG87" s="444">
        <f t="shared" si="83"/>
        <v>2485.6328000000003</v>
      </c>
      <c r="AH87" s="444">
        <f t="shared" si="83"/>
        <v>2348.1531999999997</v>
      </c>
      <c r="AI87" s="444">
        <f t="shared" si="83"/>
        <v>2210.6735999999996</v>
      </c>
      <c r="AJ87" s="444">
        <f t="shared" si="83"/>
        <v>2073.194</v>
      </c>
      <c r="AK87" s="444">
        <f t="shared" si="83"/>
        <v>1935.7144000000001</v>
      </c>
    </row>
    <row r="88" spans="1:38" outlineLevel="1"/>
    <row r="89" spans="1:38" ht="13.5" outlineLevel="1" thickBot="1"/>
    <row r="90" spans="1:38" ht="15" outlineLevel="1">
      <c r="A90" s="438" t="s">
        <v>423</v>
      </c>
      <c r="B90" s="403">
        <v>2001</v>
      </c>
      <c r="C90" s="403">
        <v>2002</v>
      </c>
      <c r="D90" s="403">
        <v>2003</v>
      </c>
      <c r="E90" s="403">
        <v>2004</v>
      </c>
      <c r="F90" s="403">
        <v>2005</v>
      </c>
      <c r="G90" s="403">
        <v>2006</v>
      </c>
      <c r="H90" s="404">
        <v>2007</v>
      </c>
      <c r="I90" s="403">
        <v>2008</v>
      </c>
      <c r="J90" s="404">
        <v>2009</v>
      </c>
      <c r="K90" s="403">
        <v>2010</v>
      </c>
      <c r="L90" s="404">
        <v>2011</v>
      </c>
      <c r="M90" s="403">
        <v>2012</v>
      </c>
      <c r="N90" s="404">
        <v>2013</v>
      </c>
      <c r="O90" s="403">
        <v>2014</v>
      </c>
      <c r="P90" s="404">
        <v>2015</v>
      </c>
      <c r="Q90" s="403">
        <v>2016</v>
      </c>
      <c r="R90" s="404">
        <v>2017</v>
      </c>
      <c r="T90" s="438" t="s">
        <v>423</v>
      </c>
      <c r="U90" s="403">
        <v>2001</v>
      </c>
      <c r="V90" s="403">
        <v>2002</v>
      </c>
      <c r="W90" s="403">
        <v>2003</v>
      </c>
      <c r="X90" s="403">
        <v>2004</v>
      </c>
      <c r="Y90" s="403">
        <v>2005</v>
      </c>
      <c r="Z90" s="403">
        <v>2006</v>
      </c>
      <c r="AA90" s="404">
        <v>2007</v>
      </c>
      <c r="AB90" s="403">
        <v>2008</v>
      </c>
      <c r="AC90" s="404">
        <v>2009</v>
      </c>
      <c r="AD90" s="403">
        <v>2010</v>
      </c>
      <c r="AE90" s="404">
        <v>2011</v>
      </c>
      <c r="AF90" s="403">
        <v>2012</v>
      </c>
      <c r="AG90" s="403">
        <v>2013</v>
      </c>
      <c r="AH90" s="403">
        <v>2014</v>
      </c>
      <c r="AI90" s="403">
        <v>2015</v>
      </c>
      <c r="AJ90" s="403">
        <v>2016</v>
      </c>
      <c r="AK90" s="403">
        <v>2017</v>
      </c>
    </row>
    <row r="91" spans="1:38" ht="15" outlineLevel="1">
      <c r="A91" s="438" t="s">
        <v>473</v>
      </c>
      <c r="B91" s="439"/>
      <c r="C91" s="439">
        <f t="shared" ref="C91:L91" si="84">+$B6*$S91</f>
        <v>36.820457142857144</v>
      </c>
      <c r="D91" s="439">
        <f t="shared" si="84"/>
        <v>36.820457142857144</v>
      </c>
      <c r="E91" s="439">
        <f t="shared" si="84"/>
        <v>36.820457142857144</v>
      </c>
      <c r="F91" s="439">
        <f t="shared" si="84"/>
        <v>36.820457142857144</v>
      </c>
      <c r="G91" s="439">
        <f t="shared" si="84"/>
        <v>36.820457142857144</v>
      </c>
      <c r="H91" s="439">
        <f t="shared" si="84"/>
        <v>36.820457142857144</v>
      </c>
      <c r="I91" s="439">
        <f t="shared" si="84"/>
        <v>36.820457142857144</v>
      </c>
      <c r="J91" s="439">
        <f t="shared" si="84"/>
        <v>36.820457142857144</v>
      </c>
      <c r="K91" s="439">
        <f t="shared" si="84"/>
        <v>36.820457142857144</v>
      </c>
      <c r="L91" s="439">
        <f t="shared" si="84"/>
        <v>36.820457142857144</v>
      </c>
      <c r="M91" s="439"/>
      <c r="N91" s="439"/>
      <c r="O91" s="439"/>
      <c r="P91" s="439"/>
      <c r="Q91" s="439"/>
      <c r="R91" s="439"/>
      <c r="S91" s="440">
        <f>+'INPUT K'!C27</f>
        <v>0.1</v>
      </c>
      <c r="T91" s="438" t="s">
        <v>475</v>
      </c>
      <c r="V91" s="439">
        <f t="shared" ref="V91:AE91" si="85">+$U$7*$AL$91</f>
        <v>62.677942857142867</v>
      </c>
      <c r="W91" s="439">
        <f t="shared" si="85"/>
        <v>62.677942857142867</v>
      </c>
      <c r="X91" s="439">
        <f t="shared" si="85"/>
        <v>62.677942857142867</v>
      </c>
      <c r="Y91" s="439">
        <f t="shared" si="85"/>
        <v>62.677942857142867</v>
      </c>
      <c r="Z91" s="439">
        <f t="shared" si="85"/>
        <v>62.677942857142867</v>
      </c>
      <c r="AA91" s="439">
        <f t="shared" si="85"/>
        <v>62.677942857142867</v>
      </c>
      <c r="AB91" s="439">
        <f t="shared" si="85"/>
        <v>62.677942857142867</v>
      </c>
      <c r="AC91" s="439">
        <f t="shared" si="85"/>
        <v>62.677942857142867</v>
      </c>
      <c r="AD91" s="439">
        <f t="shared" si="85"/>
        <v>62.677942857142867</v>
      </c>
      <c r="AE91" s="439">
        <f t="shared" si="85"/>
        <v>62.677942857142867</v>
      </c>
      <c r="AF91" s="439"/>
      <c r="AL91" s="440">
        <f>+'INPUT K'!W28</f>
        <v>0.1</v>
      </c>
    </row>
    <row r="92" spans="1:38" ht="15" outlineLevel="1">
      <c r="A92" s="438" t="s">
        <v>474</v>
      </c>
      <c r="B92" s="439"/>
      <c r="C92" s="439"/>
      <c r="D92" s="439">
        <f t="shared" ref="D92:M92" si="86">+$C6*$S92</f>
        <v>15.182100000000004</v>
      </c>
      <c r="E92" s="439">
        <f t="shared" si="86"/>
        <v>15.182100000000004</v>
      </c>
      <c r="F92" s="439">
        <f t="shared" si="86"/>
        <v>15.182100000000004</v>
      </c>
      <c r="G92" s="439">
        <f t="shared" si="86"/>
        <v>15.182100000000004</v>
      </c>
      <c r="H92" s="439">
        <f t="shared" si="86"/>
        <v>15.182100000000004</v>
      </c>
      <c r="I92" s="439">
        <f t="shared" si="86"/>
        <v>15.182100000000004</v>
      </c>
      <c r="J92" s="439">
        <f t="shared" si="86"/>
        <v>15.182100000000004</v>
      </c>
      <c r="K92" s="439">
        <f t="shared" si="86"/>
        <v>15.182100000000004</v>
      </c>
      <c r="L92" s="439">
        <f t="shared" si="86"/>
        <v>15.182100000000004</v>
      </c>
      <c r="M92" s="439">
        <f t="shared" si="86"/>
        <v>15.182100000000004</v>
      </c>
      <c r="N92" s="439"/>
      <c r="O92" s="439"/>
      <c r="P92" s="439"/>
      <c r="Q92" s="439"/>
      <c r="R92" s="439"/>
      <c r="S92" s="440">
        <f t="shared" ref="S92:S106" si="87">+S91</f>
        <v>0.1</v>
      </c>
      <c r="T92" s="438" t="s">
        <v>477</v>
      </c>
      <c r="V92" s="439"/>
      <c r="W92" s="439">
        <f t="shared" ref="W92:AF92" si="88">+$V7*$AL$92</f>
        <v>2.1</v>
      </c>
      <c r="X92" s="439">
        <f t="shared" si="88"/>
        <v>2.1</v>
      </c>
      <c r="Y92" s="439">
        <f t="shared" si="88"/>
        <v>2.1</v>
      </c>
      <c r="Z92" s="439">
        <f t="shared" si="88"/>
        <v>2.1</v>
      </c>
      <c r="AA92" s="439">
        <f t="shared" si="88"/>
        <v>2.1</v>
      </c>
      <c r="AB92" s="439">
        <f t="shared" si="88"/>
        <v>2.1</v>
      </c>
      <c r="AC92" s="439">
        <f t="shared" si="88"/>
        <v>2.1</v>
      </c>
      <c r="AD92" s="439">
        <f t="shared" si="88"/>
        <v>2.1</v>
      </c>
      <c r="AE92" s="439">
        <f t="shared" si="88"/>
        <v>2.1</v>
      </c>
      <c r="AF92" s="439">
        <f t="shared" si="88"/>
        <v>2.1</v>
      </c>
      <c r="AL92" s="440">
        <f t="shared" ref="AL92:AL100" si="89">+AL91</f>
        <v>0.1</v>
      </c>
    </row>
    <row r="93" spans="1:38" ht="15" outlineLevel="1">
      <c r="A93" s="438" t="s">
        <v>476</v>
      </c>
      <c r="B93" s="439"/>
      <c r="C93" s="439"/>
      <c r="D93" s="439"/>
      <c r="E93" s="439">
        <f t="shared" ref="E93:N93" si="90">+$D6*$S93</f>
        <v>14.3</v>
      </c>
      <c r="F93" s="439">
        <f t="shared" si="90"/>
        <v>14.3</v>
      </c>
      <c r="G93" s="439">
        <f t="shared" si="90"/>
        <v>14.3</v>
      </c>
      <c r="H93" s="439">
        <f t="shared" si="90"/>
        <v>14.3</v>
      </c>
      <c r="I93" s="439">
        <f t="shared" si="90"/>
        <v>14.3</v>
      </c>
      <c r="J93" s="439">
        <f t="shared" si="90"/>
        <v>14.3</v>
      </c>
      <c r="K93" s="439">
        <f t="shared" si="90"/>
        <v>14.3</v>
      </c>
      <c r="L93" s="439">
        <f t="shared" si="90"/>
        <v>14.3</v>
      </c>
      <c r="M93" s="439">
        <f t="shared" si="90"/>
        <v>14.3</v>
      </c>
      <c r="N93" s="439">
        <f t="shared" si="90"/>
        <v>14.3</v>
      </c>
      <c r="O93" s="439"/>
      <c r="P93" s="439"/>
      <c r="Q93" s="439"/>
      <c r="R93" s="439"/>
      <c r="S93" s="440">
        <f t="shared" si="87"/>
        <v>0.1</v>
      </c>
      <c r="T93" s="438" t="s">
        <v>479</v>
      </c>
      <c r="V93" s="439"/>
      <c r="W93" s="439"/>
      <c r="X93" s="439">
        <f t="shared" ref="X93:AG93" si="91">+$W$7*$AL$93</f>
        <v>20.200000000000003</v>
      </c>
      <c r="Y93" s="439">
        <f t="shared" si="91"/>
        <v>20.200000000000003</v>
      </c>
      <c r="Z93" s="439">
        <f t="shared" si="91"/>
        <v>20.200000000000003</v>
      </c>
      <c r="AA93" s="439">
        <f t="shared" si="91"/>
        <v>20.200000000000003</v>
      </c>
      <c r="AB93" s="439">
        <f t="shared" si="91"/>
        <v>20.200000000000003</v>
      </c>
      <c r="AC93" s="439">
        <f t="shared" si="91"/>
        <v>20.200000000000003</v>
      </c>
      <c r="AD93" s="439">
        <f t="shared" si="91"/>
        <v>20.200000000000003</v>
      </c>
      <c r="AE93" s="439">
        <f t="shared" si="91"/>
        <v>20.200000000000003</v>
      </c>
      <c r="AF93" s="439">
        <f t="shared" si="91"/>
        <v>20.200000000000003</v>
      </c>
      <c r="AG93" s="439">
        <f t="shared" si="91"/>
        <v>20.200000000000003</v>
      </c>
      <c r="AL93" s="440">
        <f t="shared" si="89"/>
        <v>0.1</v>
      </c>
    </row>
    <row r="94" spans="1:38" ht="15" outlineLevel="1">
      <c r="A94" s="438" t="s">
        <v>478</v>
      </c>
      <c r="B94" s="439"/>
      <c r="C94" s="439"/>
      <c r="D94" s="439"/>
      <c r="E94" s="439"/>
      <c r="F94" s="439">
        <f t="shared" ref="F94:O94" si="92">+$E6*$S94</f>
        <v>7.6000000000000005</v>
      </c>
      <c r="G94" s="439">
        <f t="shared" si="92"/>
        <v>7.6000000000000005</v>
      </c>
      <c r="H94" s="439">
        <f t="shared" si="92"/>
        <v>7.6000000000000005</v>
      </c>
      <c r="I94" s="439">
        <f t="shared" si="92"/>
        <v>7.6000000000000005</v>
      </c>
      <c r="J94" s="439">
        <f t="shared" si="92"/>
        <v>7.6000000000000005</v>
      </c>
      <c r="K94" s="439">
        <f t="shared" si="92"/>
        <v>7.6000000000000005</v>
      </c>
      <c r="L94" s="439">
        <f t="shared" si="92"/>
        <v>7.6000000000000005</v>
      </c>
      <c r="M94" s="439">
        <f t="shared" si="92"/>
        <v>7.6000000000000005</v>
      </c>
      <c r="N94" s="439">
        <f t="shared" si="92"/>
        <v>7.6000000000000005</v>
      </c>
      <c r="O94" s="439">
        <f t="shared" si="92"/>
        <v>7.6000000000000005</v>
      </c>
      <c r="P94" s="439"/>
      <c r="Q94" s="439"/>
      <c r="R94" s="439"/>
      <c r="S94" s="440">
        <f t="shared" si="87"/>
        <v>0.1</v>
      </c>
      <c r="T94" s="438" t="s">
        <v>481</v>
      </c>
      <c r="V94" s="439"/>
      <c r="W94" s="439"/>
      <c r="X94" s="439"/>
      <c r="Y94" s="439">
        <f t="shared" ref="Y94:AH94" si="93">+$X$7*$AL$94</f>
        <v>1.9000000000000001</v>
      </c>
      <c r="Z94" s="439">
        <f t="shared" si="93"/>
        <v>1.9000000000000001</v>
      </c>
      <c r="AA94" s="439">
        <f t="shared" si="93"/>
        <v>1.9000000000000001</v>
      </c>
      <c r="AB94" s="439">
        <f t="shared" si="93"/>
        <v>1.9000000000000001</v>
      </c>
      <c r="AC94" s="439">
        <f t="shared" si="93"/>
        <v>1.9000000000000001</v>
      </c>
      <c r="AD94" s="439">
        <f t="shared" si="93"/>
        <v>1.9000000000000001</v>
      </c>
      <c r="AE94" s="439">
        <f t="shared" si="93"/>
        <v>1.9000000000000001</v>
      </c>
      <c r="AF94" s="439">
        <f t="shared" si="93"/>
        <v>1.9000000000000001</v>
      </c>
      <c r="AG94" s="439">
        <f t="shared" si="93"/>
        <v>1.9000000000000001</v>
      </c>
      <c r="AH94" s="439">
        <f t="shared" si="93"/>
        <v>1.9000000000000001</v>
      </c>
      <c r="AL94" s="440">
        <f t="shared" si="89"/>
        <v>0.1</v>
      </c>
    </row>
    <row r="95" spans="1:38" ht="15" outlineLevel="1">
      <c r="A95" s="438" t="s">
        <v>480</v>
      </c>
      <c r="B95" s="439"/>
      <c r="C95" s="439"/>
      <c r="D95" s="439"/>
      <c r="E95" s="439"/>
      <c r="F95" s="439"/>
      <c r="G95" s="439">
        <f t="shared" ref="G95:P95" si="94">+$F6*$S95</f>
        <v>0.4</v>
      </c>
      <c r="H95" s="439">
        <f t="shared" si="94"/>
        <v>0.4</v>
      </c>
      <c r="I95" s="439">
        <f t="shared" si="94"/>
        <v>0.4</v>
      </c>
      <c r="J95" s="439">
        <f t="shared" si="94"/>
        <v>0.4</v>
      </c>
      <c r="K95" s="439">
        <f t="shared" si="94"/>
        <v>0.4</v>
      </c>
      <c r="L95" s="439">
        <f t="shared" si="94"/>
        <v>0.4</v>
      </c>
      <c r="M95" s="439">
        <f t="shared" si="94"/>
        <v>0.4</v>
      </c>
      <c r="N95" s="439">
        <f t="shared" si="94"/>
        <v>0.4</v>
      </c>
      <c r="O95" s="439">
        <f t="shared" si="94"/>
        <v>0.4</v>
      </c>
      <c r="P95" s="439">
        <f t="shared" si="94"/>
        <v>0.4</v>
      </c>
      <c r="Q95" s="439"/>
      <c r="R95" s="439"/>
      <c r="S95" s="440">
        <f t="shared" si="87"/>
        <v>0.1</v>
      </c>
      <c r="T95" s="438" t="s">
        <v>483</v>
      </c>
      <c r="V95" s="439"/>
      <c r="W95" s="439"/>
      <c r="X95" s="439"/>
      <c r="Y95" s="439"/>
      <c r="Z95" s="439">
        <f t="shared" ref="Z95:AI95" si="95">+$Y$7*$AL$95</f>
        <v>41.1</v>
      </c>
      <c r="AA95" s="439">
        <f t="shared" si="95"/>
        <v>41.1</v>
      </c>
      <c r="AB95" s="439">
        <f t="shared" si="95"/>
        <v>41.1</v>
      </c>
      <c r="AC95" s="439">
        <f t="shared" si="95"/>
        <v>41.1</v>
      </c>
      <c r="AD95" s="439">
        <f t="shared" si="95"/>
        <v>41.1</v>
      </c>
      <c r="AE95" s="439">
        <f t="shared" si="95"/>
        <v>41.1</v>
      </c>
      <c r="AF95" s="439">
        <f t="shared" si="95"/>
        <v>41.1</v>
      </c>
      <c r="AG95" s="439">
        <f t="shared" si="95"/>
        <v>41.1</v>
      </c>
      <c r="AH95" s="439">
        <f t="shared" si="95"/>
        <v>41.1</v>
      </c>
      <c r="AI95" s="439">
        <f t="shared" si="95"/>
        <v>41.1</v>
      </c>
      <c r="AL95" s="440">
        <f t="shared" si="89"/>
        <v>0.1</v>
      </c>
    </row>
    <row r="96" spans="1:38" ht="15" outlineLevel="1">
      <c r="A96" s="438" t="s">
        <v>482</v>
      </c>
      <c r="B96" s="439"/>
      <c r="C96" s="439"/>
      <c r="D96" s="439"/>
      <c r="E96" s="439"/>
      <c r="F96" s="439"/>
      <c r="G96" s="439"/>
      <c r="H96" s="439">
        <f t="shared" ref="H96:Q96" si="96">+$G6*$S96</f>
        <v>109.10000000000001</v>
      </c>
      <c r="I96" s="439">
        <f t="shared" si="96"/>
        <v>109.10000000000001</v>
      </c>
      <c r="J96" s="439">
        <f t="shared" si="96"/>
        <v>109.10000000000001</v>
      </c>
      <c r="K96" s="439">
        <f t="shared" si="96"/>
        <v>109.10000000000001</v>
      </c>
      <c r="L96" s="439">
        <f t="shared" si="96"/>
        <v>109.10000000000001</v>
      </c>
      <c r="M96" s="439">
        <f t="shared" si="96"/>
        <v>109.10000000000001</v>
      </c>
      <c r="N96" s="439">
        <f t="shared" si="96"/>
        <v>109.10000000000001</v>
      </c>
      <c r="O96" s="439">
        <f t="shared" si="96"/>
        <v>109.10000000000001</v>
      </c>
      <c r="P96" s="439">
        <f t="shared" si="96"/>
        <v>109.10000000000001</v>
      </c>
      <c r="Q96" s="439">
        <f t="shared" si="96"/>
        <v>109.10000000000001</v>
      </c>
      <c r="R96" s="439"/>
      <c r="S96" s="440">
        <f t="shared" si="87"/>
        <v>0.1</v>
      </c>
      <c r="T96" s="438" t="s">
        <v>485</v>
      </c>
      <c r="V96" s="439"/>
      <c r="W96" s="439"/>
      <c r="X96" s="439"/>
      <c r="Y96" s="439"/>
      <c r="Z96" s="439"/>
      <c r="AA96" s="439">
        <f t="shared" ref="AA96:AJ96" si="97">+$Z$7*$AL$96</f>
        <v>57.800000000000004</v>
      </c>
      <c r="AB96" s="439">
        <f t="shared" si="97"/>
        <v>57.800000000000004</v>
      </c>
      <c r="AC96" s="439">
        <f t="shared" si="97"/>
        <v>57.800000000000004</v>
      </c>
      <c r="AD96" s="439">
        <f t="shared" si="97"/>
        <v>57.800000000000004</v>
      </c>
      <c r="AE96" s="439">
        <f t="shared" si="97"/>
        <v>57.800000000000004</v>
      </c>
      <c r="AF96" s="439">
        <f t="shared" si="97"/>
        <v>57.800000000000004</v>
      </c>
      <c r="AG96" s="439">
        <f t="shared" si="97"/>
        <v>57.800000000000004</v>
      </c>
      <c r="AH96" s="439">
        <f t="shared" si="97"/>
        <v>57.800000000000004</v>
      </c>
      <c r="AI96" s="439">
        <f t="shared" si="97"/>
        <v>57.800000000000004</v>
      </c>
      <c r="AJ96" s="439">
        <f t="shared" si="97"/>
        <v>57.800000000000004</v>
      </c>
      <c r="AK96" s="439"/>
      <c r="AL96" s="440">
        <f t="shared" si="89"/>
        <v>0.1</v>
      </c>
    </row>
    <row r="97" spans="1:38" ht="15" outlineLevel="1">
      <c r="A97" s="438" t="s">
        <v>484</v>
      </c>
      <c r="B97" s="442"/>
      <c r="C97" s="442"/>
      <c r="I97" s="439">
        <f t="shared" ref="I97:R97" si="98">+$H6*$S97</f>
        <v>12.5</v>
      </c>
      <c r="J97" s="439">
        <f t="shared" si="98"/>
        <v>12.5</v>
      </c>
      <c r="K97" s="439">
        <f t="shared" si="98"/>
        <v>12.5</v>
      </c>
      <c r="L97" s="439">
        <f t="shared" si="98"/>
        <v>12.5</v>
      </c>
      <c r="M97" s="439">
        <f t="shared" si="98"/>
        <v>12.5</v>
      </c>
      <c r="N97" s="439">
        <f t="shared" si="98"/>
        <v>12.5</v>
      </c>
      <c r="O97" s="439">
        <f t="shared" si="98"/>
        <v>12.5</v>
      </c>
      <c r="P97" s="439">
        <f t="shared" si="98"/>
        <v>12.5</v>
      </c>
      <c r="Q97" s="439">
        <f t="shared" si="98"/>
        <v>12.5</v>
      </c>
      <c r="R97" s="439">
        <f t="shared" si="98"/>
        <v>12.5</v>
      </c>
      <c r="S97" s="440">
        <f t="shared" si="87"/>
        <v>0.1</v>
      </c>
      <c r="T97" s="438" t="s">
        <v>487</v>
      </c>
      <c r="V97" s="439"/>
      <c r="W97" s="439"/>
      <c r="X97" s="439"/>
      <c r="Y97" s="439"/>
      <c r="Z97" s="439"/>
      <c r="AA97" s="439"/>
      <c r="AB97" s="439">
        <f t="shared" ref="AB97:AK97" si="99">+$AA$7*$AL$97</f>
        <v>0</v>
      </c>
      <c r="AC97" s="439">
        <f t="shared" si="99"/>
        <v>0</v>
      </c>
      <c r="AD97" s="439">
        <f t="shared" si="99"/>
        <v>0</v>
      </c>
      <c r="AE97" s="439">
        <f t="shared" si="99"/>
        <v>0</v>
      </c>
      <c r="AF97" s="439">
        <f t="shared" si="99"/>
        <v>0</v>
      </c>
      <c r="AG97" s="439">
        <f t="shared" si="99"/>
        <v>0</v>
      </c>
      <c r="AH97" s="439">
        <f t="shared" si="99"/>
        <v>0</v>
      </c>
      <c r="AI97" s="439">
        <f t="shared" si="99"/>
        <v>0</v>
      </c>
      <c r="AJ97" s="439">
        <f t="shared" si="99"/>
        <v>0</v>
      </c>
      <c r="AK97" s="439">
        <f t="shared" si="99"/>
        <v>0</v>
      </c>
      <c r="AL97" s="440">
        <f t="shared" si="89"/>
        <v>0.1</v>
      </c>
    </row>
    <row r="98" spans="1:38" ht="15" outlineLevel="1">
      <c r="A98" s="438" t="s">
        <v>486</v>
      </c>
      <c r="B98" s="442"/>
      <c r="C98" s="442"/>
      <c r="J98" s="439">
        <f t="shared" ref="J98:R98" si="100">+$I6*$S98</f>
        <v>46.400000000000006</v>
      </c>
      <c r="K98" s="439">
        <f t="shared" si="100"/>
        <v>46.400000000000006</v>
      </c>
      <c r="L98" s="439">
        <f t="shared" si="100"/>
        <v>46.400000000000006</v>
      </c>
      <c r="M98" s="439">
        <f t="shared" si="100"/>
        <v>46.400000000000006</v>
      </c>
      <c r="N98" s="439">
        <f t="shared" si="100"/>
        <v>46.400000000000006</v>
      </c>
      <c r="O98" s="439">
        <f t="shared" si="100"/>
        <v>46.400000000000006</v>
      </c>
      <c r="P98" s="439">
        <f t="shared" si="100"/>
        <v>46.400000000000006</v>
      </c>
      <c r="Q98" s="439">
        <f t="shared" si="100"/>
        <v>46.400000000000006</v>
      </c>
      <c r="R98" s="439">
        <f t="shared" si="100"/>
        <v>46.400000000000006</v>
      </c>
      <c r="S98" s="440">
        <f t="shared" si="87"/>
        <v>0.1</v>
      </c>
      <c r="T98" s="438" t="s">
        <v>489</v>
      </c>
      <c r="V98" s="439"/>
      <c r="W98" s="439"/>
      <c r="X98" s="439"/>
      <c r="Y98" s="439"/>
      <c r="Z98" s="439"/>
      <c r="AA98" s="439"/>
      <c r="AB98" s="439"/>
      <c r="AC98" s="439">
        <f t="shared" ref="AC98:AK98" si="101">+($AB$7*$AL$98)</f>
        <v>28.3</v>
      </c>
      <c r="AD98" s="439">
        <f t="shared" si="101"/>
        <v>28.3</v>
      </c>
      <c r="AE98" s="439">
        <f t="shared" si="101"/>
        <v>28.3</v>
      </c>
      <c r="AF98" s="439">
        <f t="shared" si="101"/>
        <v>28.3</v>
      </c>
      <c r="AG98" s="439">
        <f t="shared" si="101"/>
        <v>28.3</v>
      </c>
      <c r="AH98" s="439">
        <f t="shared" si="101"/>
        <v>28.3</v>
      </c>
      <c r="AI98" s="439">
        <f t="shared" si="101"/>
        <v>28.3</v>
      </c>
      <c r="AJ98" s="439">
        <f t="shared" si="101"/>
        <v>28.3</v>
      </c>
      <c r="AK98" s="439">
        <f t="shared" si="101"/>
        <v>28.3</v>
      </c>
      <c r="AL98" s="440">
        <f t="shared" si="89"/>
        <v>0.1</v>
      </c>
    </row>
    <row r="99" spans="1:38" ht="15" outlineLevel="1">
      <c r="A99" s="438" t="s">
        <v>488</v>
      </c>
      <c r="B99" s="442"/>
      <c r="C99" s="442"/>
      <c r="K99" s="439">
        <f t="shared" ref="K99:R99" si="102">+$J6*$S99</f>
        <v>16.400000000000002</v>
      </c>
      <c r="L99" s="439">
        <f t="shared" si="102"/>
        <v>16.400000000000002</v>
      </c>
      <c r="M99" s="439">
        <f t="shared" si="102"/>
        <v>16.400000000000002</v>
      </c>
      <c r="N99" s="439">
        <f t="shared" si="102"/>
        <v>16.400000000000002</v>
      </c>
      <c r="O99" s="439">
        <f t="shared" si="102"/>
        <v>16.400000000000002</v>
      </c>
      <c r="P99" s="439">
        <f t="shared" si="102"/>
        <v>16.400000000000002</v>
      </c>
      <c r="Q99" s="439">
        <f t="shared" si="102"/>
        <v>16.400000000000002</v>
      </c>
      <c r="R99" s="439">
        <f t="shared" si="102"/>
        <v>16.400000000000002</v>
      </c>
      <c r="S99" s="440">
        <f t="shared" si="87"/>
        <v>0.1</v>
      </c>
      <c r="T99" s="438" t="s">
        <v>491</v>
      </c>
      <c r="V99" s="439"/>
      <c r="W99" s="439"/>
      <c r="X99" s="439"/>
      <c r="Y99" s="439"/>
      <c r="Z99" s="439"/>
      <c r="AA99" s="439"/>
      <c r="AB99" s="439"/>
      <c r="AC99" s="439"/>
      <c r="AD99" s="439">
        <f t="shared" ref="AD99:AK99" si="103">+$AC$7*$AL$99</f>
        <v>31.1</v>
      </c>
      <c r="AE99" s="439">
        <f t="shared" si="103"/>
        <v>31.1</v>
      </c>
      <c r="AF99" s="439">
        <f t="shared" si="103"/>
        <v>31.1</v>
      </c>
      <c r="AG99" s="439">
        <f t="shared" si="103"/>
        <v>31.1</v>
      </c>
      <c r="AH99" s="439">
        <f t="shared" si="103"/>
        <v>31.1</v>
      </c>
      <c r="AI99" s="439">
        <f t="shared" si="103"/>
        <v>31.1</v>
      </c>
      <c r="AJ99" s="439">
        <f t="shared" si="103"/>
        <v>31.1</v>
      </c>
      <c r="AK99" s="439">
        <f t="shared" si="103"/>
        <v>31.1</v>
      </c>
      <c r="AL99" s="440">
        <f t="shared" si="89"/>
        <v>0.1</v>
      </c>
    </row>
    <row r="100" spans="1:38" ht="15" outlineLevel="1">
      <c r="A100" s="438" t="s">
        <v>490</v>
      </c>
      <c r="B100" s="442"/>
      <c r="C100" s="442"/>
      <c r="L100" s="439">
        <f t="shared" ref="L100:R100" si="104">+$K6*$S100</f>
        <v>24</v>
      </c>
      <c r="M100" s="439">
        <f t="shared" si="104"/>
        <v>24</v>
      </c>
      <c r="N100" s="439">
        <f t="shared" si="104"/>
        <v>24</v>
      </c>
      <c r="O100" s="439">
        <f t="shared" si="104"/>
        <v>24</v>
      </c>
      <c r="P100" s="439">
        <f t="shared" si="104"/>
        <v>24</v>
      </c>
      <c r="Q100" s="439">
        <f t="shared" si="104"/>
        <v>24</v>
      </c>
      <c r="R100" s="439">
        <f t="shared" si="104"/>
        <v>24</v>
      </c>
      <c r="S100" s="440">
        <f t="shared" si="87"/>
        <v>0.1</v>
      </c>
      <c r="T100" s="438" t="s">
        <v>493</v>
      </c>
      <c r="V100" s="439"/>
      <c r="W100" s="439"/>
      <c r="X100" s="439"/>
      <c r="Y100" s="439"/>
      <c r="Z100" s="439"/>
      <c r="AA100" s="439"/>
      <c r="AB100" s="439"/>
      <c r="AC100" s="439"/>
      <c r="AD100" s="439"/>
      <c r="AE100" s="439">
        <f t="shared" ref="AE100:AK100" si="105">+$AD$7*$AL$100</f>
        <v>21</v>
      </c>
      <c r="AF100" s="439">
        <f t="shared" si="105"/>
        <v>21</v>
      </c>
      <c r="AG100" s="439">
        <f t="shared" si="105"/>
        <v>21</v>
      </c>
      <c r="AH100" s="439">
        <f t="shared" si="105"/>
        <v>21</v>
      </c>
      <c r="AI100" s="439">
        <f t="shared" si="105"/>
        <v>21</v>
      </c>
      <c r="AJ100" s="439">
        <f t="shared" si="105"/>
        <v>21</v>
      </c>
      <c r="AK100" s="439">
        <f t="shared" si="105"/>
        <v>21</v>
      </c>
      <c r="AL100" s="440">
        <f t="shared" si="89"/>
        <v>0.1</v>
      </c>
    </row>
    <row r="101" spans="1:38" ht="15" outlineLevel="1">
      <c r="A101" s="438" t="s">
        <v>492</v>
      </c>
      <c r="B101" s="442"/>
      <c r="C101" s="442"/>
      <c r="M101" s="439">
        <f t="shared" ref="M101:R101" si="106">+$L6*$S101</f>
        <v>10.3</v>
      </c>
      <c r="N101" s="439">
        <f t="shared" si="106"/>
        <v>10.3</v>
      </c>
      <c r="O101" s="439">
        <f t="shared" si="106"/>
        <v>10.3</v>
      </c>
      <c r="P101" s="439">
        <f t="shared" si="106"/>
        <v>10.3</v>
      </c>
      <c r="Q101" s="439">
        <f t="shared" si="106"/>
        <v>10.3</v>
      </c>
      <c r="R101" s="439">
        <f t="shared" si="106"/>
        <v>10.3</v>
      </c>
      <c r="S101" s="440">
        <f t="shared" si="87"/>
        <v>0.1</v>
      </c>
      <c r="T101" s="438" t="s">
        <v>494</v>
      </c>
      <c r="V101" s="439"/>
      <c r="W101" s="439"/>
      <c r="X101" s="439"/>
      <c r="Y101" s="439"/>
      <c r="Z101" s="439"/>
      <c r="AA101" s="439"/>
      <c r="AB101" s="439"/>
      <c r="AC101" s="439"/>
      <c r="AD101" s="439"/>
      <c r="AE101" s="439"/>
      <c r="AF101" s="439">
        <f t="shared" ref="AF101:AK101" si="107">+$AE$7*$AL$101</f>
        <v>14.700000000000001</v>
      </c>
      <c r="AG101" s="439">
        <f t="shared" si="107"/>
        <v>14.700000000000001</v>
      </c>
      <c r="AH101" s="439">
        <f t="shared" si="107"/>
        <v>14.700000000000001</v>
      </c>
      <c r="AI101" s="439">
        <f t="shared" si="107"/>
        <v>14.700000000000001</v>
      </c>
      <c r="AJ101" s="439">
        <f t="shared" si="107"/>
        <v>14.700000000000001</v>
      </c>
      <c r="AK101" s="439">
        <f t="shared" si="107"/>
        <v>14.700000000000001</v>
      </c>
      <c r="AL101" s="440">
        <f>+AL100</f>
        <v>0.1</v>
      </c>
    </row>
    <row r="102" spans="1:38" ht="15" outlineLevel="1">
      <c r="A102" s="438" t="s">
        <v>557</v>
      </c>
      <c r="B102" s="442"/>
      <c r="C102" s="442"/>
      <c r="M102" s="439"/>
      <c r="N102" s="439">
        <f>+$M6*$S102</f>
        <v>126.30000000000001</v>
      </c>
      <c r="O102" s="439">
        <f>+$M6*$S102</f>
        <v>126.30000000000001</v>
      </c>
      <c r="P102" s="439">
        <f>+$M6*$S102</f>
        <v>126.30000000000001</v>
      </c>
      <c r="Q102" s="439">
        <f>+$M6*$S102</f>
        <v>126.30000000000001</v>
      </c>
      <c r="R102" s="439">
        <f>+$M6*$S102</f>
        <v>126.30000000000001</v>
      </c>
      <c r="S102" s="440">
        <f t="shared" si="87"/>
        <v>0.1</v>
      </c>
      <c r="T102" s="438" t="s">
        <v>562</v>
      </c>
      <c r="V102" s="439"/>
      <c r="W102" s="439"/>
      <c r="X102" s="439"/>
      <c r="Y102" s="439"/>
      <c r="Z102" s="439"/>
      <c r="AA102" s="439"/>
      <c r="AB102" s="439"/>
      <c r="AC102" s="439"/>
      <c r="AD102" s="439"/>
      <c r="AE102" s="439"/>
      <c r="AF102" s="439"/>
      <c r="AG102" s="439">
        <f>+$AF$7*$AL102</f>
        <v>65.100000000000009</v>
      </c>
      <c r="AH102" s="439">
        <f>+$AF$7*$AL102</f>
        <v>65.100000000000009</v>
      </c>
      <c r="AI102" s="439">
        <f>+$AF$7*$AL102</f>
        <v>65.100000000000009</v>
      </c>
      <c r="AJ102" s="439">
        <f>+$AF$7*$AL102</f>
        <v>65.100000000000009</v>
      </c>
      <c r="AK102" s="439">
        <f>+$AF$7*$AL102</f>
        <v>65.100000000000009</v>
      </c>
      <c r="AL102" s="440">
        <f t="shared" ref="AL102:AL106" si="108">+AL101</f>
        <v>0.1</v>
      </c>
    </row>
    <row r="103" spans="1:38" ht="15" outlineLevel="1">
      <c r="A103" s="438" t="s">
        <v>558</v>
      </c>
      <c r="B103" s="442"/>
      <c r="C103" s="442"/>
      <c r="M103" s="439"/>
      <c r="N103" s="439"/>
      <c r="O103" s="439">
        <f>+$N6*$S103</f>
        <v>20.200000000000003</v>
      </c>
      <c r="P103" s="439">
        <f>+$N6*$S103</f>
        <v>20.200000000000003</v>
      </c>
      <c r="Q103" s="439">
        <f>+$N6*$S103</f>
        <v>20.200000000000003</v>
      </c>
      <c r="R103" s="439">
        <f>+$N6*$S103</f>
        <v>20.200000000000003</v>
      </c>
      <c r="S103" s="440">
        <f t="shared" si="87"/>
        <v>0.1</v>
      </c>
      <c r="T103" s="438" t="s">
        <v>563</v>
      </c>
      <c r="V103" s="439"/>
      <c r="W103" s="439"/>
      <c r="X103" s="439"/>
      <c r="Y103" s="439"/>
      <c r="Z103" s="439"/>
      <c r="AA103" s="439"/>
      <c r="AB103" s="439"/>
      <c r="AC103" s="439"/>
      <c r="AD103" s="439"/>
      <c r="AE103" s="439"/>
      <c r="AF103" s="439"/>
      <c r="AG103" s="440"/>
      <c r="AH103" s="439">
        <f>+$AG$7*$AL103</f>
        <v>26.3</v>
      </c>
      <c r="AI103" s="439">
        <f>+$AG$7*$AL103</f>
        <v>26.3</v>
      </c>
      <c r="AJ103" s="439">
        <f>+$AG$7*$AL103</f>
        <v>26.3</v>
      </c>
      <c r="AK103" s="439">
        <f>+$AG$7*$AL103</f>
        <v>26.3</v>
      </c>
      <c r="AL103" s="440">
        <f t="shared" si="108"/>
        <v>0.1</v>
      </c>
    </row>
    <row r="104" spans="1:38" ht="15" outlineLevel="1">
      <c r="A104" s="438" t="s">
        <v>559</v>
      </c>
      <c r="B104" s="442"/>
      <c r="C104" s="442"/>
      <c r="M104" s="439"/>
      <c r="N104" s="439"/>
      <c r="O104" s="439"/>
      <c r="P104" s="439">
        <f>+$O6*$S104</f>
        <v>25.5</v>
      </c>
      <c r="Q104" s="439">
        <f>+$O6*$S104</f>
        <v>25.5</v>
      </c>
      <c r="R104" s="439">
        <f>+$O6*$S104</f>
        <v>25.5</v>
      </c>
      <c r="S104" s="440">
        <f t="shared" si="87"/>
        <v>0.1</v>
      </c>
      <c r="T104" s="438" t="s">
        <v>564</v>
      </c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40"/>
      <c r="AI104" s="439">
        <f>+$AH$7*$AL104</f>
        <v>40.700000000000003</v>
      </c>
      <c r="AJ104" s="439">
        <f>+$AH$7*$AL104</f>
        <v>40.700000000000003</v>
      </c>
      <c r="AK104" s="439">
        <f>+$AH$7*$AL104</f>
        <v>40.700000000000003</v>
      </c>
      <c r="AL104" s="440">
        <f t="shared" si="108"/>
        <v>0.1</v>
      </c>
    </row>
    <row r="105" spans="1:38" ht="15" outlineLevel="1">
      <c r="A105" s="438" t="s">
        <v>560</v>
      </c>
      <c r="B105" s="442"/>
      <c r="C105" s="442"/>
      <c r="M105" s="439"/>
      <c r="N105" s="439"/>
      <c r="O105" s="439"/>
      <c r="P105" s="439"/>
      <c r="Q105" s="439">
        <f>+$P6*$S105</f>
        <v>154.10000000000002</v>
      </c>
      <c r="R105" s="439">
        <f>+$P6*$S105</f>
        <v>154.10000000000002</v>
      </c>
      <c r="S105" s="440">
        <f t="shared" si="87"/>
        <v>0.1</v>
      </c>
      <c r="T105" s="438" t="s">
        <v>565</v>
      </c>
      <c r="V105" s="439"/>
      <c r="W105" s="439"/>
      <c r="X105" s="439"/>
      <c r="Y105" s="439"/>
      <c r="Z105" s="439"/>
      <c r="AA105" s="439"/>
      <c r="AB105" s="439"/>
      <c r="AC105" s="439"/>
      <c r="AD105" s="439"/>
      <c r="AE105" s="439"/>
      <c r="AF105" s="439"/>
      <c r="AG105" s="440"/>
      <c r="AJ105" s="439">
        <f>+$AI$7*$AL105</f>
        <v>33.9</v>
      </c>
      <c r="AK105" s="439">
        <f>+$AI$7*$AL105</f>
        <v>33.9</v>
      </c>
      <c r="AL105" s="440">
        <f t="shared" si="108"/>
        <v>0.1</v>
      </c>
    </row>
    <row r="106" spans="1:38" ht="15" outlineLevel="1">
      <c r="A106" s="438" t="s">
        <v>561</v>
      </c>
      <c r="B106" s="442"/>
      <c r="C106" s="442"/>
      <c r="M106" s="439"/>
      <c r="N106" s="439"/>
      <c r="O106" s="439"/>
      <c r="P106" s="439"/>
      <c r="Q106" s="439"/>
      <c r="R106" s="439">
        <f>+$Q6*$S106</f>
        <v>49.900000000000006</v>
      </c>
      <c r="S106" s="440">
        <f t="shared" si="87"/>
        <v>0.1</v>
      </c>
      <c r="T106" s="438" t="s">
        <v>566</v>
      </c>
      <c r="V106" s="439"/>
      <c r="W106" s="439"/>
      <c r="X106" s="439"/>
      <c r="Y106" s="439"/>
      <c r="Z106" s="439"/>
      <c r="AA106" s="439"/>
      <c r="AB106" s="439"/>
      <c r="AC106" s="439"/>
      <c r="AD106" s="439"/>
      <c r="AE106" s="439"/>
      <c r="AF106" s="439"/>
      <c r="AG106" s="440"/>
      <c r="AK106" s="439">
        <f>+$AJ$7*$AL106</f>
        <v>25.5</v>
      </c>
      <c r="AL106" s="440">
        <f t="shared" si="108"/>
        <v>0.1</v>
      </c>
    </row>
    <row r="107" spans="1:38" ht="15" outlineLevel="1">
      <c r="A107" s="438"/>
      <c r="B107" s="442"/>
      <c r="C107" s="442"/>
      <c r="T107" s="438"/>
      <c r="V107" s="439"/>
      <c r="W107" s="439"/>
      <c r="X107" s="439"/>
      <c r="Y107" s="439"/>
      <c r="Z107" s="439"/>
      <c r="AA107" s="439"/>
      <c r="AB107" s="439"/>
      <c r="AC107" s="439"/>
      <c r="AD107" s="439"/>
      <c r="AE107" s="439"/>
      <c r="AF107" s="439"/>
      <c r="AG107" s="440"/>
    </row>
    <row r="108" spans="1:38" ht="15.75" outlineLevel="1" thickBot="1">
      <c r="A108" s="438"/>
      <c r="B108" s="442"/>
      <c r="C108" s="442"/>
      <c r="T108" s="438"/>
      <c r="V108" s="439"/>
      <c r="W108" s="439"/>
      <c r="X108" s="439"/>
      <c r="Y108" s="439"/>
      <c r="Z108" s="439"/>
      <c r="AA108" s="439"/>
      <c r="AB108" s="439"/>
      <c r="AC108" s="439"/>
      <c r="AD108" s="439"/>
      <c r="AE108" s="439"/>
      <c r="AF108" s="439"/>
      <c r="AG108" s="440"/>
    </row>
    <row r="109" spans="1:38" ht="15" outlineLevel="1">
      <c r="A109" s="438" t="s">
        <v>446</v>
      </c>
      <c r="B109" s="403">
        <v>2001</v>
      </c>
      <c r="C109" s="403">
        <v>2002</v>
      </c>
      <c r="D109" s="403">
        <v>2003</v>
      </c>
      <c r="E109" s="403">
        <v>2004</v>
      </c>
      <c r="F109" s="403">
        <v>2005</v>
      </c>
      <c r="G109" s="403">
        <v>2006</v>
      </c>
      <c r="H109" s="404">
        <v>2007</v>
      </c>
      <c r="I109" s="403">
        <v>2008</v>
      </c>
      <c r="J109" s="404">
        <v>2009</v>
      </c>
      <c r="K109" s="403">
        <v>2010</v>
      </c>
      <c r="L109" s="404">
        <v>2011</v>
      </c>
      <c r="M109" s="403">
        <v>2012</v>
      </c>
      <c r="N109" s="404">
        <v>2013</v>
      </c>
      <c r="O109" s="403">
        <v>2014</v>
      </c>
      <c r="P109" s="404">
        <v>2015</v>
      </c>
      <c r="Q109" s="403">
        <v>2016</v>
      </c>
      <c r="R109" s="404">
        <v>2017</v>
      </c>
      <c r="T109" s="438" t="s">
        <v>446</v>
      </c>
      <c r="U109" s="403">
        <v>2001</v>
      </c>
      <c r="V109" s="403">
        <v>2002</v>
      </c>
      <c r="W109" s="403">
        <v>2003</v>
      </c>
      <c r="X109" s="403">
        <v>2004</v>
      </c>
      <c r="Y109" s="403">
        <v>2005</v>
      </c>
      <c r="Z109" s="403">
        <v>2006</v>
      </c>
      <c r="AA109" s="404">
        <v>2007</v>
      </c>
      <c r="AB109" s="403">
        <v>2008</v>
      </c>
      <c r="AC109" s="404">
        <v>2009</v>
      </c>
      <c r="AD109" s="403">
        <v>2010</v>
      </c>
      <c r="AE109" s="404">
        <v>2011</v>
      </c>
      <c r="AF109" s="403">
        <v>2012</v>
      </c>
      <c r="AG109" s="404">
        <v>2013</v>
      </c>
      <c r="AH109" s="403">
        <v>2014</v>
      </c>
      <c r="AI109" s="404">
        <v>2015</v>
      </c>
      <c r="AJ109" s="403">
        <v>2016</v>
      </c>
      <c r="AK109" s="404">
        <v>2017</v>
      </c>
    </row>
    <row r="110" spans="1:38" ht="15" outlineLevel="1">
      <c r="A110" s="438" t="s">
        <v>473</v>
      </c>
      <c r="C110" s="439">
        <f>+B6-C91</f>
        <v>331.38411428571425</v>
      </c>
      <c r="D110" s="439">
        <f t="shared" ref="D110:R110" si="109">+C110-D91</f>
        <v>294.5636571428571</v>
      </c>
      <c r="E110" s="439">
        <f t="shared" si="109"/>
        <v>257.74319999999994</v>
      </c>
      <c r="F110" s="439">
        <f t="shared" si="109"/>
        <v>220.92274285714279</v>
      </c>
      <c r="G110" s="439">
        <f t="shared" si="109"/>
        <v>184.10228571428564</v>
      </c>
      <c r="H110" s="439">
        <f t="shared" si="109"/>
        <v>147.28182857142849</v>
      </c>
      <c r="I110" s="439">
        <f t="shared" si="109"/>
        <v>110.46137142857134</v>
      </c>
      <c r="J110" s="439">
        <f t="shared" si="109"/>
        <v>73.640914285714189</v>
      </c>
      <c r="K110" s="439">
        <f t="shared" si="109"/>
        <v>36.820457142857045</v>
      </c>
      <c r="L110" s="439">
        <f t="shared" si="109"/>
        <v>-9.9475983006414026E-14</v>
      </c>
      <c r="M110" s="439">
        <f t="shared" si="109"/>
        <v>-9.9475983006414026E-14</v>
      </c>
      <c r="N110" s="439">
        <f t="shared" si="109"/>
        <v>-9.9475983006414026E-14</v>
      </c>
      <c r="O110" s="439">
        <f t="shared" si="109"/>
        <v>-9.9475983006414026E-14</v>
      </c>
      <c r="P110" s="439">
        <f t="shared" si="109"/>
        <v>-9.9475983006414026E-14</v>
      </c>
      <c r="Q110" s="439">
        <f t="shared" si="109"/>
        <v>-9.9475983006414026E-14</v>
      </c>
      <c r="R110" s="439">
        <f t="shared" si="109"/>
        <v>-9.9475983006414026E-14</v>
      </c>
      <c r="T110" s="438" t="s">
        <v>475</v>
      </c>
      <c r="U110" s="442"/>
      <c r="V110" s="442">
        <f>+U7-V91</f>
        <v>564.10148571428579</v>
      </c>
      <c r="W110" s="442">
        <f t="shared" ref="W110:AK110" si="110">+V110-W91</f>
        <v>501.42354285714293</v>
      </c>
      <c r="X110" s="442">
        <f t="shared" si="110"/>
        <v>438.74560000000008</v>
      </c>
      <c r="Y110" s="442">
        <f t="shared" si="110"/>
        <v>376.06765714285723</v>
      </c>
      <c r="Z110" s="442">
        <f t="shared" si="110"/>
        <v>313.38971428571438</v>
      </c>
      <c r="AA110" s="442">
        <f t="shared" si="110"/>
        <v>250.71177142857152</v>
      </c>
      <c r="AB110" s="442">
        <f t="shared" si="110"/>
        <v>188.03382857142867</v>
      </c>
      <c r="AC110" s="442">
        <f t="shared" si="110"/>
        <v>125.3558857142858</v>
      </c>
      <c r="AD110" s="442">
        <f t="shared" si="110"/>
        <v>62.677942857142938</v>
      </c>
      <c r="AE110" s="442">
        <f t="shared" si="110"/>
        <v>7.1054273576010019E-14</v>
      </c>
      <c r="AF110" s="442">
        <f t="shared" si="110"/>
        <v>7.1054273576010019E-14</v>
      </c>
      <c r="AG110" s="442">
        <f t="shared" si="110"/>
        <v>7.1054273576010019E-14</v>
      </c>
      <c r="AH110" s="442">
        <f t="shared" si="110"/>
        <v>7.1054273576010019E-14</v>
      </c>
      <c r="AI110" s="442">
        <f t="shared" si="110"/>
        <v>7.1054273576010019E-14</v>
      </c>
      <c r="AJ110" s="442">
        <f t="shared" si="110"/>
        <v>7.1054273576010019E-14</v>
      </c>
      <c r="AK110" s="442">
        <f t="shared" si="110"/>
        <v>7.1054273576010019E-14</v>
      </c>
    </row>
    <row r="111" spans="1:38" ht="15" outlineLevel="1">
      <c r="A111" s="438" t="s">
        <v>474</v>
      </c>
      <c r="D111" s="442">
        <f>+C6-D92</f>
        <v>136.63890000000004</v>
      </c>
      <c r="E111" s="442">
        <f t="shared" ref="E111:R111" si="111">+D111-E92</f>
        <v>121.45680000000003</v>
      </c>
      <c r="F111" s="442">
        <f t="shared" si="111"/>
        <v>106.27470000000002</v>
      </c>
      <c r="G111" s="442">
        <f t="shared" si="111"/>
        <v>91.092600000000019</v>
      </c>
      <c r="H111" s="442">
        <f t="shared" si="111"/>
        <v>75.910500000000013</v>
      </c>
      <c r="I111" s="442">
        <f t="shared" si="111"/>
        <v>60.728400000000008</v>
      </c>
      <c r="J111" s="442">
        <f t="shared" si="111"/>
        <v>45.546300000000002</v>
      </c>
      <c r="K111" s="442">
        <f t="shared" si="111"/>
        <v>30.364199999999997</v>
      </c>
      <c r="L111" s="442">
        <f t="shared" si="111"/>
        <v>15.182099999999993</v>
      </c>
      <c r="M111" s="442">
        <f t="shared" si="111"/>
        <v>0</v>
      </c>
      <c r="N111" s="442">
        <f t="shared" si="111"/>
        <v>0</v>
      </c>
      <c r="O111" s="442">
        <f t="shared" si="111"/>
        <v>0</v>
      </c>
      <c r="P111" s="439">
        <f t="shared" si="111"/>
        <v>0</v>
      </c>
      <c r="Q111" s="442">
        <f t="shared" si="111"/>
        <v>0</v>
      </c>
      <c r="R111" s="442">
        <f t="shared" si="111"/>
        <v>0</v>
      </c>
      <c r="T111" s="438" t="s">
        <v>477</v>
      </c>
      <c r="W111" s="442">
        <f>+V7-W92</f>
        <v>18.899999999999999</v>
      </c>
      <c r="X111" s="442">
        <f t="shared" ref="X111:AK111" si="112">+W111-X92</f>
        <v>16.799999999999997</v>
      </c>
      <c r="Y111" s="442">
        <f t="shared" si="112"/>
        <v>14.699999999999998</v>
      </c>
      <c r="Z111" s="442">
        <f t="shared" si="112"/>
        <v>12.599999999999998</v>
      </c>
      <c r="AA111" s="442">
        <f t="shared" si="112"/>
        <v>10.499999999999998</v>
      </c>
      <c r="AB111" s="442">
        <f t="shared" si="112"/>
        <v>8.3999999999999986</v>
      </c>
      <c r="AC111" s="442">
        <f t="shared" si="112"/>
        <v>6.2999999999999989</v>
      </c>
      <c r="AD111" s="442">
        <f t="shared" si="112"/>
        <v>4.1999999999999993</v>
      </c>
      <c r="AE111" s="442">
        <f t="shared" si="112"/>
        <v>2.0999999999999992</v>
      </c>
      <c r="AF111" s="442">
        <f t="shared" si="112"/>
        <v>0</v>
      </c>
      <c r="AG111" s="442">
        <f t="shared" si="112"/>
        <v>0</v>
      </c>
      <c r="AH111" s="442">
        <f t="shared" si="112"/>
        <v>0</v>
      </c>
      <c r="AI111" s="442">
        <f t="shared" si="112"/>
        <v>0</v>
      </c>
      <c r="AJ111" s="442">
        <f t="shared" si="112"/>
        <v>0</v>
      </c>
      <c r="AK111" s="442">
        <f t="shared" si="112"/>
        <v>0</v>
      </c>
    </row>
    <row r="112" spans="1:38" ht="15" outlineLevel="1">
      <c r="A112" s="438" t="s">
        <v>476</v>
      </c>
      <c r="E112" s="442">
        <f>+D6-E93</f>
        <v>128.69999999999999</v>
      </c>
      <c r="F112" s="442">
        <f t="shared" ref="F112:R112" si="113">+E112-F93</f>
        <v>114.39999999999999</v>
      </c>
      <c r="G112" s="442">
        <f t="shared" si="113"/>
        <v>100.1</v>
      </c>
      <c r="H112" s="442">
        <f t="shared" si="113"/>
        <v>85.8</v>
      </c>
      <c r="I112" s="442">
        <f t="shared" si="113"/>
        <v>71.5</v>
      </c>
      <c r="J112" s="442">
        <f t="shared" si="113"/>
        <v>57.2</v>
      </c>
      <c r="K112" s="442">
        <f t="shared" si="113"/>
        <v>42.900000000000006</v>
      </c>
      <c r="L112" s="442">
        <f t="shared" si="113"/>
        <v>28.600000000000005</v>
      </c>
      <c r="M112" s="442">
        <f t="shared" si="113"/>
        <v>14.300000000000004</v>
      </c>
      <c r="N112" s="442">
        <f t="shared" si="113"/>
        <v>0</v>
      </c>
      <c r="O112" s="442">
        <f t="shared" si="113"/>
        <v>0</v>
      </c>
      <c r="P112" s="439">
        <f t="shared" si="113"/>
        <v>0</v>
      </c>
      <c r="Q112" s="442">
        <f t="shared" si="113"/>
        <v>0</v>
      </c>
      <c r="R112" s="442">
        <f t="shared" si="113"/>
        <v>0</v>
      </c>
      <c r="T112" s="438" t="s">
        <v>479</v>
      </c>
      <c r="X112" s="442">
        <f>+W7-X93</f>
        <v>181.8</v>
      </c>
      <c r="Y112" s="442">
        <f t="shared" ref="Y112:AK112" si="114">+X112-Y93</f>
        <v>161.60000000000002</v>
      </c>
      <c r="Z112" s="442">
        <f t="shared" si="114"/>
        <v>141.40000000000003</v>
      </c>
      <c r="AA112" s="442">
        <f t="shared" si="114"/>
        <v>121.20000000000003</v>
      </c>
      <c r="AB112" s="442">
        <f t="shared" si="114"/>
        <v>101.00000000000003</v>
      </c>
      <c r="AC112" s="442">
        <f t="shared" si="114"/>
        <v>80.800000000000026</v>
      </c>
      <c r="AD112" s="442">
        <f t="shared" si="114"/>
        <v>60.600000000000023</v>
      </c>
      <c r="AE112" s="442">
        <f t="shared" si="114"/>
        <v>40.40000000000002</v>
      </c>
      <c r="AF112" s="442">
        <f t="shared" si="114"/>
        <v>20.200000000000017</v>
      </c>
      <c r="AG112" s="442">
        <f t="shared" si="114"/>
        <v>0</v>
      </c>
      <c r="AH112" s="442">
        <f t="shared" si="114"/>
        <v>0</v>
      </c>
      <c r="AI112" s="442">
        <f t="shared" si="114"/>
        <v>0</v>
      </c>
      <c r="AJ112" s="442">
        <f t="shared" si="114"/>
        <v>0</v>
      </c>
      <c r="AK112" s="442">
        <f t="shared" si="114"/>
        <v>0</v>
      </c>
    </row>
    <row r="113" spans="1:37" ht="15" outlineLevel="1">
      <c r="A113" s="438" t="s">
        <v>478</v>
      </c>
      <c r="F113" s="442">
        <f>+E6-F94</f>
        <v>68.400000000000006</v>
      </c>
      <c r="G113" s="442">
        <f t="shared" ref="G113:R113" si="115">+F113-G94</f>
        <v>60.800000000000004</v>
      </c>
      <c r="H113" s="442">
        <f t="shared" si="115"/>
        <v>53.2</v>
      </c>
      <c r="I113" s="442">
        <f t="shared" si="115"/>
        <v>45.6</v>
      </c>
      <c r="J113" s="442">
        <f t="shared" si="115"/>
        <v>38</v>
      </c>
      <c r="K113" s="442">
        <f t="shared" si="115"/>
        <v>30.4</v>
      </c>
      <c r="L113" s="442">
        <f t="shared" si="115"/>
        <v>22.799999999999997</v>
      </c>
      <c r="M113" s="442">
        <f t="shared" si="115"/>
        <v>15.199999999999996</v>
      </c>
      <c r="N113" s="442">
        <f t="shared" si="115"/>
        <v>7.5999999999999952</v>
      </c>
      <c r="O113" s="442">
        <f t="shared" si="115"/>
        <v>0</v>
      </c>
      <c r="P113" s="439">
        <f t="shared" si="115"/>
        <v>0</v>
      </c>
      <c r="Q113" s="442">
        <f t="shared" si="115"/>
        <v>0</v>
      </c>
      <c r="R113" s="442">
        <f t="shared" si="115"/>
        <v>0</v>
      </c>
      <c r="T113" s="438" t="s">
        <v>481</v>
      </c>
      <c r="Y113" s="442">
        <f>+X7-Y94</f>
        <v>17.100000000000001</v>
      </c>
      <c r="Z113" s="442">
        <f t="shared" ref="Z113:AK113" si="116">+Y113-Z94</f>
        <v>15.200000000000001</v>
      </c>
      <c r="AA113" s="442">
        <f t="shared" si="116"/>
        <v>13.3</v>
      </c>
      <c r="AB113" s="442">
        <f t="shared" si="116"/>
        <v>11.4</v>
      </c>
      <c r="AC113" s="442">
        <f t="shared" si="116"/>
        <v>9.5</v>
      </c>
      <c r="AD113" s="442">
        <f t="shared" si="116"/>
        <v>7.6</v>
      </c>
      <c r="AE113" s="442">
        <f t="shared" si="116"/>
        <v>5.6999999999999993</v>
      </c>
      <c r="AF113" s="442">
        <f t="shared" si="116"/>
        <v>3.7999999999999989</v>
      </c>
      <c r="AG113" s="442">
        <f t="shared" si="116"/>
        <v>1.8999999999999988</v>
      </c>
      <c r="AH113" s="442">
        <f t="shared" si="116"/>
        <v>0</v>
      </c>
      <c r="AI113" s="442">
        <f t="shared" si="116"/>
        <v>0</v>
      </c>
      <c r="AJ113" s="442">
        <f t="shared" si="116"/>
        <v>0</v>
      </c>
      <c r="AK113" s="442">
        <f t="shared" si="116"/>
        <v>0</v>
      </c>
    </row>
    <row r="114" spans="1:37" ht="15" outlineLevel="1">
      <c r="A114" s="438" t="s">
        <v>480</v>
      </c>
      <c r="G114" s="439">
        <f>+F6-G95</f>
        <v>3.6</v>
      </c>
      <c r="H114" s="439">
        <f t="shared" ref="H114:R114" si="117">+G114-H95</f>
        <v>3.2</v>
      </c>
      <c r="I114" s="442">
        <f t="shared" si="117"/>
        <v>2.8000000000000003</v>
      </c>
      <c r="J114" s="439">
        <f t="shared" si="117"/>
        <v>2.4000000000000004</v>
      </c>
      <c r="K114" s="439">
        <f t="shared" si="117"/>
        <v>2.0000000000000004</v>
      </c>
      <c r="L114" s="439">
        <f t="shared" si="117"/>
        <v>1.6000000000000005</v>
      </c>
      <c r="M114" s="439">
        <f t="shared" si="117"/>
        <v>1.2000000000000006</v>
      </c>
      <c r="N114" s="439">
        <f t="shared" si="117"/>
        <v>0.8000000000000006</v>
      </c>
      <c r="O114" s="439">
        <f t="shared" si="117"/>
        <v>0.40000000000000058</v>
      </c>
      <c r="P114" s="439">
        <f t="shared" si="117"/>
        <v>5.5511151231257827E-16</v>
      </c>
      <c r="Q114" s="439">
        <f t="shared" si="117"/>
        <v>5.5511151231257827E-16</v>
      </c>
      <c r="R114" s="439">
        <f t="shared" si="117"/>
        <v>5.5511151231257827E-16</v>
      </c>
      <c r="T114" s="438" t="s">
        <v>483</v>
      </c>
      <c r="Z114" s="442">
        <f>+Y7-Z95</f>
        <v>369.9</v>
      </c>
      <c r="AA114" s="442">
        <f t="shared" ref="AA114:AK114" si="118">+Z114-AA95</f>
        <v>328.79999999999995</v>
      </c>
      <c r="AB114" s="442">
        <f t="shared" si="118"/>
        <v>287.69999999999993</v>
      </c>
      <c r="AC114" s="442">
        <f t="shared" si="118"/>
        <v>246.59999999999994</v>
      </c>
      <c r="AD114" s="442">
        <f t="shared" si="118"/>
        <v>205.49999999999994</v>
      </c>
      <c r="AE114" s="442">
        <f t="shared" si="118"/>
        <v>164.39999999999995</v>
      </c>
      <c r="AF114" s="442">
        <f t="shared" si="118"/>
        <v>123.29999999999995</v>
      </c>
      <c r="AG114" s="442">
        <f t="shared" si="118"/>
        <v>82.19999999999996</v>
      </c>
      <c r="AH114" s="442">
        <f t="shared" si="118"/>
        <v>41.099999999999959</v>
      </c>
      <c r="AI114" s="442">
        <f t="shared" si="118"/>
        <v>0</v>
      </c>
      <c r="AJ114" s="442">
        <f t="shared" si="118"/>
        <v>0</v>
      </c>
      <c r="AK114" s="442">
        <f t="shared" si="118"/>
        <v>0</v>
      </c>
    </row>
    <row r="115" spans="1:37" ht="15" outlineLevel="1">
      <c r="A115" s="438" t="s">
        <v>482</v>
      </c>
      <c r="H115" s="442">
        <f>+G6-H96</f>
        <v>981.9</v>
      </c>
      <c r="I115" s="442">
        <f t="shared" ref="I115:R115" si="119">+H115-I96</f>
        <v>872.8</v>
      </c>
      <c r="J115" s="439">
        <f t="shared" si="119"/>
        <v>763.69999999999993</v>
      </c>
      <c r="K115" s="439">
        <f t="shared" si="119"/>
        <v>654.59999999999991</v>
      </c>
      <c r="L115" s="439">
        <f t="shared" si="119"/>
        <v>545.49999999999989</v>
      </c>
      <c r="M115" s="439">
        <f t="shared" si="119"/>
        <v>436.39999999999986</v>
      </c>
      <c r="N115" s="439">
        <f t="shared" si="119"/>
        <v>327.29999999999984</v>
      </c>
      <c r="O115" s="439">
        <f t="shared" si="119"/>
        <v>218.19999999999982</v>
      </c>
      <c r="P115" s="439">
        <f t="shared" si="119"/>
        <v>109.09999999999981</v>
      </c>
      <c r="Q115" s="439">
        <f t="shared" si="119"/>
        <v>-1.9895196601282805E-13</v>
      </c>
      <c r="R115" s="439">
        <f t="shared" si="119"/>
        <v>-1.9895196601282805E-13</v>
      </c>
      <c r="T115" s="438" t="s">
        <v>485</v>
      </c>
      <c r="AA115" s="442">
        <f>+Z7-AA96</f>
        <v>520.20000000000005</v>
      </c>
      <c r="AB115" s="442">
        <f t="shared" ref="AB115:AK115" si="120">+AA115-AB96</f>
        <v>462.40000000000003</v>
      </c>
      <c r="AC115" s="442">
        <f t="shared" si="120"/>
        <v>404.6</v>
      </c>
      <c r="AD115" s="442">
        <f t="shared" si="120"/>
        <v>346.8</v>
      </c>
      <c r="AE115" s="442">
        <f t="shared" si="120"/>
        <v>289</v>
      </c>
      <c r="AF115" s="442">
        <f t="shared" si="120"/>
        <v>231.2</v>
      </c>
      <c r="AG115" s="442">
        <f t="shared" si="120"/>
        <v>173.39999999999998</v>
      </c>
      <c r="AH115" s="442">
        <f t="shared" si="120"/>
        <v>115.59999999999997</v>
      </c>
      <c r="AI115" s="442">
        <f t="shared" si="120"/>
        <v>57.799999999999962</v>
      </c>
      <c r="AJ115" s="442">
        <f t="shared" si="120"/>
        <v>0</v>
      </c>
      <c r="AK115" s="442">
        <f t="shared" si="120"/>
        <v>0</v>
      </c>
    </row>
    <row r="116" spans="1:37" ht="15" outlineLevel="1">
      <c r="A116" s="438" t="s">
        <v>484</v>
      </c>
      <c r="I116" s="442">
        <f>+H6-I97</f>
        <v>112.5</v>
      </c>
      <c r="J116" s="439">
        <f t="shared" ref="J116:R116" si="121">+I116-J97</f>
        <v>100</v>
      </c>
      <c r="K116" s="439">
        <f t="shared" si="121"/>
        <v>87.5</v>
      </c>
      <c r="L116" s="439">
        <f t="shared" si="121"/>
        <v>75</v>
      </c>
      <c r="M116" s="439">
        <f t="shared" si="121"/>
        <v>62.5</v>
      </c>
      <c r="N116" s="439">
        <f t="shared" si="121"/>
        <v>50</v>
      </c>
      <c r="O116" s="439">
        <f t="shared" si="121"/>
        <v>37.5</v>
      </c>
      <c r="P116" s="439">
        <f t="shared" si="121"/>
        <v>25</v>
      </c>
      <c r="Q116" s="439">
        <f t="shared" si="121"/>
        <v>12.5</v>
      </c>
      <c r="R116" s="439">
        <f t="shared" si="121"/>
        <v>0</v>
      </c>
      <c r="T116" s="438" t="s">
        <v>487</v>
      </c>
      <c r="AA116" s="442"/>
      <c r="AB116" s="442">
        <f>+AA7-AB97</f>
        <v>0</v>
      </c>
      <c r="AC116" s="442">
        <f t="shared" ref="AC116:AK116" si="122">+AB116-AC97</f>
        <v>0</v>
      </c>
      <c r="AD116" s="442">
        <f t="shared" si="122"/>
        <v>0</v>
      </c>
      <c r="AE116" s="442">
        <f t="shared" si="122"/>
        <v>0</v>
      </c>
      <c r="AF116" s="442">
        <f t="shared" si="122"/>
        <v>0</v>
      </c>
      <c r="AG116" s="442">
        <f t="shared" si="122"/>
        <v>0</v>
      </c>
      <c r="AH116" s="442">
        <f t="shared" si="122"/>
        <v>0</v>
      </c>
      <c r="AI116" s="442">
        <f t="shared" si="122"/>
        <v>0</v>
      </c>
      <c r="AJ116" s="442">
        <f t="shared" si="122"/>
        <v>0</v>
      </c>
      <c r="AK116" s="442">
        <f t="shared" si="122"/>
        <v>0</v>
      </c>
    </row>
    <row r="117" spans="1:37" ht="15" outlineLevel="1">
      <c r="A117" s="438" t="s">
        <v>486</v>
      </c>
      <c r="J117" s="442">
        <f>+I6-J98</f>
        <v>417.6</v>
      </c>
      <c r="K117" s="439">
        <f t="shared" ref="K117:R117" si="123">+J117-K98</f>
        <v>371.20000000000005</v>
      </c>
      <c r="L117" s="439">
        <f t="shared" si="123"/>
        <v>324.80000000000007</v>
      </c>
      <c r="M117" s="439">
        <f t="shared" si="123"/>
        <v>278.40000000000009</v>
      </c>
      <c r="N117" s="439">
        <f t="shared" si="123"/>
        <v>232.00000000000009</v>
      </c>
      <c r="O117" s="439">
        <f t="shared" si="123"/>
        <v>185.60000000000008</v>
      </c>
      <c r="P117" s="439">
        <f t="shared" si="123"/>
        <v>139.20000000000007</v>
      </c>
      <c r="Q117" s="439">
        <f t="shared" si="123"/>
        <v>92.800000000000068</v>
      </c>
      <c r="R117" s="439">
        <f t="shared" si="123"/>
        <v>46.400000000000063</v>
      </c>
      <c r="T117" s="438" t="s">
        <v>489</v>
      </c>
      <c r="AA117" s="442"/>
      <c r="AB117" s="442"/>
      <c r="AC117" s="445">
        <f>+(AB7-AC98)</f>
        <v>254.7</v>
      </c>
      <c r="AD117" s="445">
        <f t="shared" ref="AD117:AK117" si="124">+AC117-AD98</f>
        <v>226.39999999999998</v>
      </c>
      <c r="AE117" s="445">
        <f t="shared" si="124"/>
        <v>198.09999999999997</v>
      </c>
      <c r="AF117" s="445">
        <f t="shared" si="124"/>
        <v>169.79999999999995</v>
      </c>
      <c r="AG117" s="442">
        <f t="shared" si="124"/>
        <v>141.49999999999994</v>
      </c>
      <c r="AH117" s="445">
        <f t="shared" si="124"/>
        <v>113.19999999999995</v>
      </c>
      <c r="AI117" s="445">
        <f t="shared" si="124"/>
        <v>84.899999999999949</v>
      </c>
      <c r="AJ117" s="445">
        <f t="shared" si="124"/>
        <v>56.599999999999952</v>
      </c>
      <c r="AK117" s="445">
        <f t="shared" si="124"/>
        <v>28.299999999999951</v>
      </c>
    </row>
    <row r="118" spans="1:37" ht="15" outlineLevel="1">
      <c r="A118" s="438" t="s">
        <v>488</v>
      </c>
      <c r="K118" s="442">
        <f>+J6-K99</f>
        <v>147.6</v>
      </c>
      <c r="L118" s="439">
        <f t="shared" ref="L118:R118" si="125">+K118-L99</f>
        <v>131.19999999999999</v>
      </c>
      <c r="M118" s="439">
        <f t="shared" si="125"/>
        <v>114.79999999999998</v>
      </c>
      <c r="N118" s="439">
        <f t="shared" si="125"/>
        <v>98.399999999999977</v>
      </c>
      <c r="O118" s="439">
        <f t="shared" si="125"/>
        <v>81.999999999999972</v>
      </c>
      <c r="P118" s="439">
        <f t="shared" si="125"/>
        <v>65.599999999999966</v>
      </c>
      <c r="Q118" s="439">
        <f t="shared" si="125"/>
        <v>49.19999999999996</v>
      </c>
      <c r="R118" s="439">
        <f t="shared" si="125"/>
        <v>32.799999999999955</v>
      </c>
      <c r="T118" s="438" t="s">
        <v>491</v>
      </c>
      <c r="AA118" s="442"/>
      <c r="AB118" s="442"/>
      <c r="AC118" s="442"/>
      <c r="AD118" s="442">
        <f>+AC7-AD99</f>
        <v>279.89999999999998</v>
      </c>
      <c r="AE118" s="442">
        <f t="shared" ref="AE118:AK118" si="126">+AD118-AE99</f>
        <v>248.79999999999998</v>
      </c>
      <c r="AF118" s="442">
        <f t="shared" si="126"/>
        <v>217.7</v>
      </c>
      <c r="AG118" s="442">
        <f t="shared" si="126"/>
        <v>186.6</v>
      </c>
      <c r="AH118" s="442">
        <f t="shared" si="126"/>
        <v>155.5</v>
      </c>
      <c r="AI118" s="442">
        <f t="shared" si="126"/>
        <v>124.4</v>
      </c>
      <c r="AJ118" s="442">
        <f t="shared" si="126"/>
        <v>93.300000000000011</v>
      </c>
      <c r="AK118" s="442">
        <f t="shared" si="126"/>
        <v>62.20000000000001</v>
      </c>
    </row>
    <row r="119" spans="1:37" ht="15" outlineLevel="1">
      <c r="A119" s="438" t="s">
        <v>490</v>
      </c>
      <c r="L119" s="442">
        <f>+K6-L100</f>
        <v>216</v>
      </c>
      <c r="M119" s="439">
        <f t="shared" ref="M119:R119" si="127">+L119-M100</f>
        <v>192</v>
      </c>
      <c r="N119" s="439">
        <f t="shared" si="127"/>
        <v>168</v>
      </c>
      <c r="O119" s="439">
        <f t="shared" si="127"/>
        <v>144</v>
      </c>
      <c r="P119" s="439">
        <f t="shared" si="127"/>
        <v>120</v>
      </c>
      <c r="Q119" s="439">
        <f t="shared" si="127"/>
        <v>96</v>
      </c>
      <c r="R119" s="439">
        <f t="shared" si="127"/>
        <v>72</v>
      </c>
      <c r="T119" s="438" t="s">
        <v>493</v>
      </c>
      <c r="AA119" s="442"/>
      <c r="AB119" s="442"/>
      <c r="AC119" s="442"/>
      <c r="AD119" s="442"/>
      <c r="AE119" s="442">
        <f>+AD7-AE100</f>
        <v>189</v>
      </c>
      <c r="AF119" s="442">
        <f t="shared" ref="AF119:AK119" si="128">+AE119-AF100</f>
        <v>168</v>
      </c>
      <c r="AG119" s="442">
        <f t="shared" si="128"/>
        <v>147</v>
      </c>
      <c r="AH119" s="442">
        <f t="shared" si="128"/>
        <v>126</v>
      </c>
      <c r="AI119" s="442">
        <f t="shared" si="128"/>
        <v>105</v>
      </c>
      <c r="AJ119" s="442">
        <f t="shared" si="128"/>
        <v>84</v>
      </c>
      <c r="AK119" s="442">
        <f t="shared" si="128"/>
        <v>63</v>
      </c>
    </row>
    <row r="120" spans="1:37" ht="15" outlineLevel="1">
      <c r="A120" s="438" t="s">
        <v>492</v>
      </c>
      <c r="M120" s="442">
        <f>+L6-M101</f>
        <v>92.7</v>
      </c>
      <c r="N120" s="439">
        <f>+M120-N101</f>
        <v>82.4</v>
      </c>
      <c r="O120" s="439">
        <f>+N120-O101</f>
        <v>72.100000000000009</v>
      </c>
      <c r="P120" s="439">
        <f>+O120-P101</f>
        <v>61.800000000000011</v>
      </c>
      <c r="Q120" s="439">
        <f>+P120-Q101</f>
        <v>51.500000000000014</v>
      </c>
      <c r="R120" s="439">
        <f>+Q120-R101</f>
        <v>41.200000000000017</v>
      </c>
      <c r="T120" s="438" t="s">
        <v>494</v>
      </c>
      <c r="AF120" s="442">
        <f>+AE$7-AF101</f>
        <v>132.30000000000001</v>
      </c>
      <c r="AG120" s="442">
        <f>+AF120-AG101</f>
        <v>117.60000000000001</v>
      </c>
      <c r="AH120" s="442">
        <f>+AG120-AH101</f>
        <v>102.9</v>
      </c>
      <c r="AI120" s="442">
        <f>+AH120-AI101</f>
        <v>88.2</v>
      </c>
      <c r="AJ120" s="442">
        <f>+AI120-AJ101</f>
        <v>73.5</v>
      </c>
      <c r="AK120" s="442">
        <f>+AJ120-AK101</f>
        <v>58.8</v>
      </c>
    </row>
    <row r="121" spans="1:37" ht="15" outlineLevel="1">
      <c r="A121" s="438" t="s">
        <v>557</v>
      </c>
      <c r="M121" s="442"/>
      <c r="N121" s="442">
        <f>+M6-N102</f>
        <v>1136.7</v>
      </c>
      <c r="O121" s="439">
        <f>+N121-O102</f>
        <v>1010.4000000000001</v>
      </c>
      <c r="P121" s="439">
        <f>+O121-P102</f>
        <v>884.10000000000014</v>
      </c>
      <c r="Q121" s="439">
        <f>+P121-Q102</f>
        <v>757.80000000000018</v>
      </c>
      <c r="R121" s="439">
        <f>+Q121-R102</f>
        <v>631.50000000000023</v>
      </c>
      <c r="T121" s="438" t="s">
        <v>562</v>
      </c>
      <c r="AF121" s="442"/>
      <c r="AG121" s="442">
        <f>+AF$7-AG102</f>
        <v>585.9</v>
      </c>
      <c r="AH121" s="442">
        <f>+AG121-AH102</f>
        <v>520.79999999999995</v>
      </c>
      <c r="AI121" s="442">
        <f>+AH121-AI102</f>
        <v>455.69999999999993</v>
      </c>
      <c r="AJ121" s="442">
        <f>+AI121-AJ102</f>
        <v>390.59999999999991</v>
      </c>
      <c r="AK121" s="442">
        <f>+AJ121-AK102</f>
        <v>325.49999999999989</v>
      </c>
    </row>
    <row r="122" spans="1:37" ht="15" outlineLevel="1">
      <c r="A122" s="438" t="s">
        <v>558</v>
      </c>
      <c r="M122" s="442"/>
      <c r="N122" s="442"/>
      <c r="O122" s="442">
        <f>+N6-O103</f>
        <v>181.8</v>
      </c>
      <c r="P122" s="439">
        <f>+O122-P103</f>
        <v>161.60000000000002</v>
      </c>
      <c r="Q122" s="439">
        <f>+P122-Q103</f>
        <v>141.40000000000003</v>
      </c>
      <c r="R122" s="439">
        <f>+Q122-R103</f>
        <v>121.20000000000003</v>
      </c>
      <c r="T122" s="438" t="s">
        <v>563</v>
      </c>
      <c r="AF122" s="442"/>
      <c r="AH122" s="442">
        <f>+AG$7-AH103</f>
        <v>236.7</v>
      </c>
      <c r="AI122" s="442">
        <f>+AH122-AI103</f>
        <v>210.39999999999998</v>
      </c>
      <c r="AJ122" s="442">
        <f>+AI122-AJ103</f>
        <v>184.09999999999997</v>
      </c>
      <c r="AK122" s="442">
        <f>+AJ122-AK103</f>
        <v>157.79999999999995</v>
      </c>
    </row>
    <row r="123" spans="1:37" ht="15" outlineLevel="1">
      <c r="A123" s="438" t="s">
        <v>559</v>
      </c>
      <c r="M123" s="442"/>
      <c r="N123" s="442"/>
      <c r="O123" s="442"/>
      <c r="P123" s="442">
        <f>+O6-P104</f>
        <v>229.5</v>
      </c>
      <c r="Q123" s="439">
        <f>+P123-Q104</f>
        <v>204</v>
      </c>
      <c r="R123" s="439">
        <f>+Q123-R104</f>
        <v>178.5</v>
      </c>
      <c r="T123" s="438" t="s">
        <v>564</v>
      </c>
      <c r="AF123" s="442"/>
      <c r="AI123" s="442">
        <f>+AH$7-AI104</f>
        <v>366.3</v>
      </c>
      <c r="AJ123" s="442">
        <f>+AI123-AJ104</f>
        <v>325.60000000000002</v>
      </c>
      <c r="AK123" s="442">
        <f>+AJ123-AK104</f>
        <v>284.90000000000003</v>
      </c>
    </row>
    <row r="124" spans="1:37" ht="15" outlineLevel="1">
      <c r="A124" s="438" t="s">
        <v>560</v>
      </c>
      <c r="M124" s="442"/>
      <c r="N124" s="442"/>
      <c r="O124" s="442"/>
      <c r="P124" s="442"/>
      <c r="Q124" s="442">
        <f>+P6-Q105</f>
        <v>1386.9</v>
      </c>
      <c r="R124" s="439">
        <f>+Q124-R105</f>
        <v>1232.8000000000002</v>
      </c>
      <c r="T124" s="438" t="s">
        <v>565</v>
      </c>
      <c r="AF124" s="442"/>
      <c r="AJ124" s="442">
        <f>+AI$7-AJ105</f>
        <v>305.10000000000002</v>
      </c>
      <c r="AK124" s="442">
        <f>+AJ124-AK105</f>
        <v>271.20000000000005</v>
      </c>
    </row>
    <row r="125" spans="1:37" ht="15" outlineLevel="1">
      <c r="A125" s="438" t="s">
        <v>561</v>
      </c>
      <c r="M125" s="442"/>
      <c r="N125" s="442"/>
      <c r="O125" s="442"/>
      <c r="P125" s="442"/>
      <c r="Q125" s="442"/>
      <c r="R125" s="442">
        <f>+Q6-R106</f>
        <v>449.1</v>
      </c>
      <c r="T125" s="438" t="s">
        <v>566</v>
      </c>
      <c r="AF125" s="442"/>
      <c r="AK125" s="442">
        <f>+AJ$7-AK106</f>
        <v>229.5</v>
      </c>
    </row>
    <row r="126" spans="1:37" ht="15" outlineLevel="1">
      <c r="A126" s="438"/>
      <c r="M126" s="442"/>
      <c r="N126" s="442"/>
      <c r="O126" s="442"/>
      <c r="P126" s="442"/>
      <c r="Q126" s="442"/>
      <c r="R126" s="442"/>
      <c r="T126" s="438"/>
      <c r="AF126" s="442"/>
    </row>
    <row r="128" spans="1:37" ht="15">
      <c r="A128" s="443" t="s">
        <v>495</v>
      </c>
      <c r="B128" s="444">
        <f>+B6</f>
        <v>368.2045714285714</v>
      </c>
      <c r="C128" s="444">
        <f t="shared" ref="C128:R128" si="129">+C6+SUM(C110:C125)</f>
        <v>483.20511428571427</v>
      </c>
      <c r="D128" s="444">
        <f t="shared" si="129"/>
        <v>574.20255714285713</v>
      </c>
      <c r="E128" s="444">
        <f t="shared" si="129"/>
        <v>583.9</v>
      </c>
      <c r="F128" s="444">
        <f t="shared" si="129"/>
        <v>513.9974428571428</v>
      </c>
      <c r="G128" s="444">
        <f t="shared" si="129"/>
        <v>1530.6948857142856</v>
      </c>
      <c r="H128" s="444">
        <f t="shared" si="129"/>
        <v>1472.2923285714285</v>
      </c>
      <c r="I128" s="444">
        <f t="shared" si="129"/>
        <v>1740.3897714285713</v>
      </c>
      <c r="J128" s="444">
        <f t="shared" si="129"/>
        <v>1662.0872142857143</v>
      </c>
      <c r="K128" s="444">
        <f t="shared" si="129"/>
        <v>1643.3846571428569</v>
      </c>
      <c r="L128" s="444">
        <f t="shared" si="129"/>
        <v>1463.6820999999998</v>
      </c>
      <c r="M128" s="444">
        <f t="shared" si="129"/>
        <v>2470.5</v>
      </c>
      <c r="N128" s="444">
        <f t="shared" si="129"/>
        <v>2305.1999999999998</v>
      </c>
      <c r="O128" s="444">
        <f t="shared" si="129"/>
        <v>2187</v>
      </c>
      <c r="P128" s="444">
        <f t="shared" si="129"/>
        <v>3336.9</v>
      </c>
      <c r="Q128" s="444">
        <f t="shared" si="129"/>
        <v>3291.1000000000004</v>
      </c>
      <c r="R128" s="444">
        <f t="shared" si="129"/>
        <v>3797.5</v>
      </c>
      <c r="T128" s="443" t="s">
        <v>496</v>
      </c>
      <c r="U128" s="444">
        <f>+U7</f>
        <v>626.77942857142864</v>
      </c>
      <c r="V128" s="444">
        <f t="shared" ref="V128:AK128" si="130">+V7+SUM(V110:V125)</f>
        <v>585.10148571428579</v>
      </c>
      <c r="W128" s="444">
        <f t="shared" si="130"/>
        <v>722.32354285714291</v>
      </c>
      <c r="X128" s="444">
        <f t="shared" si="130"/>
        <v>656.3456000000001</v>
      </c>
      <c r="Y128" s="444">
        <f t="shared" si="130"/>
        <v>980.46765714285732</v>
      </c>
      <c r="Z128" s="444">
        <f t="shared" si="130"/>
        <v>1430.4897142857144</v>
      </c>
      <c r="AA128" s="444">
        <f t="shared" si="130"/>
        <v>1244.7117714285716</v>
      </c>
      <c r="AB128" s="444">
        <f t="shared" si="130"/>
        <v>1341.9338285714286</v>
      </c>
      <c r="AC128" s="444">
        <f t="shared" si="130"/>
        <v>1438.8558857142857</v>
      </c>
      <c r="AD128" s="444">
        <f t="shared" si="130"/>
        <v>1403.6779428571429</v>
      </c>
      <c r="AE128" s="444">
        <f t="shared" si="130"/>
        <v>1284.5</v>
      </c>
      <c r="AF128" s="444">
        <f t="shared" si="130"/>
        <v>1717.3</v>
      </c>
      <c r="AG128" s="444">
        <f t="shared" si="130"/>
        <v>1699.1</v>
      </c>
      <c r="AH128" s="444">
        <f t="shared" si="130"/>
        <v>1818.8</v>
      </c>
      <c r="AI128" s="444">
        <f t="shared" si="130"/>
        <v>1831.7</v>
      </c>
      <c r="AJ128" s="444">
        <f t="shared" si="130"/>
        <v>1767.7999999999997</v>
      </c>
      <c r="AK128" s="444">
        <f t="shared" si="130"/>
        <v>2031.2</v>
      </c>
    </row>
    <row r="130" spans="1:19" ht="13.5" outlineLevel="1" thickBot="1"/>
    <row r="131" spans="1:19" ht="15" outlineLevel="1">
      <c r="A131" s="438" t="s">
        <v>423</v>
      </c>
      <c r="B131" s="403">
        <v>2001</v>
      </c>
      <c r="C131" s="403">
        <v>2002</v>
      </c>
      <c r="D131" s="403">
        <v>2003</v>
      </c>
      <c r="E131" s="403">
        <v>2004</v>
      </c>
      <c r="F131" s="403">
        <v>2005</v>
      </c>
      <c r="G131" s="403">
        <v>2006</v>
      </c>
      <c r="H131" s="404">
        <v>2007</v>
      </c>
      <c r="I131" s="403">
        <v>2008</v>
      </c>
      <c r="J131" s="404">
        <v>2009</v>
      </c>
      <c r="K131" s="403">
        <v>2010</v>
      </c>
      <c r="L131" s="404">
        <v>2011</v>
      </c>
      <c r="M131" s="403">
        <v>2012</v>
      </c>
      <c r="N131" s="404">
        <v>2013</v>
      </c>
      <c r="O131" s="403">
        <v>2014</v>
      </c>
      <c r="P131" s="404">
        <v>2015</v>
      </c>
      <c r="Q131" s="403">
        <v>2016</v>
      </c>
      <c r="R131" s="404">
        <v>2017</v>
      </c>
    </row>
    <row r="132" spans="1:19" ht="15" outlineLevel="1">
      <c r="A132" s="438" t="s">
        <v>497</v>
      </c>
      <c r="B132" s="439"/>
      <c r="C132" s="439">
        <f>+$B7*$S132</f>
        <v>57.160228571428576</v>
      </c>
      <c r="D132" s="439">
        <f>+$B7*$S132</f>
        <v>57.160228571428576</v>
      </c>
      <c r="E132" s="439">
        <f>+$B7*$S132</f>
        <v>57.160228571428576</v>
      </c>
      <c r="F132" s="439">
        <f>+$B7*$S132</f>
        <v>57.160228571428576</v>
      </c>
      <c r="G132" s="439">
        <f>+$B7*$S132</f>
        <v>57.160228571428576</v>
      </c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40">
        <f>+'INPUT K'!C28</f>
        <v>0.2</v>
      </c>
    </row>
    <row r="133" spans="1:19" ht="15" outlineLevel="1">
      <c r="A133" s="438" t="s">
        <v>498</v>
      </c>
      <c r="B133" s="439"/>
      <c r="C133" s="439"/>
      <c r="D133" s="439">
        <f>+$C7*$S133</f>
        <v>13.584800000000001</v>
      </c>
      <c r="E133" s="439">
        <f>+$C7*$S133</f>
        <v>13.584800000000001</v>
      </c>
      <c r="F133" s="439">
        <f>+$C7*$S133</f>
        <v>13.584800000000001</v>
      </c>
      <c r="G133" s="439">
        <f>+$C7*$S133</f>
        <v>13.584800000000001</v>
      </c>
      <c r="H133" s="439">
        <f>+$C7*$S133</f>
        <v>13.584800000000001</v>
      </c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40">
        <f t="shared" ref="S133:S147" si="131">+S132</f>
        <v>0.2</v>
      </c>
    </row>
    <row r="134" spans="1:19" ht="15" outlineLevel="1">
      <c r="A134" s="438" t="s">
        <v>499</v>
      </c>
      <c r="B134" s="439"/>
      <c r="C134" s="439"/>
      <c r="D134" s="439"/>
      <c r="E134" s="439">
        <f>+$D7*$S134</f>
        <v>0</v>
      </c>
      <c r="F134" s="439">
        <f>+$D7*$S134</f>
        <v>0</v>
      </c>
      <c r="G134" s="439">
        <f>+$D7*$S134</f>
        <v>0</v>
      </c>
      <c r="H134" s="439">
        <f>+$D7*$S134</f>
        <v>0</v>
      </c>
      <c r="I134" s="439">
        <f>+$D7*$S134</f>
        <v>0</v>
      </c>
      <c r="J134" s="439"/>
      <c r="K134" s="439"/>
      <c r="L134" s="439"/>
      <c r="M134" s="439"/>
      <c r="N134" s="439"/>
      <c r="O134" s="439"/>
      <c r="P134" s="439"/>
      <c r="Q134" s="439"/>
      <c r="R134" s="439"/>
      <c r="S134" s="440">
        <f t="shared" si="131"/>
        <v>0.2</v>
      </c>
    </row>
    <row r="135" spans="1:19" ht="15" outlineLevel="1">
      <c r="A135" s="438" t="s">
        <v>500</v>
      </c>
      <c r="B135" s="439"/>
      <c r="C135" s="439"/>
      <c r="D135" s="439"/>
      <c r="E135" s="439"/>
      <c r="F135" s="439">
        <f>+$E7*$S135</f>
        <v>13</v>
      </c>
      <c r="G135" s="439">
        <f>+$E7*$S135</f>
        <v>13</v>
      </c>
      <c r="H135" s="439">
        <f>+$E7*$S135</f>
        <v>13</v>
      </c>
      <c r="I135" s="439">
        <f>+$E7*$S135</f>
        <v>13</v>
      </c>
      <c r="J135" s="439">
        <f>+$E7*$S135</f>
        <v>13</v>
      </c>
      <c r="K135" s="439"/>
      <c r="L135" s="439"/>
      <c r="M135" s="439"/>
      <c r="N135" s="439"/>
      <c r="O135" s="439"/>
      <c r="P135" s="439"/>
      <c r="Q135" s="439"/>
      <c r="R135" s="439"/>
      <c r="S135" s="440">
        <f t="shared" si="131"/>
        <v>0.2</v>
      </c>
    </row>
    <row r="136" spans="1:19" ht="15" outlineLevel="1">
      <c r="A136" s="438" t="s">
        <v>501</v>
      </c>
      <c r="B136" s="439"/>
      <c r="C136" s="439"/>
      <c r="D136" s="439"/>
      <c r="E136" s="439"/>
      <c r="F136" s="439"/>
      <c r="G136" s="439">
        <f>+$F7*$S136</f>
        <v>0</v>
      </c>
      <c r="H136" s="439">
        <f>+$F7*$S136</f>
        <v>0</v>
      </c>
      <c r="I136" s="439">
        <f>+$F7*$S136</f>
        <v>0</v>
      </c>
      <c r="J136" s="439">
        <f>+$F7*$S136</f>
        <v>0</v>
      </c>
      <c r="K136" s="439">
        <f>+$F7*$S136</f>
        <v>0</v>
      </c>
      <c r="L136" s="439"/>
      <c r="M136" s="439"/>
      <c r="N136" s="439"/>
      <c r="O136" s="439"/>
      <c r="P136" s="439"/>
      <c r="Q136" s="439"/>
      <c r="R136" s="439"/>
      <c r="S136" s="440">
        <f t="shared" si="131"/>
        <v>0.2</v>
      </c>
    </row>
    <row r="137" spans="1:19" ht="15" outlineLevel="1">
      <c r="A137" s="438" t="s">
        <v>502</v>
      </c>
      <c r="B137" s="439"/>
      <c r="C137" s="439"/>
      <c r="D137" s="439"/>
      <c r="E137" s="439"/>
      <c r="F137" s="439"/>
      <c r="G137" s="439"/>
      <c r="H137" s="439">
        <f>+$G7*$S137</f>
        <v>26.6</v>
      </c>
      <c r="I137" s="439">
        <f>+$G7*$S137</f>
        <v>26.6</v>
      </c>
      <c r="J137" s="439">
        <f>+$G7*$S137</f>
        <v>26.6</v>
      </c>
      <c r="K137" s="439">
        <f>+$G7*$S137</f>
        <v>26.6</v>
      </c>
      <c r="L137" s="439">
        <f>+$G7*$S137</f>
        <v>26.6</v>
      </c>
      <c r="M137" s="439"/>
      <c r="N137" s="439"/>
      <c r="O137" s="439"/>
      <c r="P137" s="439"/>
      <c r="Q137" s="439"/>
      <c r="R137" s="439"/>
      <c r="S137" s="440">
        <f t="shared" si="131"/>
        <v>0.2</v>
      </c>
    </row>
    <row r="138" spans="1:19" ht="15" outlineLevel="1">
      <c r="A138" s="438" t="s">
        <v>503</v>
      </c>
      <c r="B138" s="439"/>
      <c r="C138" s="439"/>
      <c r="D138" s="439"/>
      <c r="E138" s="439"/>
      <c r="F138" s="439"/>
      <c r="G138" s="439"/>
      <c r="H138" s="439"/>
      <c r="I138" s="439">
        <f>+$H7*$S138</f>
        <v>17</v>
      </c>
      <c r="J138" s="439">
        <f>+$H7*$S138</f>
        <v>17</v>
      </c>
      <c r="K138" s="439">
        <f>+$H7*$S138</f>
        <v>17</v>
      </c>
      <c r="L138" s="439">
        <f>+$H7*$S138</f>
        <v>17</v>
      </c>
      <c r="M138" s="439">
        <f>+$H7*$S138</f>
        <v>17</v>
      </c>
      <c r="N138" s="439"/>
      <c r="O138" s="439"/>
      <c r="P138" s="439"/>
      <c r="Q138" s="439"/>
      <c r="R138" s="439"/>
      <c r="S138" s="440">
        <f t="shared" si="131"/>
        <v>0.2</v>
      </c>
    </row>
    <row r="139" spans="1:19" ht="15" outlineLevel="1">
      <c r="A139" s="438" t="s">
        <v>504</v>
      </c>
      <c r="B139" s="439"/>
      <c r="C139" s="439"/>
      <c r="D139" s="439"/>
      <c r="E139" s="439"/>
      <c r="F139" s="439"/>
      <c r="G139" s="439"/>
      <c r="H139" s="439"/>
      <c r="I139" s="439"/>
      <c r="J139" s="439">
        <f>+$I7*$S139</f>
        <v>3.2</v>
      </c>
      <c r="K139" s="439">
        <f>+$I7*$S139</f>
        <v>3.2</v>
      </c>
      <c r="L139" s="439">
        <f>+$I7*$S139</f>
        <v>3.2</v>
      </c>
      <c r="M139" s="439">
        <f>+$I7*$S139</f>
        <v>3.2</v>
      </c>
      <c r="N139" s="439">
        <f>+$I7*$S139</f>
        <v>3.2</v>
      </c>
      <c r="O139" s="439"/>
      <c r="P139" s="439"/>
      <c r="Q139" s="439"/>
      <c r="R139" s="439"/>
      <c r="S139" s="440">
        <f t="shared" si="131"/>
        <v>0.2</v>
      </c>
    </row>
    <row r="140" spans="1:19" ht="15" outlineLevel="1">
      <c r="A140" s="438" t="s">
        <v>505</v>
      </c>
      <c r="B140" s="439"/>
      <c r="C140" s="439"/>
      <c r="D140" s="439"/>
      <c r="E140" s="439"/>
      <c r="F140" s="439"/>
      <c r="G140" s="439"/>
      <c r="H140" s="439"/>
      <c r="I140" s="439"/>
      <c r="J140" s="439"/>
      <c r="K140" s="439">
        <f>+$J7*$S140</f>
        <v>0.8</v>
      </c>
      <c r="L140" s="439">
        <f>+$J7*$S140</f>
        <v>0.8</v>
      </c>
      <c r="M140" s="439">
        <f>+$J7*$S140</f>
        <v>0.8</v>
      </c>
      <c r="N140" s="439">
        <f>+$J7*$S140</f>
        <v>0.8</v>
      </c>
      <c r="O140" s="439">
        <f>+$J7*$S140</f>
        <v>0.8</v>
      </c>
      <c r="P140" s="439"/>
      <c r="Q140" s="439"/>
      <c r="R140" s="439"/>
      <c r="S140" s="440">
        <f t="shared" si="131"/>
        <v>0.2</v>
      </c>
    </row>
    <row r="141" spans="1:19" ht="15" outlineLevel="1">
      <c r="A141" s="438" t="s">
        <v>506</v>
      </c>
      <c r="B141" s="439"/>
      <c r="C141" s="439"/>
      <c r="D141" s="439"/>
      <c r="E141" s="439"/>
      <c r="F141" s="439"/>
      <c r="G141" s="439"/>
      <c r="H141" s="439"/>
      <c r="I141" s="439"/>
      <c r="J141" s="439"/>
      <c r="K141" s="439"/>
      <c r="L141" s="439">
        <f>+$K7*$S141</f>
        <v>12.200000000000001</v>
      </c>
      <c r="M141" s="439">
        <f>+$K7*$S141</f>
        <v>12.200000000000001</v>
      </c>
      <c r="N141" s="439">
        <f>+$K7*$S141</f>
        <v>12.200000000000001</v>
      </c>
      <c r="O141" s="439">
        <f>+$K7*$S141</f>
        <v>12.200000000000001</v>
      </c>
      <c r="P141" s="439">
        <f>+$K7*$S141</f>
        <v>12.200000000000001</v>
      </c>
      <c r="Q141" s="439"/>
      <c r="R141" s="439"/>
      <c r="S141" s="440">
        <f t="shared" si="131"/>
        <v>0.2</v>
      </c>
    </row>
    <row r="142" spans="1:19" ht="15" outlineLevel="1">
      <c r="A142" s="438" t="s">
        <v>507</v>
      </c>
      <c r="B142" s="439"/>
      <c r="C142" s="439"/>
      <c r="D142" s="439"/>
      <c r="E142" s="439"/>
      <c r="F142" s="439"/>
      <c r="G142" s="439"/>
      <c r="H142" s="439"/>
      <c r="I142" s="439"/>
      <c r="J142" s="439"/>
      <c r="K142" s="439"/>
      <c r="L142" s="439"/>
      <c r="M142" s="439">
        <f>+$L7*$S142</f>
        <v>0</v>
      </c>
      <c r="N142" s="439">
        <f>+$L7*$S142</f>
        <v>0</v>
      </c>
      <c r="O142" s="439">
        <f>+$L7*$S142</f>
        <v>0</v>
      </c>
      <c r="P142" s="439">
        <f>+$L7*$S142</f>
        <v>0</v>
      </c>
      <c r="Q142" s="439">
        <f>+$L7*$S142</f>
        <v>0</v>
      </c>
      <c r="R142" s="439"/>
      <c r="S142" s="440">
        <f t="shared" si="131"/>
        <v>0.2</v>
      </c>
    </row>
    <row r="143" spans="1:19" ht="15" outlineLevel="1">
      <c r="A143" s="438" t="s">
        <v>567</v>
      </c>
      <c r="B143" s="439"/>
      <c r="C143" s="439"/>
      <c r="D143" s="439"/>
      <c r="E143" s="439"/>
      <c r="F143" s="439"/>
      <c r="G143" s="439"/>
      <c r="H143" s="439"/>
      <c r="I143" s="439"/>
      <c r="J143" s="439"/>
      <c r="K143" s="439"/>
      <c r="L143" s="439"/>
      <c r="M143" s="439"/>
      <c r="N143" s="439">
        <f>+$M7*$S143</f>
        <v>8</v>
      </c>
      <c r="O143" s="439">
        <f>+$M7*$S143</f>
        <v>8</v>
      </c>
      <c r="P143" s="439">
        <f>+$M7*$S143</f>
        <v>8</v>
      </c>
      <c r="Q143" s="439">
        <f>+$M7*$S143</f>
        <v>8</v>
      </c>
      <c r="R143" s="439">
        <f>+$M7*$S143</f>
        <v>8</v>
      </c>
      <c r="S143" s="440">
        <f t="shared" si="131"/>
        <v>0.2</v>
      </c>
    </row>
    <row r="144" spans="1:19" ht="15" outlineLevel="1">
      <c r="A144" s="438" t="s">
        <v>568</v>
      </c>
      <c r="B144" s="439"/>
      <c r="C144" s="439"/>
      <c r="D144" s="439"/>
      <c r="E144" s="439"/>
      <c r="F144" s="439"/>
      <c r="G144" s="439"/>
      <c r="H144" s="439"/>
      <c r="I144" s="439"/>
      <c r="J144" s="439"/>
      <c r="K144" s="439"/>
      <c r="L144" s="439"/>
      <c r="M144" s="439"/>
      <c r="N144" s="439"/>
      <c r="O144" s="439">
        <f>+$N7*$S144</f>
        <v>320</v>
      </c>
      <c r="P144" s="439">
        <f>+$N7*$S144</f>
        <v>320</v>
      </c>
      <c r="Q144" s="439">
        <f>+$N7*$S144</f>
        <v>320</v>
      </c>
      <c r="R144" s="439">
        <f>+$N7*$S144</f>
        <v>320</v>
      </c>
      <c r="S144" s="440">
        <f t="shared" si="131"/>
        <v>0.2</v>
      </c>
    </row>
    <row r="145" spans="1:19" ht="15" outlineLevel="1">
      <c r="A145" s="438" t="s">
        <v>569</v>
      </c>
      <c r="B145" s="439"/>
      <c r="C145" s="439"/>
      <c r="D145" s="439"/>
      <c r="E145" s="439"/>
      <c r="F145" s="439"/>
      <c r="G145" s="439"/>
      <c r="H145" s="439"/>
      <c r="I145" s="439"/>
      <c r="J145" s="439"/>
      <c r="K145" s="439"/>
      <c r="L145" s="439"/>
      <c r="M145" s="439"/>
      <c r="N145" s="439"/>
      <c r="O145" s="439"/>
      <c r="P145" s="439">
        <f>+$O7*$S145</f>
        <v>27.200000000000003</v>
      </c>
      <c r="Q145" s="439">
        <f>+$O7*$S145</f>
        <v>27.200000000000003</v>
      </c>
      <c r="R145" s="439">
        <f>+$O7*$S145</f>
        <v>27.200000000000003</v>
      </c>
      <c r="S145" s="440">
        <f t="shared" si="131"/>
        <v>0.2</v>
      </c>
    </row>
    <row r="146" spans="1:19" ht="15" outlineLevel="1">
      <c r="A146" s="438" t="s">
        <v>570</v>
      </c>
      <c r="B146" s="439"/>
      <c r="C146" s="439"/>
      <c r="D146" s="439"/>
      <c r="E146" s="439"/>
      <c r="F146" s="439"/>
      <c r="G146" s="439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>
        <f>+$P7*$S146</f>
        <v>2.8000000000000003</v>
      </c>
      <c r="R146" s="439">
        <f>+$P7*$S146</f>
        <v>2.8000000000000003</v>
      </c>
      <c r="S146" s="440">
        <f t="shared" si="131"/>
        <v>0.2</v>
      </c>
    </row>
    <row r="147" spans="1:19" ht="15" outlineLevel="1">
      <c r="A147" s="438" t="s">
        <v>571</v>
      </c>
      <c r="B147" s="439"/>
      <c r="C147" s="439"/>
      <c r="D147" s="439"/>
      <c r="E147" s="439"/>
      <c r="F147" s="439"/>
      <c r="G147" s="439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>
        <f>+$Q7*$S147</f>
        <v>131.20000000000002</v>
      </c>
      <c r="S147" s="440">
        <f t="shared" si="131"/>
        <v>0.2</v>
      </c>
    </row>
    <row r="148" spans="1:19" ht="15" outlineLevel="1">
      <c r="A148" s="438"/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40"/>
    </row>
    <row r="149" spans="1:19" ht="15.75" outlineLevel="1" thickBot="1">
      <c r="A149" s="438"/>
      <c r="B149" s="442"/>
      <c r="C149" s="442"/>
    </row>
    <row r="150" spans="1:19" ht="15" outlineLevel="1">
      <c r="A150" s="438" t="s">
        <v>446</v>
      </c>
      <c r="B150" s="403">
        <v>2001</v>
      </c>
      <c r="C150" s="403">
        <v>2002</v>
      </c>
      <c r="D150" s="403">
        <v>2003</v>
      </c>
      <c r="E150" s="403">
        <v>2004</v>
      </c>
      <c r="F150" s="403">
        <v>2005</v>
      </c>
      <c r="G150" s="403">
        <v>2006</v>
      </c>
      <c r="H150" s="404">
        <v>2007</v>
      </c>
      <c r="I150" s="403">
        <v>2008</v>
      </c>
      <c r="J150" s="404">
        <v>2009</v>
      </c>
      <c r="K150" s="403">
        <v>2010</v>
      </c>
      <c r="L150" s="404">
        <v>2011</v>
      </c>
      <c r="M150" s="403">
        <v>2012</v>
      </c>
      <c r="N150" s="404">
        <v>2013</v>
      </c>
      <c r="O150" s="403">
        <v>2014</v>
      </c>
      <c r="P150" s="404">
        <v>2015</v>
      </c>
      <c r="Q150" s="403">
        <v>2016</v>
      </c>
      <c r="R150" s="404">
        <v>2017</v>
      </c>
    </row>
    <row r="151" spans="1:19" ht="15" outlineLevel="1">
      <c r="A151" s="438" t="s">
        <v>497</v>
      </c>
      <c r="C151" s="439">
        <f>+B7-C132</f>
        <v>228.64091428571427</v>
      </c>
      <c r="D151" s="439">
        <f t="shared" ref="D151:R151" si="132">+C151-D132</f>
        <v>171.4806857142857</v>
      </c>
      <c r="E151" s="439">
        <f t="shared" si="132"/>
        <v>114.32045714285712</v>
      </c>
      <c r="F151" s="439">
        <f t="shared" si="132"/>
        <v>57.160228571428547</v>
      </c>
      <c r="G151" s="439">
        <f t="shared" si="132"/>
        <v>0</v>
      </c>
      <c r="H151" s="439">
        <f t="shared" si="132"/>
        <v>0</v>
      </c>
      <c r="I151" s="439">
        <f t="shared" si="132"/>
        <v>0</v>
      </c>
      <c r="J151" s="439">
        <f t="shared" si="132"/>
        <v>0</v>
      </c>
      <c r="K151" s="439">
        <f t="shared" si="132"/>
        <v>0</v>
      </c>
      <c r="L151" s="439">
        <f t="shared" si="132"/>
        <v>0</v>
      </c>
      <c r="M151" s="439">
        <f t="shared" si="132"/>
        <v>0</v>
      </c>
      <c r="N151" s="439">
        <f t="shared" si="132"/>
        <v>0</v>
      </c>
      <c r="O151" s="439">
        <f t="shared" si="132"/>
        <v>0</v>
      </c>
      <c r="P151" s="439">
        <f t="shared" si="132"/>
        <v>0</v>
      </c>
      <c r="Q151" s="439">
        <f t="shared" si="132"/>
        <v>0</v>
      </c>
      <c r="R151" s="439">
        <f t="shared" si="132"/>
        <v>0</v>
      </c>
    </row>
    <row r="152" spans="1:19" ht="15" outlineLevel="1">
      <c r="A152" s="438" t="s">
        <v>498</v>
      </c>
      <c r="D152" s="442">
        <f>+C7-D133</f>
        <v>54.339200000000005</v>
      </c>
      <c r="E152" s="442">
        <f t="shared" ref="E152:R152" si="133">+D152-E133</f>
        <v>40.754400000000004</v>
      </c>
      <c r="F152" s="442">
        <f t="shared" si="133"/>
        <v>27.169600000000003</v>
      </c>
      <c r="G152" s="442">
        <f t="shared" si="133"/>
        <v>13.584800000000001</v>
      </c>
      <c r="H152" s="442">
        <f t="shared" si="133"/>
        <v>0</v>
      </c>
      <c r="I152" s="442">
        <f t="shared" si="133"/>
        <v>0</v>
      </c>
      <c r="J152" s="439">
        <f t="shared" si="133"/>
        <v>0</v>
      </c>
      <c r="K152" s="439">
        <f t="shared" si="133"/>
        <v>0</v>
      </c>
      <c r="L152" s="439">
        <f t="shared" si="133"/>
        <v>0</v>
      </c>
      <c r="M152" s="439">
        <f t="shared" si="133"/>
        <v>0</v>
      </c>
      <c r="N152" s="439">
        <f t="shared" si="133"/>
        <v>0</v>
      </c>
      <c r="O152" s="439">
        <f t="shared" si="133"/>
        <v>0</v>
      </c>
      <c r="P152" s="439">
        <f t="shared" si="133"/>
        <v>0</v>
      </c>
      <c r="Q152" s="439">
        <f t="shared" si="133"/>
        <v>0</v>
      </c>
      <c r="R152" s="439">
        <f t="shared" si="133"/>
        <v>0</v>
      </c>
    </row>
    <row r="153" spans="1:19" ht="15" outlineLevel="1">
      <c r="A153" s="438" t="s">
        <v>499</v>
      </c>
      <c r="E153" s="442">
        <f>+D7-E134</f>
        <v>0</v>
      </c>
      <c r="F153" s="442">
        <f t="shared" ref="F153:R153" si="134">+E153-F134</f>
        <v>0</v>
      </c>
      <c r="G153" s="442">
        <f t="shared" si="134"/>
        <v>0</v>
      </c>
      <c r="H153" s="442">
        <f t="shared" si="134"/>
        <v>0</v>
      </c>
      <c r="I153" s="442">
        <f t="shared" si="134"/>
        <v>0</v>
      </c>
      <c r="J153" s="439">
        <f t="shared" si="134"/>
        <v>0</v>
      </c>
      <c r="K153" s="439">
        <f t="shared" si="134"/>
        <v>0</v>
      </c>
      <c r="L153" s="439">
        <f t="shared" si="134"/>
        <v>0</v>
      </c>
      <c r="M153" s="439">
        <f t="shared" si="134"/>
        <v>0</v>
      </c>
      <c r="N153" s="439">
        <f t="shared" si="134"/>
        <v>0</v>
      </c>
      <c r="O153" s="439">
        <f t="shared" si="134"/>
        <v>0</v>
      </c>
      <c r="P153" s="439">
        <f t="shared" si="134"/>
        <v>0</v>
      </c>
      <c r="Q153" s="439">
        <f t="shared" si="134"/>
        <v>0</v>
      </c>
      <c r="R153" s="439">
        <f t="shared" si="134"/>
        <v>0</v>
      </c>
    </row>
    <row r="154" spans="1:19" ht="15" outlineLevel="1">
      <c r="A154" s="438" t="s">
        <v>500</v>
      </c>
      <c r="F154" s="442">
        <f>+E7-F135</f>
        <v>52</v>
      </c>
      <c r="G154" s="442">
        <f t="shared" ref="G154:R154" si="135">+F154-G135</f>
        <v>39</v>
      </c>
      <c r="H154" s="442">
        <f t="shared" si="135"/>
        <v>26</v>
      </c>
      <c r="I154" s="442">
        <f t="shared" si="135"/>
        <v>13</v>
      </c>
      <c r="J154" s="439">
        <f t="shared" si="135"/>
        <v>0</v>
      </c>
      <c r="K154" s="439">
        <f t="shared" si="135"/>
        <v>0</v>
      </c>
      <c r="L154" s="439">
        <f t="shared" si="135"/>
        <v>0</v>
      </c>
      <c r="M154" s="439">
        <f t="shared" si="135"/>
        <v>0</v>
      </c>
      <c r="N154" s="439">
        <f t="shared" si="135"/>
        <v>0</v>
      </c>
      <c r="O154" s="439">
        <f t="shared" si="135"/>
        <v>0</v>
      </c>
      <c r="P154" s="439">
        <f t="shared" si="135"/>
        <v>0</v>
      </c>
      <c r="Q154" s="439">
        <f t="shared" si="135"/>
        <v>0</v>
      </c>
      <c r="R154" s="439">
        <f t="shared" si="135"/>
        <v>0</v>
      </c>
    </row>
    <row r="155" spans="1:19" ht="15" outlineLevel="1">
      <c r="A155" s="438" t="s">
        <v>501</v>
      </c>
      <c r="G155" s="439">
        <f>+F7-G136</f>
        <v>0</v>
      </c>
      <c r="H155" s="439">
        <f t="shared" ref="H155:R155" si="136">+G155-H136</f>
        <v>0</v>
      </c>
      <c r="I155" s="439">
        <f t="shared" si="136"/>
        <v>0</v>
      </c>
      <c r="J155" s="439">
        <f t="shared" si="136"/>
        <v>0</v>
      </c>
      <c r="K155" s="439">
        <f t="shared" si="136"/>
        <v>0</v>
      </c>
      <c r="L155" s="439">
        <f t="shared" si="136"/>
        <v>0</v>
      </c>
      <c r="M155" s="439">
        <f t="shared" si="136"/>
        <v>0</v>
      </c>
      <c r="N155" s="439">
        <f t="shared" si="136"/>
        <v>0</v>
      </c>
      <c r="O155" s="439">
        <f t="shared" si="136"/>
        <v>0</v>
      </c>
      <c r="P155" s="439">
        <f t="shared" si="136"/>
        <v>0</v>
      </c>
      <c r="Q155" s="439">
        <f t="shared" si="136"/>
        <v>0</v>
      </c>
      <c r="R155" s="439">
        <f t="shared" si="136"/>
        <v>0</v>
      </c>
    </row>
    <row r="156" spans="1:19" ht="15" outlineLevel="1">
      <c r="A156" s="438" t="s">
        <v>502</v>
      </c>
      <c r="H156" s="442">
        <f>+G7-H137</f>
        <v>106.4</v>
      </c>
      <c r="I156" s="439">
        <f t="shared" ref="I156:R156" si="137">+H156-I137</f>
        <v>79.800000000000011</v>
      </c>
      <c r="J156" s="439">
        <f t="shared" si="137"/>
        <v>53.20000000000001</v>
      </c>
      <c r="K156" s="439">
        <f t="shared" si="137"/>
        <v>26.600000000000009</v>
      </c>
      <c r="L156" s="439">
        <f t="shared" si="137"/>
        <v>0</v>
      </c>
      <c r="M156" s="439">
        <f t="shared" si="137"/>
        <v>0</v>
      </c>
      <c r="N156" s="439">
        <f t="shared" si="137"/>
        <v>0</v>
      </c>
      <c r="O156" s="439">
        <f t="shared" si="137"/>
        <v>0</v>
      </c>
      <c r="P156" s="439">
        <f t="shared" si="137"/>
        <v>0</v>
      </c>
      <c r="Q156" s="439">
        <f t="shared" si="137"/>
        <v>0</v>
      </c>
      <c r="R156" s="439">
        <f t="shared" si="137"/>
        <v>0</v>
      </c>
    </row>
    <row r="157" spans="1:19" ht="15" outlineLevel="1">
      <c r="A157" s="438" t="s">
        <v>503</v>
      </c>
      <c r="H157" s="442"/>
      <c r="I157" s="442">
        <f>+H7-I138</f>
        <v>68</v>
      </c>
      <c r="J157" s="439">
        <f t="shared" ref="J157:R157" si="138">+I157-J138</f>
        <v>51</v>
      </c>
      <c r="K157" s="439">
        <f t="shared" si="138"/>
        <v>34</v>
      </c>
      <c r="L157" s="439">
        <f t="shared" si="138"/>
        <v>17</v>
      </c>
      <c r="M157" s="439">
        <f t="shared" si="138"/>
        <v>0</v>
      </c>
      <c r="N157" s="439">
        <f t="shared" si="138"/>
        <v>0</v>
      </c>
      <c r="O157" s="439">
        <f t="shared" si="138"/>
        <v>0</v>
      </c>
      <c r="P157" s="439">
        <f t="shared" si="138"/>
        <v>0</v>
      </c>
      <c r="Q157" s="439">
        <f t="shared" si="138"/>
        <v>0</v>
      </c>
      <c r="R157" s="439">
        <f t="shared" si="138"/>
        <v>0</v>
      </c>
    </row>
    <row r="158" spans="1:19" ht="15" outlineLevel="1">
      <c r="A158" s="438" t="s">
        <v>504</v>
      </c>
      <c r="H158" s="442"/>
      <c r="I158" s="439"/>
      <c r="J158" s="442">
        <f>+I7-J139</f>
        <v>12.8</v>
      </c>
      <c r="K158" s="439">
        <f t="shared" ref="K158:R158" si="139">+J158-K139</f>
        <v>9.6000000000000014</v>
      </c>
      <c r="L158" s="439">
        <f t="shared" si="139"/>
        <v>6.4000000000000012</v>
      </c>
      <c r="M158" s="439">
        <f t="shared" si="139"/>
        <v>3.2000000000000011</v>
      </c>
      <c r="N158" s="439">
        <f t="shared" si="139"/>
        <v>0</v>
      </c>
      <c r="O158" s="439">
        <f t="shared" si="139"/>
        <v>0</v>
      </c>
      <c r="P158" s="439">
        <f t="shared" si="139"/>
        <v>0</v>
      </c>
      <c r="Q158" s="439">
        <f t="shared" si="139"/>
        <v>0</v>
      </c>
      <c r="R158" s="439">
        <f t="shared" si="139"/>
        <v>0</v>
      </c>
    </row>
    <row r="159" spans="1:19" ht="15" outlineLevel="1">
      <c r="A159" s="438" t="s">
        <v>505</v>
      </c>
      <c r="H159" s="442"/>
      <c r="I159" s="439"/>
      <c r="J159" s="439"/>
      <c r="K159" s="442">
        <f>+J7-K140</f>
        <v>3.2</v>
      </c>
      <c r="L159" s="439">
        <f t="shared" ref="L159:R159" si="140">+K159-L140</f>
        <v>2.4000000000000004</v>
      </c>
      <c r="M159" s="439">
        <f t="shared" si="140"/>
        <v>1.6000000000000003</v>
      </c>
      <c r="N159" s="439">
        <f t="shared" si="140"/>
        <v>0.80000000000000027</v>
      </c>
      <c r="O159" s="439">
        <f t="shared" si="140"/>
        <v>0</v>
      </c>
      <c r="P159" s="439">
        <f t="shared" si="140"/>
        <v>0</v>
      </c>
      <c r="Q159" s="439">
        <f t="shared" si="140"/>
        <v>0</v>
      </c>
      <c r="R159" s="439">
        <f t="shared" si="140"/>
        <v>0</v>
      </c>
    </row>
    <row r="160" spans="1:19" ht="15" outlineLevel="1">
      <c r="A160" s="438" t="s">
        <v>506</v>
      </c>
      <c r="H160" s="442"/>
      <c r="I160" s="439"/>
      <c r="J160" s="439"/>
      <c r="K160" s="439"/>
      <c r="L160" s="442">
        <f>+K7-L141</f>
        <v>48.8</v>
      </c>
      <c r="M160" s="439">
        <f t="shared" ref="M160:R160" si="141">+L160-M141</f>
        <v>36.599999999999994</v>
      </c>
      <c r="N160" s="439">
        <f t="shared" si="141"/>
        <v>24.399999999999991</v>
      </c>
      <c r="O160" s="439">
        <f t="shared" si="141"/>
        <v>12.19999999999999</v>
      </c>
      <c r="P160" s="439">
        <f t="shared" si="141"/>
        <v>0</v>
      </c>
      <c r="Q160" s="439">
        <f t="shared" si="141"/>
        <v>0</v>
      </c>
      <c r="R160" s="439">
        <f t="shared" si="141"/>
        <v>0</v>
      </c>
    </row>
    <row r="161" spans="1:19" ht="15" outlineLevel="1">
      <c r="A161" s="438" t="s">
        <v>507</v>
      </c>
      <c r="M161" s="442">
        <f>+L7-M142</f>
        <v>0</v>
      </c>
      <c r="N161" s="439">
        <f>+M161-N142</f>
        <v>0</v>
      </c>
      <c r="O161" s="439">
        <f>+N161-O142</f>
        <v>0</v>
      </c>
      <c r="P161" s="439">
        <f>+O161-P142</f>
        <v>0</v>
      </c>
      <c r="Q161" s="439">
        <f>+P161-Q142</f>
        <v>0</v>
      </c>
      <c r="R161" s="439">
        <f>+Q161-R142</f>
        <v>0</v>
      </c>
    </row>
    <row r="162" spans="1:19" ht="15" outlineLevel="1">
      <c r="A162" s="438" t="s">
        <v>567</v>
      </c>
      <c r="M162" s="442"/>
      <c r="N162" s="442">
        <f>+M7-N143</f>
        <v>32</v>
      </c>
      <c r="O162" s="439">
        <f>+N162-O143</f>
        <v>24</v>
      </c>
      <c r="P162" s="439">
        <f>+O162-P143</f>
        <v>16</v>
      </c>
      <c r="Q162" s="439">
        <f>+P162-Q143</f>
        <v>8</v>
      </c>
      <c r="R162" s="439">
        <f>+Q162-R143</f>
        <v>0</v>
      </c>
    </row>
    <row r="163" spans="1:19" ht="15" outlineLevel="1">
      <c r="A163" s="438" t="s">
        <v>568</v>
      </c>
      <c r="M163" s="442"/>
      <c r="N163" s="442"/>
      <c r="O163" s="442">
        <f>+N7-O144</f>
        <v>1280</v>
      </c>
      <c r="P163" s="439">
        <f>+O163-P144</f>
        <v>960</v>
      </c>
      <c r="Q163" s="439">
        <f>+P163-Q144</f>
        <v>640</v>
      </c>
      <c r="R163" s="439">
        <f>+Q163-R144</f>
        <v>320</v>
      </c>
    </row>
    <row r="164" spans="1:19" ht="15" outlineLevel="1">
      <c r="A164" s="438" t="s">
        <v>569</v>
      </c>
      <c r="M164" s="442"/>
      <c r="N164" s="442"/>
      <c r="O164" s="442"/>
      <c r="P164" s="442">
        <f>+O7-P145</f>
        <v>108.8</v>
      </c>
      <c r="Q164" s="439">
        <f>+P164-Q145</f>
        <v>81.599999999999994</v>
      </c>
      <c r="R164" s="439">
        <f>+Q164-R145</f>
        <v>54.399999999999991</v>
      </c>
    </row>
    <row r="165" spans="1:19" ht="15" outlineLevel="1">
      <c r="A165" s="438" t="s">
        <v>570</v>
      </c>
      <c r="M165" s="442"/>
      <c r="N165" s="442"/>
      <c r="O165" s="442"/>
      <c r="P165" s="442"/>
      <c r="Q165" s="442">
        <f>+P7-Q146</f>
        <v>11.2</v>
      </c>
      <c r="R165" s="439">
        <f>+Q165-R146</f>
        <v>8.3999999999999986</v>
      </c>
    </row>
    <row r="166" spans="1:19" ht="15" outlineLevel="1">
      <c r="A166" s="438" t="s">
        <v>571</v>
      </c>
      <c r="M166" s="442"/>
      <c r="N166" s="442"/>
      <c r="O166" s="442"/>
      <c r="P166" s="442"/>
      <c r="Q166" s="442"/>
      <c r="R166" s="442">
        <f>+Q7-R147</f>
        <v>524.79999999999995</v>
      </c>
    </row>
    <row r="167" spans="1:19" ht="15" outlineLevel="1">
      <c r="A167" s="438"/>
      <c r="M167" s="442"/>
      <c r="N167" s="442"/>
      <c r="O167" s="442"/>
      <c r="P167" s="442"/>
      <c r="Q167" s="442"/>
      <c r="R167" s="442"/>
    </row>
    <row r="168" spans="1:19" outlineLevel="1"/>
    <row r="169" spans="1:19" ht="15">
      <c r="A169" s="443" t="s">
        <v>508</v>
      </c>
      <c r="B169" s="444">
        <f>+B7</f>
        <v>285.80114285714285</v>
      </c>
      <c r="C169" s="444">
        <f t="shared" ref="C169:R169" si="142">+C7+SUM(C151:C166)</f>
        <v>296.56491428571428</v>
      </c>
      <c r="D169" s="444">
        <f t="shared" si="142"/>
        <v>225.8198857142857</v>
      </c>
      <c r="E169" s="444">
        <f t="shared" si="142"/>
        <v>220.07485714285713</v>
      </c>
      <c r="F169" s="444">
        <f t="shared" si="142"/>
        <v>136.32982857142855</v>
      </c>
      <c r="G169" s="444">
        <f t="shared" si="142"/>
        <v>185.5848</v>
      </c>
      <c r="H169" s="444">
        <f t="shared" si="142"/>
        <v>217.4</v>
      </c>
      <c r="I169" s="444">
        <f t="shared" si="142"/>
        <v>176.8</v>
      </c>
      <c r="J169" s="444">
        <f t="shared" si="142"/>
        <v>121.00000000000001</v>
      </c>
      <c r="K169" s="444">
        <f t="shared" si="142"/>
        <v>134.40000000000003</v>
      </c>
      <c r="L169" s="444">
        <f t="shared" si="142"/>
        <v>74.599999999999994</v>
      </c>
      <c r="M169" s="444">
        <f t="shared" si="142"/>
        <v>81.400000000000006</v>
      </c>
      <c r="N169" s="444">
        <f t="shared" si="142"/>
        <v>1657.2</v>
      </c>
      <c r="O169" s="444">
        <f t="shared" si="142"/>
        <v>1452.2</v>
      </c>
      <c r="P169" s="444">
        <f t="shared" si="142"/>
        <v>1098.8</v>
      </c>
      <c r="Q169" s="444">
        <f t="shared" si="142"/>
        <v>1396.8000000000002</v>
      </c>
      <c r="R169" s="444">
        <f t="shared" si="142"/>
        <v>909.59999999999991</v>
      </c>
    </row>
    <row r="171" spans="1:19" ht="13.5" outlineLevel="1" thickBot="1"/>
    <row r="172" spans="1:19" ht="15" outlineLevel="1">
      <c r="A172" s="438" t="s">
        <v>423</v>
      </c>
      <c r="B172" s="403">
        <v>2001</v>
      </c>
      <c r="C172" s="403">
        <v>2002</v>
      </c>
      <c r="D172" s="403">
        <v>2003</v>
      </c>
      <c r="E172" s="403">
        <v>2004</v>
      </c>
      <c r="F172" s="403">
        <v>2005</v>
      </c>
      <c r="G172" s="403">
        <v>2006</v>
      </c>
      <c r="H172" s="404">
        <v>2007</v>
      </c>
      <c r="I172" s="403">
        <v>2008</v>
      </c>
      <c r="J172" s="404">
        <v>2009</v>
      </c>
      <c r="K172" s="403">
        <v>2010</v>
      </c>
      <c r="L172" s="404">
        <v>2011</v>
      </c>
      <c r="M172" s="403">
        <v>2012</v>
      </c>
      <c r="N172" s="404">
        <v>2013</v>
      </c>
      <c r="O172" s="403">
        <v>2014</v>
      </c>
      <c r="P172" s="404">
        <v>2015</v>
      </c>
      <c r="Q172" s="403">
        <v>2016</v>
      </c>
      <c r="R172" s="404">
        <v>2017</v>
      </c>
    </row>
    <row r="173" spans="1:19" ht="15" outlineLevel="1">
      <c r="A173" s="438" t="s">
        <v>509</v>
      </c>
      <c r="B173" s="439"/>
      <c r="C173" s="439">
        <f t="shared" ref="C173:L173" si="143">+$B8*$S173</f>
        <v>0.34354285714285715</v>
      </c>
      <c r="D173" s="439">
        <f t="shared" si="143"/>
        <v>0.34354285714285715</v>
      </c>
      <c r="E173" s="439">
        <f t="shared" si="143"/>
        <v>0.34354285714285715</v>
      </c>
      <c r="F173" s="439">
        <f t="shared" si="143"/>
        <v>0.34354285714285715</v>
      </c>
      <c r="G173" s="439">
        <f t="shared" si="143"/>
        <v>0.34354285714285715</v>
      </c>
      <c r="H173" s="439">
        <f t="shared" si="143"/>
        <v>0.34354285714285715</v>
      </c>
      <c r="I173" s="439">
        <f t="shared" si="143"/>
        <v>0.34354285714285715</v>
      </c>
      <c r="J173" s="439">
        <f t="shared" si="143"/>
        <v>0.34354285714285715</v>
      </c>
      <c r="K173" s="439">
        <f t="shared" si="143"/>
        <v>0.34354285714285715</v>
      </c>
      <c r="L173" s="439">
        <f t="shared" si="143"/>
        <v>0.34354285714285715</v>
      </c>
      <c r="M173" s="439"/>
      <c r="N173" s="439"/>
      <c r="O173" s="439"/>
      <c r="P173" s="439"/>
      <c r="Q173" s="439"/>
      <c r="R173" s="439"/>
      <c r="S173" s="440">
        <f>+'INPUT K'!C29</f>
        <v>0.1</v>
      </c>
    </row>
    <row r="174" spans="1:19" ht="15" outlineLevel="1">
      <c r="A174" s="438" t="s">
        <v>510</v>
      </c>
      <c r="B174" s="439"/>
      <c r="C174" s="439"/>
      <c r="D174" s="439">
        <f t="shared" ref="D174:M174" si="144">+$C8*$S174</f>
        <v>3.5994000000000002</v>
      </c>
      <c r="E174" s="439">
        <f t="shared" si="144"/>
        <v>3.5994000000000002</v>
      </c>
      <c r="F174" s="439">
        <f t="shared" si="144"/>
        <v>3.5994000000000002</v>
      </c>
      <c r="G174" s="439">
        <f t="shared" si="144"/>
        <v>3.5994000000000002</v>
      </c>
      <c r="H174" s="439">
        <f t="shared" si="144"/>
        <v>3.5994000000000002</v>
      </c>
      <c r="I174" s="439">
        <f t="shared" si="144"/>
        <v>3.5994000000000002</v>
      </c>
      <c r="J174" s="439">
        <f t="shared" si="144"/>
        <v>3.5994000000000002</v>
      </c>
      <c r="K174" s="439">
        <f t="shared" si="144"/>
        <v>3.5994000000000002</v>
      </c>
      <c r="L174" s="439">
        <f t="shared" si="144"/>
        <v>3.5994000000000002</v>
      </c>
      <c r="M174" s="439">
        <f t="shared" si="144"/>
        <v>3.5994000000000002</v>
      </c>
      <c r="N174" s="439"/>
      <c r="O174" s="439"/>
      <c r="P174" s="439"/>
      <c r="Q174" s="439"/>
      <c r="R174" s="439"/>
      <c r="S174" s="440">
        <f t="shared" ref="S174:S188" si="145">+S173</f>
        <v>0.1</v>
      </c>
    </row>
    <row r="175" spans="1:19" ht="15" outlineLevel="1">
      <c r="A175" s="438" t="s">
        <v>511</v>
      </c>
      <c r="B175" s="439"/>
      <c r="C175" s="439"/>
      <c r="D175" s="439"/>
      <c r="E175" s="439">
        <f t="shared" ref="E175:N175" si="146">+$D8*$S175</f>
        <v>1.8</v>
      </c>
      <c r="F175" s="439">
        <f t="shared" si="146"/>
        <v>1.8</v>
      </c>
      <c r="G175" s="439">
        <f t="shared" si="146"/>
        <v>1.8</v>
      </c>
      <c r="H175" s="439">
        <f t="shared" si="146"/>
        <v>1.8</v>
      </c>
      <c r="I175" s="439">
        <f t="shared" si="146"/>
        <v>1.8</v>
      </c>
      <c r="J175" s="439">
        <f t="shared" si="146"/>
        <v>1.8</v>
      </c>
      <c r="K175" s="439">
        <f t="shared" si="146"/>
        <v>1.8</v>
      </c>
      <c r="L175" s="439">
        <f t="shared" si="146"/>
        <v>1.8</v>
      </c>
      <c r="M175" s="439">
        <f t="shared" si="146"/>
        <v>1.8</v>
      </c>
      <c r="N175" s="439">
        <f t="shared" si="146"/>
        <v>1.8</v>
      </c>
      <c r="O175" s="439"/>
      <c r="P175" s="439"/>
      <c r="Q175" s="439"/>
      <c r="R175" s="439"/>
      <c r="S175" s="440">
        <f t="shared" si="145"/>
        <v>0.1</v>
      </c>
    </row>
    <row r="176" spans="1:19" ht="15" outlineLevel="1">
      <c r="A176" s="438" t="s">
        <v>512</v>
      </c>
      <c r="B176" s="439"/>
      <c r="C176" s="439"/>
      <c r="D176" s="439"/>
      <c r="E176" s="439"/>
      <c r="F176" s="439">
        <f t="shared" ref="F176:O176" si="147">+$E8*$S176</f>
        <v>1.4000000000000001</v>
      </c>
      <c r="G176" s="439">
        <f t="shared" si="147"/>
        <v>1.4000000000000001</v>
      </c>
      <c r="H176" s="439">
        <f t="shared" si="147"/>
        <v>1.4000000000000001</v>
      </c>
      <c r="I176" s="439">
        <f t="shared" si="147"/>
        <v>1.4000000000000001</v>
      </c>
      <c r="J176" s="439">
        <f t="shared" si="147"/>
        <v>1.4000000000000001</v>
      </c>
      <c r="K176" s="439">
        <f t="shared" si="147"/>
        <v>1.4000000000000001</v>
      </c>
      <c r="L176" s="439">
        <f t="shared" si="147"/>
        <v>1.4000000000000001</v>
      </c>
      <c r="M176" s="439">
        <f t="shared" si="147"/>
        <v>1.4000000000000001</v>
      </c>
      <c r="N176" s="439">
        <f t="shared" si="147"/>
        <v>1.4000000000000001</v>
      </c>
      <c r="O176" s="439">
        <f t="shared" si="147"/>
        <v>1.4000000000000001</v>
      </c>
      <c r="P176" s="439"/>
      <c r="Q176" s="439"/>
      <c r="R176" s="439"/>
      <c r="S176" s="440">
        <f t="shared" si="145"/>
        <v>0.1</v>
      </c>
    </row>
    <row r="177" spans="1:19" ht="15" outlineLevel="1">
      <c r="A177" s="438" t="s">
        <v>513</v>
      </c>
      <c r="B177" s="439"/>
      <c r="C177" s="439"/>
      <c r="D177" s="439"/>
      <c r="E177" s="439"/>
      <c r="F177" s="439"/>
      <c r="G177" s="439">
        <f t="shared" ref="G177:P177" si="148">+$F8*$S177</f>
        <v>1.8</v>
      </c>
      <c r="H177" s="439">
        <f t="shared" si="148"/>
        <v>1.8</v>
      </c>
      <c r="I177" s="439">
        <f t="shared" si="148"/>
        <v>1.8</v>
      </c>
      <c r="J177" s="439">
        <f t="shared" si="148"/>
        <v>1.8</v>
      </c>
      <c r="K177" s="439">
        <f t="shared" si="148"/>
        <v>1.8</v>
      </c>
      <c r="L177" s="439">
        <f t="shared" si="148"/>
        <v>1.8</v>
      </c>
      <c r="M177" s="439">
        <f t="shared" si="148"/>
        <v>1.8</v>
      </c>
      <c r="N177" s="439">
        <f t="shared" si="148"/>
        <v>1.8</v>
      </c>
      <c r="O177" s="439">
        <f t="shared" si="148"/>
        <v>1.8</v>
      </c>
      <c r="P177" s="439">
        <f t="shared" si="148"/>
        <v>1.8</v>
      </c>
      <c r="Q177" s="439"/>
      <c r="R177" s="439"/>
      <c r="S177" s="440">
        <f t="shared" si="145"/>
        <v>0.1</v>
      </c>
    </row>
    <row r="178" spans="1:19" ht="15" outlineLevel="1">
      <c r="A178" s="438" t="s">
        <v>514</v>
      </c>
      <c r="B178" s="439"/>
      <c r="C178" s="439"/>
      <c r="D178" s="439"/>
      <c r="E178" s="439"/>
      <c r="F178" s="439"/>
      <c r="G178" s="439"/>
      <c r="H178" s="439">
        <f t="shared" ref="H178:Q178" si="149">+$G8*$S178</f>
        <v>103.30000000000001</v>
      </c>
      <c r="I178" s="439">
        <f t="shared" si="149"/>
        <v>103.30000000000001</v>
      </c>
      <c r="J178" s="439">
        <f t="shared" si="149"/>
        <v>103.30000000000001</v>
      </c>
      <c r="K178" s="439">
        <f t="shared" si="149"/>
        <v>103.30000000000001</v>
      </c>
      <c r="L178" s="439">
        <f t="shared" si="149"/>
        <v>103.30000000000001</v>
      </c>
      <c r="M178" s="439">
        <f t="shared" si="149"/>
        <v>103.30000000000001</v>
      </c>
      <c r="N178" s="439">
        <f t="shared" si="149"/>
        <v>103.30000000000001</v>
      </c>
      <c r="O178" s="439">
        <f t="shared" si="149"/>
        <v>103.30000000000001</v>
      </c>
      <c r="P178" s="439">
        <f t="shared" si="149"/>
        <v>103.30000000000001</v>
      </c>
      <c r="Q178" s="439">
        <f t="shared" si="149"/>
        <v>103.30000000000001</v>
      </c>
      <c r="R178" s="439"/>
      <c r="S178" s="440">
        <f t="shared" si="145"/>
        <v>0.1</v>
      </c>
    </row>
    <row r="179" spans="1:19" ht="15" outlineLevel="1">
      <c r="A179" s="438" t="s">
        <v>515</v>
      </c>
      <c r="B179" s="439"/>
      <c r="C179" s="439"/>
      <c r="D179" s="439"/>
      <c r="E179" s="439"/>
      <c r="F179" s="439"/>
      <c r="G179" s="439"/>
      <c r="H179" s="439"/>
      <c r="I179" s="439">
        <f t="shared" ref="I179:R179" si="150">+$H8*$S179</f>
        <v>2.2000000000000002</v>
      </c>
      <c r="J179" s="439">
        <f t="shared" si="150"/>
        <v>2.2000000000000002</v>
      </c>
      <c r="K179" s="439">
        <f t="shared" si="150"/>
        <v>2.2000000000000002</v>
      </c>
      <c r="L179" s="439">
        <f t="shared" si="150"/>
        <v>2.2000000000000002</v>
      </c>
      <c r="M179" s="439">
        <f t="shared" si="150"/>
        <v>2.2000000000000002</v>
      </c>
      <c r="N179" s="439">
        <f t="shared" si="150"/>
        <v>2.2000000000000002</v>
      </c>
      <c r="O179" s="439">
        <f t="shared" si="150"/>
        <v>2.2000000000000002</v>
      </c>
      <c r="P179" s="439">
        <f t="shared" si="150"/>
        <v>2.2000000000000002</v>
      </c>
      <c r="Q179" s="439">
        <f t="shared" si="150"/>
        <v>2.2000000000000002</v>
      </c>
      <c r="R179" s="439">
        <f t="shared" si="150"/>
        <v>2.2000000000000002</v>
      </c>
      <c r="S179" s="440">
        <f t="shared" si="145"/>
        <v>0.1</v>
      </c>
    </row>
    <row r="180" spans="1:19" ht="15" outlineLevel="1">
      <c r="A180" s="438" t="s">
        <v>516</v>
      </c>
      <c r="B180" s="439"/>
      <c r="C180" s="439"/>
      <c r="D180" s="439"/>
      <c r="E180" s="439"/>
      <c r="F180" s="439"/>
      <c r="G180" s="439"/>
      <c r="H180" s="439"/>
      <c r="I180" s="439"/>
      <c r="J180" s="439">
        <f t="shared" ref="J180:R180" si="151">+$I8*$S180</f>
        <v>11.100000000000001</v>
      </c>
      <c r="K180" s="439">
        <f t="shared" si="151"/>
        <v>11.100000000000001</v>
      </c>
      <c r="L180" s="439">
        <f t="shared" si="151"/>
        <v>11.100000000000001</v>
      </c>
      <c r="M180" s="439">
        <f t="shared" si="151"/>
        <v>11.100000000000001</v>
      </c>
      <c r="N180" s="439">
        <f t="shared" si="151"/>
        <v>11.100000000000001</v>
      </c>
      <c r="O180" s="439">
        <f t="shared" si="151"/>
        <v>11.100000000000001</v>
      </c>
      <c r="P180" s="439">
        <f t="shared" si="151"/>
        <v>11.100000000000001</v>
      </c>
      <c r="Q180" s="439">
        <f t="shared" si="151"/>
        <v>11.100000000000001</v>
      </c>
      <c r="R180" s="439">
        <f t="shared" si="151"/>
        <v>11.100000000000001</v>
      </c>
      <c r="S180" s="440">
        <f t="shared" si="145"/>
        <v>0.1</v>
      </c>
    </row>
    <row r="181" spans="1:19" ht="15" outlineLevel="1">
      <c r="A181" s="438" t="s">
        <v>517</v>
      </c>
      <c r="B181" s="439"/>
      <c r="C181" s="439"/>
      <c r="D181" s="439"/>
      <c r="E181" s="439"/>
      <c r="F181" s="439"/>
      <c r="G181" s="439"/>
      <c r="H181" s="439"/>
      <c r="I181" s="439"/>
      <c r="J181" s="439"/>
      <c r="K181" s="439">
        <f t="shared" ref="K181:R181" si="152">+$J8*$S181</f>
        <v>13.4</v>
      </c>
      <c r="L181" s="439">
        <f t="shared" si="152"/>
        <v>13.4</v>
      </c>
      <c r="M181" s="439">
        <f t="shared" si="152"/>
        <v>13.4</v>
      </c>
      <c r="N181" s="439">
        <f t="shared" si="152"/>
        <v>13.4</v>
      </c>
      <c r="O181" s="439">
        <f t="shared" si="152"/>
        <v>13.4</v>
      </c>
      <c r="P181" s="439">
        <f t="shared" si="152"/>
        <v>13.4</v>
      </c>
      <c r="Q181" s="439">
        <f t="shared" si="152"/>
        <v>13.4</v>
      </c>
      <c r="R181" s="439">
        <f t="shared" si="152"/>
        <v>13.4</v>
      </c>
      <c r="S181" s="440">
        <f t="shared" si="145"/>
        <v>0.1</v>
      </c>
    </row>
    <row r="182" spans="1:19" ht="15" outlineLevel="1">
      <c r="A182" s="438" t="s">
        <v>518</v>
      </c>
      <c r="B182" s="439"/>
      <c r="C182" s="439"/>
      <c r="D182" s="439"/>
      <c r="E182" s="439"/>
      <c r="F182" s="439"/>
      <c r="G182" s="439"/>
      <c r="H182" s="439"/>
      <c r="I182" s="439"/>
      <c r="J182" s="439"/>
      <c r="K182" s="439"/>
      <c r="L182" s="439">
        <f t="shared" ref="L182:R182" si="153">+$K8*$S182</f>
        <v>3.1</v>
      </c>
      <c r="M182" s="439">
        <f t="shared" si="153"/>
        <v>3.1</v>
      </c>
      <c r="N182" s="439">
        <f t="shared" si="153"/>
        <v>3.1</v>
      </c>
      <c r="O182" s="439">
        <f t="shared" si="153"/>
        <v>3.1</v>
      </c>
      <c r="P182" s="439">
        <f t="shared" si="153"/>
        <v>3.1</v>
      </c>
      <c r="Q182" s="439">
        <f t="shared" si="153"/>
        <v>3.1</v>
      </c>
      <c r="R182" s="439">
        <f t="shared" si="153"/>
        <v>3.1</v>
      </c>
      <c r="S182" s="440">
        <f t="shared" si="145"/>
        <v>0.1</v>
      </c>
    </row>
    <row r="183" spans="1:19" ht="15" outlineLevel="1">
      <c r="A183" s="438" t="s">
        <v>519</v>
      </c>
      <c r="B183" s="439"/>
      <c r="C183" s="439"/>
      <c r="D183" s="439"/>
      <c r="E183" s="439"/>
      <c r="F183" s="439"/>
      <c r="G183" s="439"/>
      <c r="H183" s="439"/>
      <c r="I183" s="439"/>
      <c r="J183" s="439"/>
      <c r="K183" s="439"/>
      <c r="L183" s="439"/>
      <c r="M183" s="439">
        <f t="shared" ref="M183:R183" si="154">+$L8*$S183</f>
        <v>8.7000000000000011</v>
      </c>
      <c r="N183" s="439">
        <f t="shared" si="154"/>
        <v>8.7000000000000011</v>
      </c>
      <c r="O183" s="439">
        <f t="shared" si="154"/>
        <v>8.7000000000000011</v>
      </c>
      <c r="P183" s="439">
        <f t="shared" si="154"/>
        <v>8.7000000000000011</v>
      </c>
      <c r="Q183" s="439">
        <f t="shared" si="154"/>
        <v>8.7000000000000011</v>
      </c>
      <c r="R183" s="439">
        <f t="shared" si="154"/>
        <v>8.7000000000000011</v>
      </c>
      <c r="S183" s="440">
        <f t="shared" si="145"/>
        <v>0.1</v>
      </c>
    </row>
    <row r="184" spans="1:19" ht="15" outlineLevel="1">
      <c r="A184" s="438" t="s">
        <v>572</v>
      </c>
      <c r="B184" s="439"/>
      <c r="C184" s="439"/>
      <c r="D184" s="439"/>
      <c r="E184" s="439"/>
      <c r="F184" s="439"/>
      <c r="G184" s="439"/>
      <c r="H184" s="439"/>
      <c r="I184" s="439"/>
      <c r="J184" s="439"/>
      <c r="K184" s="439"/>
      <c r="L184" s="439"/>
      <c r="M184" s="439"/>
      <c r="N184" s="439">
        <f>+$M8*$S184</f>
        <v>16.600000000000001</v>
      </c>
      <c r="O184" s="439">
        <f>+$M8*$S184</f>
        <v>16.600000000000001</v>
      </c>
      <c r="P184" s="439">
        <f>+$M8*$S184</f>
        <v>16.600000000000001</v>
      </c>
      <c r="Q184" s="439">
        <f>+$M8*$S184</f>
        <v>16.600000000000001</v>
      </c>
      <c r="R184" s="439">
        <f>+$M8*$S184</f>
        <v>16.600000000000001</v>
      </c>
      <c r="S184" s="440">
        <f t="shared" si="145"/>
        <v>0.1</v>
      </c>
    </row>
    <row r="185" spans="1:19" ht="15" outlineLevel="1">
      <c r="A185" s="438" t="s">
        <v>573</v>
      </c>
      <c r="B185" s="439"/>
      <c r="C185" s="439"/>
      <c r="D185" s="439"/>
      <c r="E185" s="439"/>
      <c r="F185" s="439"/>
      <c r="G185" s="439"/>
      <c r="H185" s="439"/>
      <c r="I185" s="439"/>
      <c r="J185" s="439"/>
      <c r="K185" s="439"/>
      <c r="L185" s="439"/>
      <c r="M185" s="439"/>
      <c r="N185" s="439"/>
      <c r="O185" s="439">
        <f>+$N8*$S185</f>
        <v>6.8000000000000007</v>
      </c>
      <c r="P185" s="439">
        <f>+$N8*$S185</f>
        <v>6.8000000000000007</v>
      </c>
      <c r="Q185" s="439">
        <f>+$N8*$S185</f>
        <v>6.8000000000000007</v>
      </c>
      <c r="R185" s="439">
        <f>+$N8*$S185</f>
        <v>6.8000000000000007</v>
      </c>
      <c r="S185" s="440">
        <f t="shared" si="145"/>
        <v>0.1</v>
      </c>
    </row>
    <row r="186" spans="1:19" ht="15" outlineLevel="1">
      <c r="A186" s="438" t="s">
        <v>574</v>
      </c>
      <c r="B186" s="439"/>
      <c r="C186" s="439"/>
      <c r="D186" s="439"/>
      <c r="E186" s="439"/>
      <c r="F186" s="439"/>
      <c r="G186" s="439"/>
      <c r="H186" s="439"/>
      <c r="I186" s="439"/>
      <c r="J186" s="439"/>
      <c r="K186" s="439"/>
      <c r="L186" s="439"/>
      <c r="M186" s="439"/>
      <c r="N186" s="439"/>
      <c r="O186" s="439"/>
      <c r="P186" s="439">
        <f>+$O8*$S186</f>
        <v>70.100000000000009</v>
      </c>
      <c r="Q186" s="439">
        <f>+$O8*$S186</f>
        <v>70.100000000000009</v>
      </c>
      <c r="R186" s="439">
        <f>+$O8*$S186</f>
        <v>70.100000000000009</v>
      </c>
      <c r="S186" s="440">
        <f t="shared" si="145"/>
        <v>0.1</v>
      </c>
    </row>
    <row r="187" spans="1:19" ht="15" outlineLevel="1">
      <c r="A187" s="438" t="s">
        <v>575</v>
      </c>
      <c r="B187" s="439"/>
      <c r="C187" s="439"/>
      <c r="D187" s="439"/>
      <c r="E187" s="439"/>
      <c r="F187" s="439"/>
      <c r="G187" s="439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>
        <f>+$P8*$S187</f>
        <v>7.7</v>
      </c>
      <c r="R187" s="439">
        <f>+$P8*$S187</f>
        <v>7.7</v>
      </c>
      <c r="S187" s="440">
        <f t="shared" si="145"/>
        <v>0.1</v>
      </c>
    </row>
    <row r="188" spans="1:19" ht="15" outlineLevel="1">
      <c r="A188" s="438" t="s">
        <v>576</v>
      </c>
      <c r="B188" s="439"/>
      <c r="C188" s="439"/>
      <c r="D188" s="439"/>
      <c r="E188" s="439"/>
      <c r="F188" s="439"/>
      <c r="G188" s="439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>
        <f>+$Q8*$S188</f>
        <v>12.200000000000001</v>
      </c>
      <c r="S188" s="440">
        <f t="shared" si="145"/>
        <v>0.1</v>
      </c>
    </row>
    <row r="189" spans="1:19" ht="15" outlineLevel="1">
      <c r="A189" s="438"/>
      <c r="B189" s="439"/>
      <c r="C189" s="439"/>
      <c r="D189" s="439"/>
      <c r="E189" s="439"/>
      <c r="F189" s="439"/>
      <c r="G189" s="43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40"/>
    </row>
    <row r="190" spans="1:19" ht="15.75" outlineLevel="1" thickBot="1">
      <c r="A190" s="438"/>
      <c r="B190" s="442"/>
      <c r="C190" s="442"/>
    </row>
    <row r="191" spans="1:19" ht="15" outlineLevel="1">
      <c r="A191" s="438" t="s">
        <v>446</v>
      </c>
      <c r="B191" s="403">
        <v>2001</v>
      </c>
      <c r="C191" s="403">
        <v>2002</v>
      </c>
      <c r="D191" s="403">
        <v>2003</v>
      </c>
      <c r="E191" s="403">
        <v>2004</v>
      </c>
      <c r="F191" s="403">
        <v>2005</v>
      </c>
      <c r="G191" s="403">
        <v>2006</v>
      </c>
      <c r="H191" s="404">
        <v>2007</v>
      </c>
      <c r="I191" s="403">
        <v>2008</v>
      </c>
      <c r="J191" s="404">
        <v>2009</v>
      </c>
      <c r="K191" s="403">
        <v>2010</v>
      </c>
      <c r="L191" s="404">
        <v>2011</v>
      </c>
      <c r="M191" s="403">
        <v>2012</v>
      </c>
      <c r="N191" s="404">
        <v>2013</v>
      </c>
      <c r="O191" s="403">
        <v>2014</v>
      </c>
      <c r="P191" s="404">
        <v>2015</v>
      </c>
      <c r="Q191" s="403">
        <v>2016</v>
      </c>
      <c r="R191" s="404">
        <v>2017</v>
      </c>
    </row>
    <row r="192" spans="1:19" ht="15" outlineLevel="1">
      <c r="A192" s="438" t="s">
        <v>509</v>
      </c>
      <c r="C192" s="439">
        <f>+B8-C173</f>
        <v>3.0918857142857137</v>
      </c>
      <c r="D192" s="439">
        <f t="shared" ref="D192:R192" si="155">+C192-D173</f>
        <v>2.7483428571428563</v>
      </c>
      <c r="E192" s="439">
        <f t="shared" si="155"/>
        <v>2.4047999999999989</v>
      </c>
      <c r="F192" s="439">
        <f t="shared" si="155"/>
        <v>2.0612571428571416</v>
      </c>
      <c r="G192" s="439">
        <f t="shared" si="155"/>
        <v>1.7177142857142844</v>
      </c>
      <c r="H192" s="439">
        <f t="shared" si="155"/>
        <v>1.3741714285714273</v>
      </c>
      <c r="I192" s="439">
        <f t="shared" si="155"/>
        <v>1.0306285714285701</v>
      </c>
      <c r="J192" s="439">
        <f t="shared" si="155"/>
        <v>0.68708571428571297</v>
      </c>
      <c r="K192" s="439">
        <f t="shared" si="155"/>
        <v>0.34354285714285582</v>
      </c>
      <c r="L192" s="439">
        <f t="shared" si="155"/>
        <v>-1.3322676295501878E-15</v>
      </c>
      <c r="M192" s="439">
        <f t="shared" si="155"/>
        <v>-1.3322676295501878E-15</v>
      </c>
      <c r="N192" s="439">
        <f t="shared" si="155"/>
        <v>-1.3322676295501878E-15</v>
      </c>
      <c r="O192" s="439">
        <f t="shared" si="155"/>
        <v>-1.3322676295501878E-15</v>
      </c>
      <c r="P192" s="439">
        <f t="shared" si="155"/>
        <v>-1.3322676295501878E-15</v>
      </c>
      <c r="Q192" s="439">
        <f t="shared" si="155"/>
        <v>-1.3322676295501878E-15</v>
      </c>
      <c r="R192" s="439">
        <f t="shared" si="155"/>
        <v>-1.3322676295501878E-15</v>
      </c>
    </row>
    <row r="193" spans="1:18" ht="15" outlineLevel="1">
      <c r="A193" s="438" t="s">
        <v>510</v>
      </c>
      <c r="D193" s="442">
        <f>+C8-D174</f>
        <v>32.394599999999997</v>
      </c>
      <c r="E193" s="442">
        <f t="shared" ref="E193:R193" si="156">+D193-E174</f>
        <v>28.795199999999998</v>
      </c>
      <c r="F193" s="442">
        <f t="shared" si="156"/>
        <v>25.195799999999998</v>
      </c>
      <c r="G193" s="442">
        <f t="shared" si="156"/>
        <v>21.596399999999999</v>
      </c>
      <c r="H193" s="442">
        <f t="shared" si="156"/>
        <v>17.997</v>
      </c>
      <c r="I193" s="442">
        <f t="shared" si="156"/>
        <v>14.397600000000001</v>
      </c>
      <c r="J193" s="442">
        <f t="shared" si="156"/>
        <v>10.798200000000001</v>
      </c>
      <c r="K193" s="442">
        <f t="shared" si="156"/>
        <v>7.1988000000000012</v>
      </c>
      <c r="L193" s="439">
        <f t="shared" si="156"/>
        <v>3.599400000000001</v>
      </c>
      <c r="M193" s="442">
        <f t="shared" si="156"/>
        <v>0</v>
      </c>
      <c r="N193" s="442">
        <f t="shared" si="156"/>
        <v>0</v>
      </c>
      <c r="O193" s="442">
        <f t="shared" si="156"/>
        <v>0</v>
      </c>
      <c r="P193" s="442">
        <f t="shared" si="156"/>
        <v>0</v>
      </c>
      <c r="Q193" s="442">
        <f t="shared" si="156"/>
        <v>0</v>
      </c>
      <c r="R193" s="442">
        <f t="shared" si="156"/>
        <v>0</v>
      </c>
    </row>
    <row r="194" spans="1:18" ht="15" outlineLevel="1">
      <c r="A194" s="438" t="s">
        <v>511</v>
      </c>
      <c r="E194" s="442">
        <f>+D8-E175</f>
        <v>16.2</v>
      </c>
      <c r="F194" s="442">
        <f t="shared" ref="F194:R194" si="157">+E194-F175</f>
        <v>14.399999999999999</v>
      </c>
      <c r="G194" s="442">
        <f t="shared" si="157"/>
        <v>12.599999999999998</v>
      </c>
      <c r="H194" s="442">
        <f t="shared" si="157"/>
        <v>10.799999999999997</v>
      </c>
      <c r="I194" s="442">
        <f t="shared" si="157"/>
        <v>8.9999999999999964</v>
      </c>
      <c r="J194" s="442">
        <f t="shared" si="157"/>
        <v>7.1999999999999966</v>
      </c>
      <c r="K194" s="442">
        <f t="shared" si="157"/>
        <v>5.3999999999999968</v>
      </c>
      <c r="L194" s="439">
        <f t="shared" si="157"/>
        <v>3.599999999999997</v>
      </c>
      <c r="M194" s="442">
        <f t="shared" si="157"/>
        <v>1.7999999999999969</v>
      </c>
      <c r="N194" s="442">
        <f t="shared" si="157"/>
        <v>-3.1086244689504383E-15</v>
      </c>
      <c r="O194" s="442">
        <f t="shared" si="157"/>
        <v>-3.1086244689504383E-15</v>
      </c>
      <c r="P194" s="442">
        <f t="shared" si="157"/>
        <v>-3.1086244689504383E-15</v>
      </c>
      <c r="Q194" s="442">
        <f t="shared" si="157"/>
        <v>-3.1086244689504383E-15</v>
      </c>
      <c r="R194" s="442">
        <f t="shared" si="157"/>
        <v>-3.1086244689504383E-15</v>
      </c>
    </row>
    <row r="195" spans="1:18" ht="15" outlineLevel="1">
      <c r="A195" s="438" t="s">
        <v>512</v>
      </c>
      <c r="F195" s="442">
        <f>+E8-F176</f>
        <v>12.6</v>
      </c>
      <c r="G195" s="442">
        <f t="shared" ref="G195:R195" si="158">+F195-G176</f>
        <v>11.2</v>
      </c>
      <c r="H195" s="442">
        <f t="shared" si="158"/>
        <v>9.7999999999999989</v>
      </c>
      <c r="I195" s="442">
        <f t="shared" si="158"/>
        <v>8.3999999999999986</v>
      </c>
      <c r="J195" s="442">
        <f t="shared" si="158"/>
        <v>6.9999999999999982</v>
      </c>
      <c r="K195" s="442">
        <f t="shared" si="158"/>
        <v>5.5999999999999979</v>
      </c>
      <c r="L195" s="439">
        <f t="shared" si="158"/>
        <v>4.1999999999999975</v>
      </c>
      <c r="M195" s="442">
        <f t="shared" si="158"/>
        <v>2.7999999999999972</v>
      </c>
      <c r="N195" s="442">
        <f t="shared" si="158"/>
        <v>1.399999999999997</v>
      </c>
      <c r="O195" s="442">
        <f t="shared" si="158"/>
        <v>-3.1086244689504383E-15</v>
      </c>
      <c r="P195" s="442">
        <f t="shared" si="158"/>
        <v>-3.1086244689504383E-15</v>
      </c>
      <c r="Q195" s="442">
        <f t="shared" si="158"/>
        <v>-3.1086244689504383E-15</v>
      </c>
      <c r="R195" s="442">
        <f t="shared" si="158"/>
        <v>-3.1086244689504383E-15</v>
      </c>
    </row>
    <row r="196" spans="1:18" ht="15" outlineLevel="1">
      <c r="A196" s="438" t="s">
        <v>513</v>
      </c>
      <c r="G196" s="439">
        <f>+F8-G177</f>
        <v>16.2</v>
      </c>
      <c r="H196" s="439">
        <f t="shared" ref="H196:R196" si="159">+G196-H177</f>
        <v>14.399999999999999</v>
      </c>
      <c r="I196" s="439">
        <f t="shared" si="159"/>
        <v>12.599999999999998</v>
      </c>
      <c r="J196" s="439">
        <f t="shared" si="159"/>
        <v>10.799999999999997</v>
      </c>
      <c r="K196" s="439">
        <f t="shared" si="159"/>
        <v>8.9999999999999964</v>
      </c>
      <c r="L196" s="439">
        <f t="shared" si="159"/>
        <v>7.1999999999999966</v>
      </c>
      <c r="M196" s="439">
        <f t="shared" si="159"/>
        <v>5.3999999999999968</v>
      </c>
      <c r="N196" s="439">
        <f t="shared" si="159"/>
        <v>3.599999999999997</v>
      </c>
      <c r="O196" s="439">
        <f t="shared" si="159"/>
        <v>1.7999999999999969</v>
      </c>
      <c r="P196" s="439">
        <f t="shared" si="159"/>
        <v>-3.1086244689504383E-15</v>
      </c>
      <c r="Q196" s="439">
        <f t="shared" si="159"/>
        <v>-3.1086244689504383E-15</v>
      </c>
      <c r="R196" s="439">
        <f t="shared" si="159"/>
        <v>-3.1086244689504383E-15</v>
      </c>
    </row>
    <row r="197" spans="1:18" ht="15" outlineLevel="1">
      <c r="A197" s="438" t="s">
        <v>514</v>
      </c>
      <c r="H197" s="442">
        <f>+G8-H178</f>
        <v>929.7</v>
      </c>
      <c r="I197" s="439">
        <f t="shared" ref="I197:R197" si="160">+H197-I178</f>
        <v>826.40000000000009</v>
      </c>
      <c r="J197" s="439">
        <f t="shared" si="160"/>
        <v>723.10000000000014</v>
      </c>
      <c r="K197" s="439">
        <f t="shared" si="160"/>
        <v>619.80000000000018</v>
      </c>
      <c r="L197" s="439">
        <f t="shared" si="160"/>
        <v>516.50000000000023</v>
      </c>
      <c r="M197" s="439">
        <f t="shared" si="160"/>
        <v>413.20000000000022</v>
      </c>
      <c r="N197" s="439">
        <f t="shared" si="160"/>
        <v>309.9000000000002</v>
      </c>
      <c r="O197" s="439">
        <f t="shared" si="160"/>
        <v>206.60000000000019</v>
      </c>
      <c r="P197" s="439">
        <f t="shared" si="160"/>
        <v>103.30000000000018</v>
      </c>
      <c r="Q197" s="439">
        <f t="shared" si="160"/>
        <v>1.7053025658242404E-13</v>
      </c>
      <c r="R197" s="439">
        <f t="shared" si="160"/>
        <v>1.7053025658242404E-13</v>
      </c>
    </row>
    <row r="198" spans="1:18" ht="15" outlineLevel="1">
      <c r="A198" s="438" t="s">
        <v>515</v>
      </c>
      <c r="H198" s="442"/>
      <c r="I198" s="442">
        <f>+H8-I179</f>
        <v>19.8</v>
      </c>
      <c r="J198" s="439">
        <f t="shared" ref="J198:R198" si="161">+I198-J179</f>
        <v>17.600000000000001</v>
      </c>
      <c r="K198" s="439">
        <f t="shared" si="161"/>
        <v>15.400000000000002</v>
      </c>
      <c r="L198" s="439">
        <f t="shared" si="161"/>
        <v>13.200000000000003</v>
      </c>
      <c r="M198" s="439">
        <f t="shared" si="161"/>
        <v>11.000000000000004</v>
      </c>
      <c r="N198" s="439">
        <f t="shared" si="161"/>
        <v>8.8000000000000043</v>
      </c>
      <c r="O198" s="439">
        <f t="shared" si="161"/>
        <v>6.6000000000000041</v>
      </c>
      <c r="P198" s="439">
        <f t="shared" si="161"/>
        <v>4.4000000000000039</v>
      </c>
      <c r="Q198" s="439">
        <f t="shared" si="161"/>
        <v>2.2000000000000037</v>
      </c>
      <c r="R198" s="439">
        <f t="shared" si="161"/>
        <v>3.5527136788005009E-15</v>
      </c>
    </row>
    <row r="199" spans="1:18" ht="15" outlineLevel="1">
      <c r="A199" s="438" t="s">
        <v>516</v>
      </c>
      <c r="H199" s="442"/>
      <c r="I199" s="439"/>
      <c r="J199" s="442">
        <f>+I8-J180</f>
        <v>99.9</v>
      </c>
      <c r="K199" s="439">
        <f t="shared" ref="K199:R199" si="162">+J199-K180</f>
        <v>88.800000000000011</v>
      </c>
      <c r="L199" s="439">
        <f t="shared" si="162"/>
        <v>77.700000000000017</v>
      </c>
      <c r="M199" s="439">
        <f t="shared" si="162"/>
        <v>66.600000000000023</v>
      </c>
      <c r="N199" s="439">
        <f t="shared" si="162"/>
        <v>55.500000000000021</v>
      </c>
      <c r="O199" s="439">
        <f t="shared" si="162"/>
        <v>44.40000000000002</v>
      </c>
      <c r="P199" s="439">
        <f t="shared" si="162"/>
        <v>33.300000000000018</v>
      </c>
      <c r="Q199" s="439">
        <f t="shared" si="162"/>
        <v>22.200000000000017</v>
      </c>
      <c r="R199" s="439">
        <f t="shared" si="162"/>
        <v>11.100000000000016</v>
      </c>
    </row>
    <row r="200" spans="1:18" ht="15" outlineLevel="1">
      <c r="A200" s="438" t="s">
        <v>517</v>
      </c>
      <c r="H200" s="442"/>
      <c r="I200" s="439"/>
      <c r="J200" s="439"/>
      <c r="K200" s="442">
        <f>+J8-K181</f>
        <v>120.6</v>
      </c>
      <c r="L200" s="439">
        <f t="shared" ref="L200:R200" si="163">+K200-L181</f>
        <v>107.19999999999999</v>
      </c>
      <c r="M200" s="439">
        <f t="shared" si="163"/>
        <v>93.799999999999983</v>
      </c>
      <c r="N200" s="439">
        <f t="shared" si="163"/>
        <v>80.399999999999977</v>
      </c>
      <c r="O200" s="439">
        <f t="shared" si="163"/>
        <v>66.999999999999972</v>
      </c>
      <c r="P200" s="439">
        <f t="shared" si="163"/>
        <v>53.599999999999973</v>
      </c>
      <c r="Q200" s="439">
        <f t="shared" si="163"/>
        <v>40.199999999999974</v>
      </c>
      <c r="R200" s="439">
        <f t="shared" si="163"/>
        <v>26.799999999999976</v>
      </c>
    </row>
    <row r="201" spans="1:18" ht="15" outlineLevel="1">
      <c r="A201" s="438" t="s">
        <v>518</v>
      </c>
      <c r="H201" s="442"/>
      <c r="I201" s="439"/>
      <c r="J201" s="439"/>
      <c r="K201" s="439"/>
      <c r="L201" s="442">
        <f>+K8-L182</f>
        <v>27.9</v>
      </c>
      <c r="M201" s="439">
        <f t="shared" ref="M201:R201" si="164">+L201-M182</f>
        <v>24.799999999999997</v>
      </c>
      <c r="N201" s="439">
        <f t="shared" si="164"/>
        <v>21.699999999999996</v>
      </c>
      <c r="O201" s="439">
        <f t="shared" si="164"/>
        <v>18.599999999999994</v>
      </c>
      <c r="P201" s="439">
        <f t="shared" si="164"/>
        <v>15.499999999999995</v>
      </c>
      <c r="Q201" s="439">
        <f t="shared" si="164"/>
        <v>12.399999999999995</v>
      </c>
      <c r="R201" s="439">
        <f t="shared" si="164"/>
        <v>9.2999999999999954</v>
      </c>
    </row>
    <row r="202" spans="1:18" ht="15" outlineLevel="1">
      <c r="A202" s="438" t="s">
        <v>519</v>
      </c>
      <c r="H202" s="442"/>
      <c r="I202" s="439"/>
      <c r="J202" s="439"/>
      <c r="K202" s="439"/>
      <c r="L202" s="442"/>
      <c r="M202" s="442">
        <f>+L8-M183</f>
        <v>78.3</v>
      </c>
      <c r="N202" s="439">
        <f>+M202-N183</f>
        <v>69.599999999999994</v>
      </c>
      <c r="O202" s="439">
        <f>+N202-O183</f>
        <v>60.899999999999991</v>
      </c>
      <c r="P202" s="439">
        <f>+O202-P183</f>
        <v>52.199999999999989</v>
      </c>
      <c r="Q202" s="439">
        <f>+P202-Q183</f>
        <v>43.499999999999986</v>
      </c>
      <c r="R202" s="439">
        <f>+Q202-R183</f>
        <v>34.799999999999983</v>
      </c>
    </row>
    <row r="203" spans="1:18" ht="15" outlineLevel="1">
      <c r="A203" s="438" t="s">
        <v>572</v>
      </c>
      <c r="H203" s="442"/>
      <c r="I203" s="439"/>
      <c r="J203" s="439"/>
      <c r="K203" s="439"/>
      <c r="L203" s="442"/>
      <c r="M203" s="442"/>
      <c r="N203" s="442">
        <f>+M8-N184</f>
        <v>149.4</v>
      </c>
      <c r="O203" s="439">
        <f>+N203-O184</f>
        <v>132.80000000000001</v>
      </c>
      <c r="P203" s="439">
        <f>+O203-P184</f>
        <v>116.20000000000002</v>
      </c>
      <c r="Q203" s="439">
        <f>+P203-Q184</f>
        <v>99.600000000000023</v>
      </c>
      <c r="R203" s="439">
        <f>+Q203-R184</f>
        <v>83.000000000000028</v>
      </c>
    </row>
    <row r="204" spans="1:18" ht="15" outlineLevel="1">
      <c r="A204" s="438" t="s">
        <v>573</v>
      </c>
      <c r="H204" s="442"/>
      <c r="I204" s="439"/>
      <c r="J204" s="439"/>
      <c r="K204" s="439"/>
      <c r="L204" s="442"/>
      <c r="M204" s="442"/>
      <c r="N204" s="442"/>
      <c r="O204" s="442">
        <f>+N8-O185</f>
        <v>61.2</v>
      </c>
      <c r="P204" s="439">
        <f>+O204-P185</f>
        <v>54.400000000000006</v>
      </c>
      <c r="Q204" s="439">
        <f>+P204-Q185</f>
        <v>47.600000000000009</v>
      </c>
      <c r="R204" s="439">
        <f>+Q204-R185</f>
        <v>40.800000000000011</v>
      </c>
    </row>
    <row r="205" spans="1:18" ht="15" outlineLevel="1">
      <c r="A205" s="438" t="s">
        <v>574</v>
      </c>
      <c r="H205" s="442"/>
      <c r="I205" s="439"/>
      <c r="J205" s="439"/>
      <c r="K205" s="439"/>
      <c r="L205" s="442"/>
      <c r="M205" s="442"/>
      <c r="N205" s="442"/>
      <c r="O205" s="442"/>
      <c r="P205" s="442">
        <f>+O8-P186</f>
        <v>630.9</v>
      </c>
      <c r="Q205" s="439">
        <f>+P205-Q186</f>
        <v>560.79999999999995</v>
      </c>
      <c r="R205" s="439">
        <f>+Q205-R186</f>
        <v>490.69999999999993</v>
      </c>
    </row>
    <row r="206" spans="1:18" ht="15" outlineLevel="1">
      <c r="A206" s="438" t="s">
        <v>575</v>
      </c>
      <c r="H206" s="442"/>
      <c r="I206" s="439"/>
      <c r="J206" s="439"/>
      <c r="K206" s="439"/>
      <c r="L206" s="442"/>
      <c r="M206" s="442"/>
      <c r="N206" s="442"/>
      <c r="O206" s="442"/>
      <c r="P206" s="442"/>
      <c r="Q206" s="442">
        <f>+P8-Q187</f>
        <v>69.3</v>
      </c>
      <c r="R206" s="439">
        <f>+Q206-R187</f>
        <v>61.599999999999994</v>
      </c>
    </row>
    <row r="207" spans="1:18" ht="15" outlineLevel="1">
      <c r="A207" s="438" t="s">
        <v>576</v>
      </c>
      <c r="H207" s="442"/>
      <c r="I207" s="439"/>
      <c r="J207" s="439"/>
      <c r="K207" s="439"/>
      <c r="L207" s="442"/>
      <c r="M207" s="442"/>
      <c r="N207" s="442"/>
      <c r="O207" s="442"/>
      <c r="P207" s="442"/>
      <c r="Q207" s="442"/>
      <c r="R207" s="442">
        <f>+Q8-R188</f>
        <v>109.8</v>
      </c>
    </row>
    <row r="208" spans="1:18" ht="15" outlineLevel="1">
      <c r="A208" s="438"/>
      <c r="H208" s="442"/>
      <c r="I208" s="439"/>
      <c r="J208" s="439"/>
      <c r="K208" s="439"/>
      <c r="L208" s="442"/>
      <c r="M208" s="442"/>
      <c r="N208" s="442"/>
      <c r="O208" s="442"/>
      <c r="P208" s="442"/>
      <c r="Q208" s="442"/>
      <c r="R208" s="442"/>
    </row>
    <row r="209" spans="1:18" outlineLevel="1"/>
    <row r="210" spans="1:18" ht="15">
      <c r="A210" s="443" t="s">
        <v>520</v>
      </c>
      <c r="B210" s="444">
        <f>+B8</f>
        <v>3.4354285714285711</v>
      </c>
      <c r="C210" s="444">
        <f t="shared" ref="C210:R210" si="165">+C8+SUM(C192:C207)</f>
        <v>39.085885714285716</v>
      </c>
      <c r="D210" s="444">
        <f t="shared" si="165"/>
        <v>53.142942857142856</v>
      </c>
      <c r="E210" s="444">
        <f t="shared" si="165"/>
        <v>61.399999999999991</v>
      </c>
      <c r="F210" s="444">
        <f t="shared" si="165"/>
        <v>72.25705714285715</v>
      </c>
      <c r="G210" s="444">
        <f t="shared" si="165"/>
        <v>1096.3141142857144</v>
      </c>
      <c r="H210" s="444">
        <f t="shared" si="165"/>
        <v>1006.0711714285715</v>
      </c>
      <c r="I210" s="444">
        <f t="shared" si="165"/>
        <v>1002.6282285714286</v>
      </c>
      <c r="J210" s="444">
        <f t="shared" si="165"/>
        <v>1011.0852857142859</v>
      </c>
      <c r="K210" s="444">
        <f t="shared" si="165"/>
        <v>903.14234285714303</v>
      </c>
      <c r="L210" s="444">
        <f t="shared" si="165"/>
        <v>848.09940000000017</v>
      </c>
      <c r="M210" s="444">
        <f t="shared" si="165"/>
        <v>863.70000000000016</v>
      </c>
      <c r="N210" s="444">
        <f t="shared" si="165"/>
        <v>768.30000000000018</v>
      </c>
      <c r="O210" s="444">
        <f t="shared" si="165"/>
        <v>1300.9000000000003</v>
      </c>
      <c r="P210" s="444">
        <f t="shared" si="165"/>
        <v>1140.8000000000002</v>
      </c>
      <c r="Q210" s="444">
        <f t="shared" si="165"/>
        <v>1019.8000000000001</v>
      </c>
      <c r="R210" s="444">
        <f t="shared" si="165"/>
        <v>1008.9000000000001</v>
      </c>
    </row>
    <row r="223" spans="1:18">
      <c r="C223" s="440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DT124"/>
  <sheetViews>
    <sheetView showGridLines="0" zoomScale="85" zoomScaleNormal="85" workbookViewId="0">
      <pane xSplit="4" topLeftCell="E1" activePane="topRight" state="frozen"/>
      <selection pane="topRight" activeCell="L39" sqref="L39"/>
    </sheetView>
  </sheetViews>
  <sheetFormatPr baseColWidth="10" defaultColWidth="11.42578125" defaultRowHeight="15"/>
  <cols>
    <col min="1" max="1" width="5.85546875" style="398" customWidth="1"/>
    <col min="2" max="2" width="27.140625" style="398" customWidth="1"/>
    <col min="3" max="3" width="5" style="398" customWidth="1"/>
    <col min="4" max="4" width="13.5703125" style="398" customWidth="1"/>
    <col min="5" max="10" width="13.5703125" style="450" customWidth="1"/>
    <col min="11" max="11" width="13.5703125" style="450" customWidth="1" collapsed="1"/>
    <col min="12" max="22" width="13.5703125" style="450" customWidth="1"/>
    <col min="23" max="23" width="13.85546875" style="398" customWidth="1"/>
    <col min="24" max="24" width="11.42578125" style="398" customWidth="1"/>
    <col min="25" max="25" width="12" style="398" bestFit="1" customWidth="1"/>
    <col min="26" max="26" width="31.7109375" style="398" customWidth="1"/>
    <col min="27" max="27" width="13.85546875" style="398" customWidth="1"/>
    <col min="28" max="46" width="13.42578125" style="398" customWidth="1"/>
    <col min="47" max="47" width="27.28515625" style="398" customWidth="1"/>
    <col min="48" max="65" width="13.140625" style="398" customWidth="1"/>
    <col min="66" max="70" width="27.28515625" style="398" customWidth="1"/>
    <col min="71" max="71" width="15.85546875" style="398" bestFit="1" customWidth="1"/>
    <col min="72" max="72" width="12.42578125" style="398" bestFit="1" customWidth="1"/>
    <col min="73" max="84" width="11.42578125" style="398" customWidth="1"/>
    <col min="85" max="91" width="11.28515625" style="398" customWidth="1"/>
    <col min="92" max="115" width="34.28515625" style="398" customWidth="1"/>
    <col min="116" max="16384" width="11.42578125" style="398"/>
  </cols>
  <sheetData>
    <row r="1" spans="1:124">
      <c r="B1" s="446"/>
      <c r="C1" s="447"/>
      <c r="D1" s="448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Z1" s="451" t="s">
        <v>354</v>
      </c>
      <c r="AA1" s="451"/>
      <c r="AB1" s="451"/>
      <c r="AC1" s="451"/>
      <c r="AD1" s="452"/>
      <c r="AE1" s="452"/>
      <c r="AF1" s="452"/>
      <c r="AG1" s="452"/>
      <c r="AH1" s="452"/>
      <c r="AU1" s="451" t="s">
        <v>239</v>
      </c>
      <c r="AV1" s="451"/>
      <c r="AW1" s="451"/>
      <c r="AX1" s="451"/>
      <c r="DM1" s="452"/>
      <c r="DN1" s="452"/>
      <c r="DO1" s="452"/>
      <c r="DP1" s="452"/>
      <c r="DQ1" s="452"/>
      <c r="DR1" s="452"/>
      <c r="DS1" s="452"/>
      <c r="DT1" s="452"/>
    </row>
    <row r="2" spans="1:124">
      <c r="B2" s="446" t="str">
        <f>IF(H2=1,"Inicio de Periodo",IF(H2=2,"Fin de Periodo",""))</f>
        <v/>
      </c>
      <c r="C2" s="447"/>
      <c r="D2" s="453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Z2" s="454"/>
      <c r="AA2" s="454"/>
      <c r="AB2" s="451"/>
      <c r="AC2" s="454"/>
      <c r="AD2" s="452"/>
      <c r="AE2" s="452"/>
      <c r="AF2" s="452"/>
      <c r="AG2" s="452"/>
      <c r="AH2" s="452"/>
      <c r="AU2" s="454"/>
      <c r="AV2" s="454"/>
      <c r="AW2" s="451"/>
      <c r="AX2" s="454"/>
      <c r="DM2" s="452"/>
      <c r="DN2" s="452"/>
      <c r="DO2" s="452"/>
      <c r="DP2" s="452"/>
      <c r="DQ2" s="452"/>
      <c r="DR2" s="452"/>
      <c r="DS2" s="452"/>
      <c r="DT2" s="452"/>
    </row>
    <row r="3" spans="1:124" ht="15.75" thickBot="1"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Z3" s="452"/>
      <c r="AA3" s="452"/>
      <c r="AB3" s="452"/>
      <c r="DM3" s="452"/>
      <c r="DN3" s="452"/>
      <c r="DO3" s="452"/>
      <c r="DP3" s="452"/>
      <c r="DQ3" s="452"/>
      <c r="DR3" s="452"/>
      <c r="DS3" s="452"/>
      <c r="DT3" s="452"/>
    </row>
    <row r="4" spans="1:124" ht="21.75" customHeight="1" thickBot="1">
      <c r="B4" s="823" t="s">
        <v>25</v>
      </c>
      <c r="C4" s="824"/>
      <c r="D4" s="456">
        <v>2000</v>
      </c>
      <c r="E4" s="457">
        <v>2001</v>
      </c>
      <c r="F4" s="458">
        <v>2002</v>
      </c>
      <c r="G4" s="458">
        <v>2003</v>
      </c>
      <c r="H4" s="458">
        <v>2004</v>
      </c>
      <c r="I4" s="459">
        <v>2005</v>
      </c>
      <c r="J4" s="458">
        <v>2005</v>
      </c>
      <c r="K4" s="458">
        <v>2006</v>
      </c>
      <c r="L4" s="456">
        <v>2007</v>
      </c>
      <c r="M4" s="458">
        <v>2008</v>
      </c>
      <c r="N4" s="456">
        <v>2009</v>
      </c>
      <c r="O4" s="458">
        <v>2010</v>
      </c>
      <c r="P4" s="456">
        <v>2011</v>
      </c>
      <c r="Q4" s="458">
        <v>2012</v>
      </c>
      <c r="R4" s="456">
        <v>2013</v>
      </c>
      <c r="S4" s="458">
        <v>2014</v>
      </c>
      <c r="T4" s="456">
        <v>2015</v>
      </c>
      <c r="U4" s="458">
        <v>2016</v>
      </c>
      <c r="V4" s="456">
        <v>2017</v>
      </c>
      <c r="Z4" s="460"/>
      <c r="AA4" s="461">
        <v>2001</v>
      </c>
      <c r="AB4" s="461">
        <v>2002</v>
      </c>
      <c r="AC4" s="461">
        <v>2003</v>
      </c>
      <c r="AD4" s="461">
        <v>2004</v>
      </c>
      <c r="AE4" s="462">
        <v>2005</v>
      </c>
      <c r="AF4" s="461">
        <v>2005</v>
      </c>
      <c r="AG4" s="461">
        <v>2006</v>
      </c>
      <c r="AH4" s="461">
        <v>2007</v>
      </c>
      <c r="AI4" s="461">
        <v>2008</v>
      </c>
      <c r="AJ4" s="461">
        <v>2009</v>
      </c>
      <c r="AK4" s="461">
        <v>2010</v>
      </c>
      <c r="AL4" s="461">
        <v>2011</v>
      </c>
      <c r="AM4" s="461">
        <v>2012</v>
      </c>
      <c r="AN4" s="461">
        <v>2013</v>
      </c>
      <c r="AO4" s="461">
        <v>2014</v>
      </c>
      <c r="AP4" s="461">
        <v>2015</v>
      </c>
      <c r="AQ4" s="461">
        <v>2016</v>
      </c>
      <c r="AR4" s="461">
        <v>2017</v>
      </c>
      <c r="AU4" s="460"/>
      <c r="AV4" s="461">
        <v>2001</v>
      </c>
      <c r="AW4" s="461">
        <v>2002</v>
      </c>
      <c r="AX4" s="461">
        <v>2003</v>
      </c>
      <c r="AY4" s="461">
        <v>2004</v>
      </c>
      <c r="AZ4" s="462">
        <v>2005</v>
      </c>
      <c r="BA4" s="461">
        <v>2005</v>
      </c>
      <c r="BB4" s="461">
        <v>2006</v>
      </c>
      <c r="BC4" s="461">
        <v>2007</v>
      </c>
      <c r="BD4" s="461">
        <v>2008</v>
      </c>
      <c r="BE4" s="461">
        <v>2009</v>
      </c>
      <c r="BF4" s="461">
        <v>2010</v>
      </c>
      <c r="BG4" s="461">
        <v>2011</v>
      </c>
      <c r="BH4" s="461">
        <v>2012</v>
      </c>
      <c r="BI4" s="461">
        <v>2013</v>
      </c>
      <c r="BJ4" s="461">
        <v>2014</v>
      </c>
      <c r="BK4" s="461">
        <v>2015</v>
      </c>
      <c r="BL4" s="461">
        <v>2016</v>
      </c>
      <c r="BM4" s="461">
        <v>2017</v>
      </c>
      <c r="BO4" s="452"/>
      <c r="BP4" s="452"/>
      <c r="BQ4" s="452"/>
      <c r="BR4" s="452"/>
      <c r="BS4" s="452"/>
      <c r="BT4" s="452"/>
      <c r="BU4" s="452"/>
      <c r="BV4" s="452"/>
    </row>
    <row r="5" spans="1:124" ht="16.5" customHeight="1">
      <c r="A5" s="463"/>
      <c r="B5" s="464" t="str">
        <f>+'INPUT K'!B37</f>
        <v>Mejoras Aeropuerto</v>
      </c>
      <c r="C5" s="465"/>
      <c r="D5" s="466">
        <f>+BK!C76</f>
        <v>37640031.14275296</v>
      </c>
      <c r="E5" s="466">
        <f>(AV5)+'INPUT K'!C50</f>
        <v>39134430.329127349</v>
      </c>
      <c r="F5" s="466">
        <f>(AW5)+'INPUT K'!D50</f>
        <v>39004940.624697447</v>
      </c>
      <c r="G5" s="466">
        <f>(AX5)+'INPUT K'!E50</f>
        <v>37802968.161646858</v>
      </c>
      <c r="H5" s="466">
        <f>(AY5)+'INPUT K'!F50</f>
        <v>37751995.698596261</v>
      </c>
      <c r="I5" s="466">
        <f>(AZ5)+'INPUT K'!G50-('INPUT K'!AV6-'INPUT K'!AV7)</f>
        <v>178628497.30943811</v>
      </c>
      <c r="J5" s="466">
        <f>(BA5)+'INPUT K'!G50</f>
        <v>184424057.71830428</v>
      </c>
      <c r="K5" s="466">
        <f>(BB5)+'INPUT K'!H50</f>
        <v>196250085.2552537</v>
      </c>
      <c r="L5" s="466">
        <f>(BC5)+'INPUT K'!I50</f>
        <v>194082767.96461692</v>
      </c>
      <c r="M5" s="466">
        <f>(BD5)+'INPUT K'!J50</f>
        <v>186906726.53604907</v>
      </c>
      <c r="N5" s="466">
        <f>(BE5)+'INPUT K'!K50</f>
        <v>233688650.62472266</v>
      </c>
      <c r="O5" s="466">
        <f>(BF5)+'INPUT K'!L50</f>
        <v>229132643.67891344</v>
      </c>
      <c r="P5" s="466">
        <f>(BG5)+'INPUT K'!M50</f>
        <v>222720533.28482836</v>
      </c>
      <c r="Q5" s="466">
        <f>(BH5)+'INPUT K'!N50</f>
        <v>242500698.75281221</v>
      </c>
      <c r="R5" s="466">
        <f>(BI5)+'INPUT K'!O50</f>
        <v>239617346.97941679</v>
      </c>
      <c r="S5" s="466">
        <f>(BJ5)+'INPUT K'!P50</f>
        <v>242259098.6542972</v>
      </c>
      <c r="T5" s="466">
        <f>(BK5)+'INPUT K'!Q50</f>
        <v>238911298.60503972</v>
      </c>
      <c r="U5" s="466">
        <f>(BL5)+'INPUT K'!R50</f>
        <v>232716464.07302365</v>
      </c>
      <c r="V5" s="466">
        <f>(BM5)+'INPUT K'!S50</f>
        <v>224175319.1961799</v>
      </c>
      <c r="W5" s="467"/>
      <c r="Z5" s="468" t="str">
        <f t="shared" ref="Z5:Z12" si="0">+B5</f>
        <v>Mejoras Aeropuerto</v>
      </c>
      <c r="AA5" s="622">
        <f>+'INPUT K'!W50</f>
        <v>3.4482758620689655E-2</v>
      </c>
      <c r="AB5" s="469">
        <f>+AA5</f>
        <v>3.4482758620689655E-2</v>
      </c>
      <c r="AC5" s="469">
        <f t="shared" ref="AC5:AM12" si="1">+AB5</f>
        <v>3.4482758620689655E-2</v>
      </c>
      <c r="AD5" s="469">
        <f t="shared" si="1"/>
        <v>3.4482758620689655E-2</v>
      </c>
      <c r="AE5" s="469">
        <f t="shared" si="1"/>
        <v>3.4482758620689655E-2</v>
      </c>
      <c r="AF5" s="469">
        <f t="shared" si="1"/>
        <v>3.4482758620689655E-2</v>
      </c>
      <c r="AG5" s="469">
        <f t="shared" si="1"/>
        <v>3.4482758620689655E-2</v>
      </c>
      <c r="AH5" s="470">
        <f t="shared" si="1"/>
        <v>3.4482758620689655E-2</v>
      </c>
      <c r="AI5" s="469">
        <f t="shared" si="1"/>
        <v>3.4482758620689655E-2</v>
      </c>
      <c r="AJ5" s="469">
        <f t="shared" si="1"/>
        <v>3.4482758620689655E-2</v>
      </c>
      <c r="AK5" s="469">
        <f t="shared" si="1"/>
        <v>3.4482758620689655E-2</v>
      </c>
      <c r="AL5" s="469">
        <f t="shared" si="1"/>
        <v>3.4482758620689655E-2</v>
      </c>
      <c r="AM5" s="469">
        <f>+AL5</f>
        <v>3.4482758620689655E-2</v>
      </c>
      <c r="AN5" s="469">
        <f t="shared" ref="AN5:AR12" si="2">+AM5</f>
        <v>3.4482758620689655E-2</v>
      </c>
      <c r="AO5" s="469">
        <f t="shared" si="2"/>
        <v>3.4482758620689655E-2</v>
      </c>
      <c r="AP5" s="469">
        <f t="shared" si="2"/>
        <v>3.4482758620689655E-2</v>
      </c>
      <c r="AQ5" s="469">
        <f t="shared" si="2"/>
        <v>3.4482758620689655E-2</v>
      </c>
      <c r="AR5" s="469">
        <f t="shared" si="2"/>
        <v>3.4482758620689655E-2</v>
      </c>
      <c r="AU5" s="468" t="str">
        <f t="shared" ref="AU5:AU12" si="3">+Z5</f>
        <v>Mejoras Aeropuerto</v>
      </c>
      <c r="AV5" s="471">
        <f>+BN5-AV15</f>
        <v>36450260.043413065</v>
      </c>
      <c r="AW5" s="471">
        <f>+AV5-AW15</f>
        <v>35152327.935042277</v>
      </c>
      <c r="AX5" s="471">
        <f>+AW5-AX15</f>
        <v>33854395.826671489</v>
      </c>
      <c r="AY5" s="471">
        <f>+AX5-AY15</f>
        <v>32556463.718300696</v>
      </c>
      <c r="AZ5" s="471">
        <f>+AY5-AZ15</f>
        <v>31258531.609929904</v>
      </c>
      <c r="BA5" s="471">
        <f>+AZ5</f>
        <v>31258531.609929904</v>
      </c>
      <c r="BB5" s="471">
        <f>+AZ5-BB15</f>
        <v>29960599.501559112</v>
      </c>
      <c r="BC5" s="471">
        <f t="shared" ref="BC5:BM5" si="4">+BB5-BC15</f>
        <v>28662667.39318832</v>
      </c>
      <c r="BD5" s="471">
        <f t="shared" si="4"/>
        <v>27364735.284817528</v>
      </c>
      <c r="BE5" s="471">
        <f t="shared" si="4"/>
        <v>26066803.176446736</v>
      </c>
      <c r="BF5" s="471">
        <f t="shared" si="4"/>
        <v>24768871.068075944</v>
      </c>
      <c r="BG5" s="471">
        <f t="shared" si="4"/>
        <v>23470938.959705152</v>
      </c>
      <c r="BH5" s="471">
        <f t="shared" si="4"/>
        <v>22173006.851334359</v>
      </c>
      <c r="BI5" s="471">
        <f t="shared" si="4"/>
        <v>20875074.742963567</v>
      </c>
      <c r="BJ5" s="471">
        <f t="shared" si="4"/>
        <v>19577142.634592775</v>
      </c>
      <c r="BK5" s="471">
        <f t="shared" si="4"/>
        <v>18279210.526221983</v>
      </c>
      <c r="BL5" s="471">
        <f t="shared" si="4"/>
        <v>16981278.417851191</v>
      </c>
      <c r="BM5" s="471">
        <f t="shared" si="4"/>
        <v>15683346.309480399</v>
      </c>
      <c r="BN5" s="472">
        <f>+BK!C76</f>
        <v>37640031.14275296</v>
      </c>
      <c r="BO5" s="452"/>
      <c r="BP5" s="452"/>
      <c r="BQ5" s="452"/>
      <c r="BR5" s="452"/>
      <c r="BS5" s="452"/>
      <c r="BT5" s="452"/>
      <c r="BU5" s="452"/>
      <c r="BV5" s="452"/>
    </row>
    <row r="6" spans="1:124" ht="16.5" customHeight="1">
      <c r="A6" s="463"/>
      <c r="B6" s="464" t="str">
        <f>+'INPUT K'!B38</f>
        <v>Costos Concesion</v>
      </c>
      <c r="C6" s="465"/>
      <c r="D6" s="466">
        <f>+BK!C77</f>
        <v>0</v>
      </c>
      <c r="E6" s="466">
        <f>$D6*(AV6)+'INPUT K'!C51</f>
        <v>3798388</v>
      </c>
      <c r="F6" s="466">
        <f>$D6*(AW6)+'INPUT K'!D51</f>
        <v>3996775.0666666664</v>
      </c>
      <c r="G6" s="466">
        <f>$D6*(AX6)+'INPUT K'!E51</f>
        <v>3810328.8</v>
      </c>
      <c r="H6" s="466">
        <f>$D6*(AY6)+'INPUT K'!F51</f>
        <v>3721882.5333333332</v>
      </c>
      <c r="I6" s="466">
        <f>$D6*(AZ6)+'INPUT K'!G51</f>
        <v>3584436.2666666666</v>
      </c>
      <c r="J6" s="466">
        <f>$D6*(BA6)+'INPUT K'!G51</f>
        <v>3584436.2666666666</v>
      </c>
      <c r="K6" s="466">
        <f>$D6*(BB6)+'INPUT K'!H51</f>
        <v>3447990</v>
      </c>
      <c r="L6" s="466">
        <f>$D6*(BC6)+'INPUT K'!I51</f>
        <v>3310510.4</v>
      </c>
      <c r="M6" s="466">
        <f>$D6*(BD6)+'INPUT K'!J51</f>
        <v>3173030.8</v>
      </c>
      <c r="N6" s="466">
        <f>$D6*(BE6)+'INPUT K'!K51</f>
        <v>3035551.2</v>
      </c>
      <c r="O6" s="466">
        <f>$D6*(BF6)+'INPUT K'!L51</f>
        <v>2898071.6</v>
      </c>
      <c r="P6" s="466">
        <f>$D6*(BG6)+'INPUT K'!M51</f>
        <v>2760592</v>
      </c>
      <c r="Q6" s="466">
        <f>$D6*(BH6)+'INPUT K'!N51</f>
        <v>2623112.4</v>
      </c>
      <c r="R6" s="466">
        <f>$D6*(BI6)+'INPUT K'!O51</f>
        <v>2485632.8000000003</v>
      </c>
      <c r="S6" s="466">
        <f>$D6*(BJ6)+'INPUT K'!P51</f>
        <v>2348153.1999999997</v>
      </c>
      <c r="T6" s="466">
        <f>$D6*(BK6)+'INPUT K'!Q51</f>
        <v>2210673.5999999996</v>
      </c>
      <c r="U6" s="466">
        <f>$D6*(BL6)+'INPUT K'!R51</f>
        <v>2073194</v>
      </c>
      <c r="V6" s="466">
        <f>$D6*(BM6)+'INPUT K'!S51</f>
        <v>1935714.4000000001</v>
      </c>
      <c r="W6" s="467"/>
      <c r="Z6" s="468" t="str">
        <f t="shared" si="0"/>
        <v>Costos Concesion</v>
      </c>
      <c r="AA6" s="469">
        <f>+'INPUT K'!W51</f>
        <v>3.3333333333333333E-2</v>
      </c>
      <c r="AB6" s="469">
        <f t="shared" ref="AB6:AH12" si="5">+AA6</f>
        <v>3.3333333333333333E-2</v>
      </c>
      <c r="AC6" s="469">
        <f t="shared" si="5"/>
        <v>3.3333333333333333E-2</v>
      </c>
      <c r="AD6" s="469">
        <f t="shared" si="5"/>
        <v>3.3333333333333333E-2</v>
      </c>
      <c r="AE6" s="469">
        <f t="shared" si="5"/>
        <v>3.3333333333333333E-2</v>
      </c>
      <c r="AF6" s="469">
        <f t="shared" si="5"/>
        <v>3.3333333333333333E-2</v>
      </c>
      <c r="AG6" s="469">
        <f t="shared" si="5"/>
        <v>3.3333333333333333E-2</v>
      </c>
      <c r="AH6" s="469">
        <f t="shared" si="5"/>
        <v>3.3333333333333333E-2</v>
      </c>
      <c r="AI6" s="469">
        <f t="shared" si="1"/>
        <v>3.3333333333333333E-2</v>
      </c>
      <c r="AJ6" s="469">
        <f t="shared" si="1"/>
        <v>3.3333333333333333E-2</v>
      </c>
      <c r="AK6" s="469">
        <f t="shared" si="1"/>
        <v>3.3333333333333333E-2</v>
      </c>
      <c r="AL6" s="469">
        <f t="shared" si="1"/>
        <v>3.3333333333333333E-2</v>
      </c>
      <c r="AM6" s="469">
        <f t="shared" si="1"/>
        <v>3.3333333333333333E-2</v>
      </c>
      <c r="AN6" s="469">
        <f t="shared" si="2"/>
        <v>3.3333333333333333E-2</v>
      </c>
      <c r="AO6" s="469">
        <f t="shared" si="2"/>
        <v>3.3333333333333333E-2</v>
      </c>
      <c r="AP6" s="469">
        <f t="shared" si="2"/>
        <v>3.3333333333333333E-2</v>
      </c>
      <c r="AQ6" s="469">
        <f t="shared" si="2"/>
        <v>3.3333333333333333E-2</v>
      </c>
      <c r="AR6" s="469">
        <f t="shared" si="2"/>
        <v>3.3333333333333333E-2</v>
      </c>
      <c r="AU6" s="468" t="str">
        <f t="shared" si="3"/>
        <v>Costos Concesion</v>
      </c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O6" s="452"/>
      <c r="BP6" s="452"/>
      <c r="BQ6" s="452"/>
      <c r="BR6" s="452"/>
      <c r="BS6" s="452"/>
      <c r="BT6" s="452"/>
      <c r="BU6" s="452"/>
      <c r="BV6" s="452"/>
    </row>
    <row r="7" spans="1:124" ht="16.5" customHeight="1">
      <c r="A7" s="463"/>
      <c r="B7" s="464" t="str">
        <f>+'INPUT K'!B39</f>
        <v>Otros</v>
      </c>
      <c r="C7" s="465"/>
      <c r="D7" s="466">
        <f>+BK!C78</f>
        <v>0</v>
      </c>
      <c r="E7" s="466">
        <f>$D7*(AV7)+'INPUT K'!C52</f>
        <v>626779.42857142864</v>
      </c>
      <c r="F7" s="466">
        <f>$D7*(AW7)+'INPUT K'!D52</f>
        <v>585101.48571428575</v>
      </c>
      <c r="G7" s="466">
        <f>$D7*(AX7)+'INPUT K'!E52</f>
        <v>722323.54285714286</v>
      </c>
      <c r="H7" s="466">
        <f>$D7*(AY7)+'INPUT K'!F52</f>
        <v>656345.60000000009</v>
      </c>
      <c r="I7" s="466">
        <f>$D7*(AZ7)+'INPUT K'!G52</f>
        <v>980467.65714285732</v>
      </c>
      <c r="J7" s="466">
        <f>$D7*(BA7)+'INPUT K'!G52</f>
        <v>980467.65714285732</v>
      </c>
      <c r="K7" s="466">
        <f>$D7*(BB7)+'INPUT K'!H52</f>
        <v>1430489.7142857143</v>
      </c>
      <c r="L7" s="466">
        <f>$D7*(BC7)+'INPUT K'!I52</f>
        <v>1244711.7714285715</v>
      </c>
      <c r="M7" s="466">
        <f>$D7*(BD7)+'INPUT K'!J52</f>
        <v>1341933.8285714285</v>
      </c>
      <c r="N7" s="466">
        <f>$D7*(BE7)+'INPUT K'!K52</f>
        <v>1438855.8857142858</v>
      </c>
      <c r="O7" s="466">
        <f>$D7*(BF7)+'INPUT K'!L52</f>
        <v>1403677.9428571428</v>
      </c>
      <c r="P7" s="466">
        <f>$D7*(BG7)+'INPUT K'!M52</f>
        <v>1284500</v>
      </c>
      <c r="Q7" s="466">
        <f>$D7*(BH7)+'INPUT K'!N52</f>
        <v>1717300</v>
      </c>
      <c r="R7" s="466">
        <f>$D7*(BI7)+'INPUT K'!O52</f>
        <v>1699100</v>
      </c>
      <c r="S7" s="466">
        <f>$D7*(BJ7)+'INPUT K'!P52</f>
        <v>1818800</v>
      </c>
      <c r="T7" s="466">
        <f>$D7*(BK7)+'INPUT K'!Q52</f>
        <v>1831700</v>
      </c>
      <c r="U7" s="466">
        <f>$D7*(BL7)+'INPUT K'!R52</f>
        <v>1767799.9999999998</v>
      </c>
      <c r="V7" s="466">
        <f>$D7*(BM7)+'INPUT K'!S52</f>
        <v>2031200</v>
      </c>
      <c r="W7" s="467"/>
      <c r="Z7" s="468" t="str">
        <f t="shared" si="0"/>
        <v>Otros</v>
      </c>
      <c r="AA7" s="469">
        <f>+'INPUT K'!W52</f>
        <v>0.1</v>
      </c>
      <c r="AB7" s="469">
        <f t="shared" si="5"/>
        <v>0.1</v>
      </c>
      <c r="AC7" s="469">
        <f t="shared" si="5"/>
        <v>0.1</v>
      </c>
      <c r="AD7" s="469">
        <f t="shared" si="5"/>
        <v>0.1</v>
      </c>
      <c r="AE7" s="469">
        <f t="shared" si="5"/>
        <v>0.1</v>
      </c>
      <c r="AF7" s="469">
        <f t="shared" si="5"/>
        <v>0.1</v>
      </c>
      <c r="AG7" s="469">
        <f t="shared" si="5"/>
        <v>0.1</v>
      </c>
      <c r="AH7" s="469">
        <f t="shared" si="5"/>
        <v>0.1</v>
      </c>
      <c r="AI7" s="469">
        <f t="shared" si="1"/>
        <v>0.1</v>
      </c>
      <c r="AJ7" s="469">
        <f t="shared" si="1"/>
        <v>0.1</v>
      </c>
      <c r="AK7" s="469">
        <f t="shared" si="1"/>
        <v>0.1</v>
      </c>
      <c r="AL7" s="469">
        <f t="shared" si="1"/>
        <v>0.1</v>
      </c>
      <c r="AM7" s="469">
        <f t="shared" si="1"/>
        <v>0.1</v>
      </c>
      <c r="AN7" s="469">
        <f t="shared" si="2"/>
        <v>0.1</v>
      </c>
      <c r="AO7" s="469">
        <f t="shared" si="2"/>
        <v>0.1</v>
      </c>
      <c r="AP7" s="469">
        <f t="shared" si="2"/>
        <v>0.1</v>
      </c>
      <c r="AQ7" s="469">
        <f t="shared" si="2"/>
        <v>0.1</v>
      </c>
      <c r="AR7" s="469">
        <f t="shared" si="2"/>
        <v>0.1</v>
      </c>
      <c r="AU7" s="468" t="str">
        <f t="shared" si="3"/>
        <v>Otros</v>
      </c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17"/>
      <c r="BO7" s="452"/>
      <c r="BP7" s="452"/>
      <c r="BQ7" s="452"/>
      <c r="BR7" s="452"/>
      <c r="BS7" s="452"/>
      <c r="BT7" s="452"/>
      <c r="BU7" s="452"/>
      <c r="BV7" s="452"/>
    </row>
    <row r="8" spans="1:124" ht="16.5" customHeight="1">
      <c r="A8" s="463"/>
      <c r="B8" s="464" t="str">
        <f>+'INPUT K'!B40</f>
        <v>Equipos de Seguridad y Rescate</v>
      </c>
      <c r="C8" s="465"/>
      <c r="D8" s="466">
        <f>+BK!C79</f>
        <v>0</v>
      </c>
      <c r="E8" s="466">
        <f>$D8*(AV8)+'INPUT K'!C53</f>
        <v>0</v>
      </c>
      <c r="F8" s="466">
        <f>$D8*(AW8)+'INPUT K'!D53</f>
        <v>3284000</v>
      </c>
      <c r="G8" s="466">
        <f>$D8*(AX8)+'INPUT K'!E53</f>
        <v>3014600</v>
      </c>
      <c r="H8" s="466">
        <f>$D8*(AY8)+'INPUT K'!F53</f>
        <v>2767299.9999999995</v>
      </c>
      <c r="I8" s="466">
        <f>$D8*(AZ8)+'INPUT K'!G53</f>
        <v>2424299.9999999995</v>
      </c>
      <c r="J8" s="466">
        <f>$D8*(BA8)+'INPUT K'!G53</f>
        <v>2424299.9999999995</v>
      </c>
      <c r="K8" s="466">
        <f>$D8*(BB8)+'INPUT K'!H53</f>
        <v>2309299.9999999995</v>
      </c>
      <c r="L8" s="466">
        <f>$D8*(BC8)+'INPUT K'!I53</f>
        <v>1947499.9999999998</v>
      </c>
      <c r="M8" s="466">
        <f>$D8*(BD8)+'INPUT K'!J53</f>
        <v>1185299.9999999993</v>
      </c>
      <c r="N8" s="466">
        <f>$D8*(BE8)+'INPUT K'!K53</f>
        <v>978699.9999999993</v>
      </c>
      <c r="O8" s="466">
        <f>$D8*(BF8)+'INPUT K'!L53</f>
        <v>769099.99999999919</v>
      </c>
      <c r="P8" s="466">
        <f>$D8*(BG8)+'INPUT K'!M53</f>
        <v>625599.99999999919</v>
      </c>
      <c r="Q8" s="466">
        <f>$D8*(BH8)+'INPUT K'!N53</f>
        <v>261299.99999999916</v>
      </c>
      <c r="R8" s="466">
        <f>$D8*(BI8)+'INPUT K'!O53</f>
        <v>289599.99999999919</v>
      </c>
      <c r="S8" s="466">
        <f>$D8*(BJ8)+'INPUT K'!P53</f>
        <v>717499.99999999907</v>
      </c>
      <c r="T8" s="466">
        <f>$D8*(BK8)+'INPUT K'!Q53</f>
        <v>904699.99999999919</v>
      </c>
      <c r="U8" s="466">
        <f>$D8*(BL8)+'INPUT K'!R53</f>
        <v>3266699.9999999991</v>
      </c>
      <c r="V8" s="466">
        <f>$D8*(BM8)+'INPUT K'!S53</f>
        <v>3021099.9999999995</v>
      </c>
      <c r="W8" s="467"/>
      <c r="Z8" s="468" t="str">
        <f t="shared" si="0"/>
        <v>Equipos de Seguridad y Rescate</v>
      </c>
      <c r="AA8" s="469">
        <f>+'INPUT K'!W53</f>
        <v>0.1</v>
      </c>
      <c r="AB8" s="469">
        <f t="shared" si="5"/>
        <v>0.1</v>
      </c>
      <c r="AC8" s="469">
        <f t="shared" si="5"/>
        <v>0.1</v>
      </c>
      <c r="AD8" s="469">
        <f t="shared" si="5"/>
        <v>0.1</v>
      </c>
      <c r="AE8" s="469">
        <f t="shared" si="5"/>
        <v>0.1</v>
      </c>
      <c r="AF8" s="469">
        <f t="shared" si="5"/>
        <v>0.1</v>
      </c>
      <c r="AG8" s="469">
        <f t="shared" si="5"/>
        <v>0.1</v>
      </c>
      <c r="AH8" s="469">
        <f t="shared" si="5"/>
        <v>0.1</v>
      </c>
      <c r="AI8" s="469">
        <f t="shared" si="1"/>
        <v>0.1</v>
      </c>
      <c r="AJ8" s="469">
        <f t="shared" si="1"/>
        <v>0.1</v>
      </c>
      <c r="AK8" s="469">
        <f t="shared" si="1"/>
        <v>0.1</v>
      </c>
      <c r="AL8" s="469">
        <f t="shared" si="1"/>
        <v>0.1</v>
      </c>
      <c r="AM8" s="469">
        <f t="shared" si="1"/>
        <v>0.1</v>
      </c>
      <c r="AN8" s="469">
        <f t="shared" si="2"/>
        <v>0.1</v>
      </c>
      <c r="AO8" s="469">
        <f t="shared" si="2"/>
        <v>0.1</v>
      </c>
      <c r="AP8" s="469">
        <f t="shared" si="2"/>
        <v>0.1</v>
      </c>
      <c r="AQ8" s="469">
        <f t="shared" si="2"/>
        <v>0.1</v>
      </c>
      <c r="AR8" s="469">
        <f t="shared" si="2"/>
        <v>0.1</v>
      </c>
      <c r="AU8" s="468" t="str">
        <f t="shared" si="3"/>
        <v>Equipos de Seguridad y Rescate</v>
      </c>
      <c r="AV8" s="471"/>
      <c r="AW8" s="471"/>
      <c r="AX8" s="471"/>
      <c r="AY8" s="471"/>
      <c r="AZ8" s="471"/>
      <c r="BA8" s="471"/>
      <c r="BB8" s="471"/>
      <c r="BC8" s="471"/>
      <c r="BD8" s="471"/>
      <c r="BE8" s="471"/>
      <c r="BF8" s="471"/>
      <c r="BG8" s="471"/>
      <c r="BH8" s="471"/>
      <c r="BI8" s="471"/>
      <c r="BJ8" s="471"/>
      <c r="BK8" s="471"/>
      <c r="BL8" s="471"/>
      <c r="BM8" s="471"/>
      <c r="BO8" s="452"/>
      <c r="BP8" s="452"/>
      <c r="BQ8" s="452"/>
      <c r="BR8" s="452"/>
      <c r="BS8" s="452"/>
      <c r="BT8" s="452"/>
      <c r="BU8" s="452"/>
      <c r="BV8" s="452"/>
    </row>
    <row r="9" spans="1:124" ht="16.5" customHeight="1">
      <c r="A9" s="463"/>
      <c r="B9" s="464" t="str">
        <f>+'INPUT K'!B41</f>
        <v>Equipos de Computo</v>
      </c>
      <c r="C9" s="465"/>
      <c r="D9" s="466">
        <f>+BK!C80</f>
        <v>0</v>
      </c>
      <c r="E9" s="466">
        <f>$D9*(AV9)+'INPUT K'!C54</f>
        <v>381348.57142857142</v>
      </c>
      <c r="F9" s="466">
        <f>$D9*(AW9)+'INPUT K'!D54</f>
        <v>470331.42857142852</v>
      </c>
      <c r="G9" s="466">
        <f>$D9*(AX9)+'INPUT K'!E54</f>
        <v>455914.28571428574</v>
      </c>
      <c r="H9" s="466">
        <f>$D9*(AY9)+'INPUT K'!F54</f>
        <v>550747.14285714284</v>
      </c>
      <c r="I9" s="466">
        <f>$D9*(AZ9)+'INPUT K'!G54</f>
        <v>388580.00000000006</v>
      </c>
      <c r="J9" s="466">
        <f>$D9*(BA9)+'INPUT K'!G54</f>
        <v>388580.00000000006</v>
      </c>
      <c r="K9" s="466">
        <f>$D9*(BB9)+'INPUT K'!H54</f>
        <v>314250</v>
      </c>
      <c r="L9" s="466">
        <f>$D9*(BC9)+'INPUT K'!I54</f>
        <v>259500</v>
      </c>
      <c r="M9" s="466">
        <f>$D9*(BD9)+'INPUT K'!J54</f>
        <v>389000</v>
      </c>
      <c r="N9" s="466">
        <f>$D9*(BE9)+'INPUT K'!K54</f>
        <v>397500</v>
      </c>
      <c r="O9" s="466">
        <f>$D9*(BF9)+'INPUT K'!L54</f>
        <v>506250</v>
      </c>
      <c r="P9" s="466">
        <f>$D9*(BG9)+'INPUT K'!M54</f>
        <v>467500</v>
      </c>
      <c r="Q9" s="466">
        <f>$D9*(BH9)+'INPUT K'!N54</f>
        <v>432000</v>
      </c>
      <c r="R9" s="466">
        <f>$D9*(BI9)+'INPUT K'!O54</f>
        <v>315750</v>
      </c>
      <c r="S9" s="466">
        <f>$D9*(BJ9)+'INPUT K'!P54</f>
        <v>407250</v>
      </c>
      <c r="T9" s="466">
        <f>$D9*(BK9)+'INPUT K'!Q54</f>
        <v>289250</v>
      </c>
      <c r="U9" s="466">
        <f>$D9*(BL9)+'INPUT K'!R54</f>
        <v>634750</v>
      </c>
      <c r="V9" s="466">
        <f>$D9*(BM9)+'INPUT K'!S54</f>
        <v>600250</v>
      </c>
      <c r="W9" s="467"/>
      <c r="Z9" s="468" t="str">
        <f t="shared" si="0"/>
        <v>Equipos de Computo</v>
      </c>
      <c r="AA9" s="469">
        <f>+'INPUT K'!W54</f>
        <v>0.25</v>
      </c>
      <c r="AB9" s="469">
        <f t="shared" si="5"/>
        <v>0.25</v>
      </c>
      <c r="AC9" s="469">
        <f t="shared" si="5"/>
        <v>0.25</v>
      </c>
      <c r="AD9" s="469">
        <f t="shared" si="5"/>
        <v>0.25</v>
      </c>
      <c r="AE9" s="469">
        <f t="shared" si="5"/>
        <v>0.25</v>
      </c>
      <c r="AF9" s="469">
        <f t="shared" si="5"/>
        <v>0.25</v>
      </c>
      <c r="AG9" s="469">
        <f t="shared" si="5"/>
        <v>0.25</v>
      </c>
      <c r="AH9" s="469">
        <f t="shared" si="5"/>
        <v>0.25</v>
      </c>
      <c r="AI9" s="469">
        <f t="shared" si="1"/>
        <v>0.25</v>
      </c>
      <c r="AJ9" s="469">
        <f t="shared" si="1"/>
        <v>0.25</v>
      </c>
      <c r="AK9" s="469">
        <f t="shared" si="1"/>
        <v>0.25</v>
      </c>
      <c r="AL9" s="469">
        <f t="shared" si="1"/>
        <v>0.25</v>
      </c>
      <c r="AM9" s="469">
        <f t="shared" si="1"/>
        <v>0.25</v>
      </c>
      <c r="AN9" s="469">
        <f t="shared" si="2"/>
        <v>0.25</v>
      </c>
      <c r="AO9" s="469">
        <f t="shared" si="2"/>
        <v>0.25</v>
      </c>
      <c r="AP9" s="469">
        <f t="shared" si="2"/>
        <v>0.25</v>
      </c>
      <c r="AQ9" s="469">
        <f t="shared" si="2"/>
        <v>0.25</v>
      </c>
      <c r="AR9" s="469">
        <f t="shared" si="2"/>
        <v>0.25</v>
      </c>
      <c r="AU9" s="468" t="str">
        <f t="shared" si="3"/>
        <v>Equipos de Computo</v>
      </c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O9" s="452"/>
      <c r="BP9" s="452"/>
      <c r="BQ9" s="452"/>
      <c r="BR9" s="452"/>
      <c r="BS9" s="452"/>
      <c r="BT9" s="452"/>
      <c r="BU9" s="452"/>
      <c r="BV9" s="452"/>
    </row>
    <row r="10" spans="1:124" ht="16.5" customHeight="1">
      <c r="A10" s="463"/>
      <c r="B10" s="464" t="str">
        <f>+'INPUT K'!B42</f>
        <v>Equipos Diversos</v>
      </c>
      <c r="C10" s="465"/>
      <c r="D10" s="466">
        <f>+BK!C81</f>
        <v>0</v>
      </c>
      <c r="E10" s="466">
        <f>$D10*(AV10)+'INPUT K'!C55</f>
        <v>368204.57142857142</v>
      </c>
      <c r="F10" s="466">
        <f>$D10*(AW10)+'INPUT K'!D55</f>
        <v>483205.11428571428</v>
      </c>
      <c r="G10" s="466">
        <f>$D10*(AX10)+'INPUT K'!E55</f>
        <v>574202.55714285711</v>
      </c>
      <c r="H10" s="466">
        <f>$D10*(AY10)+'INPUT K'!F55</f>
        <v>583900</v>
      </c>
      <c r="I10" s="466">
        <f>$D10*(AZ10)+'INPUT K'!G55</f>
        <v>513997.44285714283</v>
      </c>
      <c r="J10" s="466">
        <f>$D10*(BA10)+'INPUT K'!G55</f>
        <v>513997.44285714283</v>
      </c>
      <c r="K10" s="466">
        <f>$D10*(BB10)+'INPUT K'!H55</f>
        <v>1530694.8857142855</v>
      </c>
      <c r="L10" s="466">
        <f>$D10*(BC10)+'INPUT K'!I55</f>
        <v>1472292.3285714285</v>
      </c>
      <c r="M10" s="466">
        <f>$D10*(BD10)+'INPUT K'!J55</f>
        <v>1740389.7714285713</v>
      </c>
      <c r="N10" s="466">
        <f>$D10*(BE10)+'INPUT K'!K55</f>
        <v>1662087.2142857143</v>
      </c>
      <c r="O10" s="466">
        <f>$D10*(BF10)+'INPUT K'!L55</f>
        <v>1643384.6571428569</v>
      </c>
      <c r="P10" s="466">
        <f>$D10*(BG10)+'INPUT K'!M55</f>
        <v>1463682.0999999999</v>
      </c>
      <c r="Q10" s="466">
        <f>$D10*(BH10)+'INPUT K'!N55</f>
        <v>2470500</v>
      </c>
      <c r="R10" s="466">
        <f>$D10*(BI10)+'INPUT K'!O55</f>
        <v>2305200</v>
      </c>
      <c r="S10" s="466">
        <f>$D10*(BJ10)+'INPUT K'!P55</f>
        <v>2187000</v>
      </c>
      <c r="T10" s="466">
        <f>$D10*(BK10)+'INPUT K'!Q55</f>
        <v>3336900</v>
      </c>
      <c r="U10" s="466">
        <f>$D10*(BL10)+'INPUT K'!R55</f>
        <v>3291100.0000000005</v>
      </c>
      <c r="V10" s="466">
        <f>$D10*(BM10)+'INPUT K'!S55</f>
        <v>3797500</v>
      </c>
      <c r="W10" s="467"/>
      <c r="Z10" s="468" t="str">
        <f t="shared" si="0"/>
        <v>Equipos Diversos</v>
      </c>
      <c r="AA10" s="469">
        <f>+'INPUT K'!W55</f>
        <v>0.1</v>
      </c>
      <c r="AB10" s="469">
        <f t="shared" si="5"/>
        <v>0.1</v>
      </c>
      <c r="AC10" s="469">
        <f t="shared" si="5"/>
        <v>0.1</v>
      </c>
      <c r="AD10" s="469">
        <f t="shared" si="5"/>
        <v>0.1</v>
      </c>
      <c r="AE10" s="469">
        <f t="shared" si="5"/>
        <v>0.1</v>
      </c>
      <c r="AF10" s="469">
        <f t="shared" si="5"/>
        <v>0.1</v>
      </c>
      <c r="AG10" s="469">
        <f t="shared" si="5"/>
        <v>0.1</v>
      </c>
      <c r="AH10" s="469">
        <f t="shared" si="5"/>
        <v>0.1</v>
      </c>
      <c r="AI10" s="469">
        <f t="shared" si="1"/>
        <v>0.1</v>
      </c>
      <c r="AJ10" s="469">
        <f t="shared" si="1"/>
        <v>0.1</v>
      </c>
      <c r="AK10" s="469">
        <f t="shared" si="1"/>
        <v>0.1</v>
      </c>
      <c r="AL10" s="469">
        <f t="shared" si="1"/>
        <v>0.1</v>
      </c>
      <c r="AM10" s="469">
        <f t="shared" si="1"/>
        <v>0.1</v>
      </c>
      <c r="AN10" s="469">
        <f t="shared" si="2"/>
        <v>0.1</v>
      </c>
      <c r="AO10" s="469">
        <f t="shared" si="2"/>
        <v>0.1</v>
      </c>
      <c r="AP10" s="469">
        <f t="shared" si="2"/>
        <v>0.1</v>
      </c>
      <c r="AQ10" s="469">
        <f t="shared" si="2"/>
        <v>0.1</v>
      </c>
      <c r="AR10" s="469">
        <f t="shared" si="2"/>
        <v>0.1</v>
      </c>
      <c r="AU10" s="468" t="str">
        <f t="shared" si="3"/>
        <v>Equipos Diversos</v>
      </c>
      <c r="AV10" s="471"/>
      <c r="AW10" s="471"/>
      <c r="AX10" s="471"/>
      <c r="AY10" s="471"/>
      <c r="AZ10" s="471"/>
      <c r="BA10" s="471"/>
      <c r="BB10" s="471"/>
      <c r="BC10" s="471"/>
      <c r="BD10" s="471"/>
      <c r="BE10" s="471"/>
      <c r="BF10" s="471"/>
      <c r="BG10" s="471"/>
      <c r="BH10" s="471"/>
      <c r="BI10" s="471"/>
      <c r="BJ10" s="471"/>
      <c r="BK10" s="471"/>
      <c r="BL10" s="471"/>
      <c r="BM10" s="471"/>
      <c r="BO10" s="452"/>
      <c r="BP10" s="452"/>
      <c r="BQ10" s="452"/>
      <c r="BR10" s="452"/>
      <c r="BS10" s="452"/>
      <c r="BT10" s="452"/>
      <c r="BU10" s="452"/>
      <c r="BV10" s="452"/>
    </row>
    <row r="11" spans="1:124" ht="16.5" customHeight="1">
      <c r="A11" s="463"/>
      <c r="B11" s="464" t="str">
        <f>+'INPUT K'!B43</f>
        <v>Unidades de Transporte</v>
      </c>
      <c r="C11" s="465"/>
      <c r="D11" s="466">
        <f>+BK!C82</f>
        <v>415371.25201161962</v>
      </c>
      <c r="E11" s="466">
        <f>(AV11)+'INPUT K'!C56</f>
        <v>625020.99866663222</v>
      </c>
      <c r="F11" s="466">
        <f>(AW11)+'INPUT K'!D56</f>
        <v>552710.51969287975</v>
      </c>
      <c r="G11" s="466">
        <f>(AX11)+'INPUT K'!E56</f>
        <v>398891.24071912724</v>
      </c>
      <c r="H11" s="466">
        <f>(AY11)+'INPUT K'!F56</f>
        <v>310071.96174537472</v>
      </c>
      <c r="I11" s="466">
        <f>(AZ11)+'INPUT K'!G56</f>
        <v>143252.6827716222</v>
      </c>
      <c r="J11" s="466">
        <f>(BA11)+'INPUT K'!G56</f>
        <v>143252.6827716222</v>
      </c>
      <c r="K11" s="466">
        <f>(BB11)+'INPUT K'!H56</f>
        <v>192507.65420019365</v>
      </c>
      <c r="L11" s="466">
        <f>(BC11)+'INPUT K'!I56</f>
        <v>224322.85420019366</v>
      </c>
      <c r="M11" s="466">
        <f>(BD11)+'INPUT K'!J56</f>
        <v>183722.85420019366</v>
      </c>
      <c r="N11" s="466">
        <f>(BE11)+'INPUT K'!K56</f>
        <v>127922.85420019367</v>
      </c>
      <c r="O11" s="466">
        <f>(BF11)+'INPUT K'!L56</f>
        <v>141322.85420019369</v>
      </c>
      <c r="P11" s="466">
        <f>(BG11)+'INPUT K'!M56</f>
        <v>81522.854200193658</v>
      </c>
      <c r="Q11" s="466">
        <f>(BH11)+'INPUT K'!N56</f>
        <v>88322.854200193658</v>
      </c>
      <c r="R11" s="466">
        <f>(BI11)+'INPUT K'!O56</f>
        <v>1664122.8542001937</v>
      </c>
      <c r="S11" s="466">
        <f>(BJ11)+'INPUT K'!P56</f>
        <v>1459122.8542001937</v>
      </c>
      <c r="T11" s="466">
        <f>(BK11)+'INPUT K'!Q56</f>
        <v>1105722.8542001937</v>
      </c>
      <c r="U11" s="466">
        <f>(BL11)+'INPUT K'!R56</f>
        <v>1403722.8542001939</v>
      </c>
      <c r="V11" s="466">
        <f>(BM11)+'INPUT K'!S56</f>
        <v>916522.85420019354</v>
      </c>
      <c r="W11" s="467"/>
      <c r="Z11" s="468" t="str">
        <f t="shared" si="0"/>
        <v>Unidades de Transporte</v>
      </c>
      <c r="AA11" s="469">
        <f>+'INPUT K'!W56</f>
        <v>0.2</v>
      </c>
      <c r="AB11" s="469">
        <f t="shared" si="5"/>
        <v>0.2</v>
      </c>
      <c r="AC11" s="469">
        <f t="shared" si="5"/>
        <v>0.2</v>
      </c>
      <c r="AD11" s="469">
        <f t="shared" si="5"/>
        <v>0.2</v>
      </c>
      <c r="AE11" s="469">
        <f t="shared" si="5"/>
        <v>0.2</v>
      </c>
      <c r="AF11" s="469">
        <f t="shared" si="5"/>
        <v>0.2</v>
      </c>
      <c r="AG11" s="469">
        <f t="shared" si="5"/>
        <v>0.2</v>
      </c>
      <c r="AH11" s="469">
        <f t="shared" si="5"/>
        <v>0.2</v>
      </c>
      <c r="AI11" s="469">
        <f t="shared" si="1"/>
        <v>0.2</v>
      </c>
      <c r="AJ11" s="469">
        <f t="shared" si="1"/>
        <v>0.2</v>
      </c>
      <c r="AK11" s="469">
        <f t="shared" si="1"/>
        <v>0.2</v>
      </c>
      <c r="AL11" s="469">
        <f t="shared" si="1"/>
        <v>0.2</v>
      </c>
      <c r="AM11" s="469">
        <f t="shared" si="1"/>
        <v>0.2</v>
      </c>
      <c r="AN11" s="469">
        <f t="shared" si="2"/>
        <v>0.2</v>
      </c>
      <c r="AO11" s="469">
        <f t="shared" si="2"/>
        <v>0.2</v>
      </c>
      <c r="AP11" s="469">
        <f t="shared" si="2"/>
        <v>0.2</v>
      </c>
      <c r="AQ11" s="469">
        <f t="shared" si="2"/>
        <v>0.2</v>
      </c>
      <c r="AR11" s="469">
        <f t="shared" si="2"/>
        <v>0.2</v>
      </c>
      <c r="AU11" s="468" t="str">
        <f t="shared" si="3"/>
        <v>Unidades de Transporte</v>
      </c>
      <c r="AV11" s="471">
        <f>+BN11-AV16</f>
        <v>339219.85580948938</v>
      </c>
      <c r="AW11" s="471">
        <f t="shared" ref="AW11:AZ12" si="6">+AV11-AW16</f>
        <v>256145.60540716545</v>
      </c>
      <c r="AX11" s="471">
        <f t="shared" si="6"/>
        <v>173071.35500484152</v>
      </c>
      <c r="AY11" s="471">
        <f t="shared" si="6"/>
        <v>89997.104602517589</v>
      </c>
      <c r="AZ11" s="471">
        <f t="shared" si="6"/>
        <v>6922.8542001936585</v>
      </c>
      <c r="BA11" s="471">
        <f>+AZ11</f>
        <v>6922.8542001936585</v>
      </c>
      <c r="BB11" s="471">
        <f>+BA11</f>
        <v>6922.8542001936585</v>
      </c>
      <c r="BC11" s="471">
        <f t="shared" ref="BC11:BM11" si="7">+BB11</f>
        <v>6922.8542001936585</v>
      </c>
      <c r="BD11" s="471">
        <f t="shared" si="7"/>
        <v>6922.8542001936585</v>
      </c>
      <c r="BE11" s="471">
        <f t="shared" si="7"/>
        <v>6922.8542001936585</v>
      </c>
      <c r="BF11" s="471">
        <f t="shared" si="7"/>
        <v>6922.8542001936585</v>
      </c>
      <c r="BG11" s="471">
        <f t="shared" si="7"/>
        <v>6922.8542001936585</v>
      </c>
      <c r="BH11" s="471">
        <f t="shared" si="7"/>
        <v>6922.8542001936585</v>
      </c>
      <c r="BI11" s="471">
        <f t="shared" si="7"/>
        <v>6922.8542001936585</v>
      </c>
      <c r="BJ11" s="471">
        <f t="shared" si="7"/>
        <v>6922.8542001936585</v>
      </c>
      <c r="BK11" s="471">
        <f t="shared" si="7"/>
        <v>6922.8542001936585</v>
      </c>
      <c r="BL11" s="471">
        <f t="shared" si="7"/>
        <v>6922.8542001936585</v>
      </c>
      <c r="BM11" s="471">
        <f t="shared" si="7"/>
        <v>6922.8542001936585</v>
      </c>
      <c r="BN11" s="472">
        <f>+BK!C82</f>
        <v>415371.25201161962</v>
      </c>
      <c r="BO11" s="452"/>
      <c r="BP11" s="452"/>
      <c r="BQ11" s="452"/>
      <c r="BR11" s="452"/>
      <c r="BS11" s="452"/>
      <c r="BT11" s="452"/>
      <c r="BU11" s="452"/>
      <c r="BV11" s="452"/>
    </row>
    <row r="12" spans="1:124" ht="16.5" customHeight="1">
      <c r="A12" s="463"/>
      <c r="B12" s="464" t="str">
        <f>+'INPUT K'!B44</f>
        <v>Muebles y Enseres</v>
      </c>
      <c r="C12" s="465"/>
      <c r="D12" s="466">
        <f>+BK!C83</f>
        <v>400614.80691220413</v>
      </c>
      <c r="E12" s="466">
        <f>(AV12)+'INPUT K'!C57</f>
        <v>367327.21151668066</v>
      </c>
      <c r="F12" s="466">
        <f>(AW12)+'INPUT K'!D57</f>
        <v>362916.18796831736</v>
      </c>
      <c r="G12" s="466">
        <f>(AX12)+'INPUT K'!E57</f>
        <v>336911.76441995404</v>
      </c>
      <c r="H12" s="466">
        <f>(AY12)+'INPUT K'!F57</f>
        <v>305107.34087159077</v>
      </c>
      <c r="I12" s="466">
        <f>(AZ12)+'INPUT K'!G57</f>
        <v>275902.91732322756</v>
      </c>
      <c r="J12" s="466">
        <f>(BA12)+'INPUT K'!G57</f>
        <v>275902.91732322756</v>
      </c>
      <c r="K12" s="466">
        <f>(BB12)+'INPUT K'!H57</f>
        <v>1259898.4937748644</v>
      </c>
      <c r="L12" s="466">
        <f>(BC12)+'INPUT K'!I57</f>
        <v>1129594.070226501</v>
      </c>
      <c r="M12" s="466">
        <f>(BD12)+'INPUT K'!J57</f>
        <v>1086089.6466781378</v>
      </c>
      <c r="N12" s="466">
        <f>(BE12)+'INPUT K'!K57</f>
        <v>1054485.2231297747</v>
      </c>
      <c r="O12" s="466">
        <f>(BF12)+'INPUT K'!L57</f>
        <v>906480.79958141141</v>
      </c>
      <c r="P12" s="466">
        <f>(BG12)+'INPUT K'!M57</f>
        <v>851437.85672426852</v>
      </c>
      <c r="Q12" s="466">
        <f>(BH12)+'INPUT K'!N57</f>
        <v>867038.4567242685</v>
      </c>
      <c r="R12" s="466">
        <f>(BI12)+'INPUT K'!O57</f>
        <v>771638.45672426862</v>
      </c>
      <c r="S12" s="466">
        <f>(BJ12)+'INPUT K'!P57</f>
        <v>1304238.4567242686</v>
      </c>
      <c r="T12" s="466">
        <f>(BK12)+'INPUT K'!Q57</f>
        <v>1144138.4567242686</v>
      </c>
      <c r="U12" s="466">
        <f>(BL12)+'INPUT K'!R57</f>
        <v>1023138.4567242685</v>
      </c>
      <c r="V12" s="466">
        <f>(BM12)+'INPUT K'!S57</f>
        <v>1012238.4567242685</v>
      </c>
      <c r="W12" s="467"/>
      <c r="Z12" s="468" t="str">
        <f t="shared" si="0"/>
        <v>Muebles y Enseres</v>
      </c>
      <c r="AA12" s="469">
        <f>+'INPUT K'!W57</f>
        <v>0.1</v>
      </c>
      <c r="AB12" s="469">
        <f t="shared" si="5"/>
        <v>0.1</v>
      </c>
      <c r="AC12" s="469">
        <f t="shared" si="5"/>
        <v>0.1</v>
      </c>
      <c r="AD12" s="469">
        <f t="shared" si="5"/>
        <v>0.1</v>
      </c>
      <c r="AE12" s="469">
        <f t="shared" si="5"/>
        <v>0.1</v>
      </c>
      <c r="AF12" s="469">
        <f t="shared" si="5"/>
        <v>0.1</v>
      </c>
      <c r="AG12" s="469">
        <f t="shared" si="5"/>
        <v>0.1</v>
      </c>
      <c r="AH12" s="469">
        <f t="shared" si="5"/>
        <v>0.1</v>
      </c>
      <c r="AI12" s="469">
        <f t="shared" si="1"/>
        <v>0.1</v>
      </c>
      <c r="AJ12" s="469">
        <f t="shared" si="1"/>
        <v>0.1</v>
      </c>
      <c r="AK12" s="469">
        <f t="shared" si="1"/>
        <v>0.1</v>
      </c>
      <c r="AL12" s="469">
        <f t="shared" si="1"/>
        <v>0.1</v>
      </c>
      <c r="AM12" s="469">
        <f t="shared" si="1"/>
        <v>0.1</v>
      </c>
      <c r="AN12" s="469">
        <f t="shared" si="2"/>
        <v>0.1</v>
      </c>
      <c r="AO12" s="469">
        <f t="shared" si="2"/>
        <v>0.1</v>
      </c>
      <c r="AP12" s="469">
        <f t="shared" si="2"/>
        <v>0.1</v>
      </c>
      <c r="AQ12" s="469">
        <f t="shared" si="2"/>
        <v>0.1</v>
      </c>
      <c r="AR12" s="469">
        <f t="shared" si="2"/>
        <v>0.1</v>
      </c>
      <c r="AU12" s="468" t="str">
        <f t="shared" si="3"/>
        <v>Muebles y Enseres</v>
      </c>
      <c r="AV12" s="471">
        <f>+BN12-AV17</f>
        <v>363891.78294525208</v>
      </c>
      <c r="AW12" s="471">
        <f t="shared" si="6"/>
        <v>323830.30225403165</v>
      </c>
      <c r="AX12" s="471">
        <f t="shared" si="6"/>
        <v>283768.82156281121</v>
      </c>
      <c r="AY12" s="471">
        <f t="shared" si="6"/>
        <v>243707.3408715908</v>
      </c>
      <c r="AZ12" s="471">
        <f t="shared" si="6"/>
        <v>203645.86018037039</v>
      </c>
      <c r="BA12" s="471">
        <f>+AZ12</f>
        <v>203645.86018037039</v>
      </c>
      <c r="BB12" s="471">
        <f>+AZ12-BA17</f>
        <v>163584.37948914999</v>
      </c>
      <c r="BC12" s="471">
        <f>+BB12-BC17</f>
        <v>123522.89879792958</v>
      </c>
      <c r="BD12" s="471">
        <f>+BC12-BD17</f>
        <v>83461.41810670917</v>
      </c>
      <c r="BE12" s="471">
        <f>+BD12-BE17</f>
        <v>43399.937415488756</v>
      </c>
      <c r="BF12" s="471">
        <f>+BE12-BF17</f>
        <v>3338.4567242683406</v>
      </c>
      <c r="BG12" s="471">
        <f>+BF12</f>
        <v>3338.4567242683406</v>
      </c>
      <c r="BH12" s="471">
        <f t="shared" ref="BH12:BM12" si="8">+BG12</f>
        <v>3338.4567242683406</v>
      </c>
      <c r="BI12" s="471">
        <f t="shared" si="8"/>
        <v>3338.4567242683406</v>
      </c>
      <c r="BJ12" s="471">
        <f t="shared" si="8"/>
        <v>3338.4567242683406</v>
      </c>
      <c r="BK12" s="471">
        <f t="shared" si="8"/>
        <v>3338.4567242683406</v>
      </c>
      <c r="BL12" s="471">
        <f t="shared" si="8"/>
        <v>3338.4567242683406</v>
      </c>
      <c r="BM12" s="471">
        <f t="shared" si="8"/>
        <v>3338.4567242683406</v>
      </c>
      <c r="BN12" s="472">
        <f>+BK!C83</f>
        <v>400614.80691220413</v>
      </c>
      <c r="BP12" s="452"/>
      <c r="BQ12" s="452"/>
      <c r="BR12" s="452"/>
      <c r="BS12" s="452"/>
      <c r="BT12" s="452"/>
      <c r="BU12" s="452"/>
      <c r="BV12" s="452"/>
    </row>
    <row r="13" spans="1:124" ht="16.5" customHeight="1" thickBot="1">
      <c r="B13" s="473" t="s">
        <v>12</v>
      </c>
      <c r="C13" s="474"/>
      <c r="D13" s="475">
        <f t="shared" ref="D13:V13" si="9">SUM(D5:D12)</f>
        <v>38456017.201676786</v>
      </c>
      <c r="E13" s="475">
        <f t="shared" si="9"/>
        <v>45301499.110739231</v>
      </c>
      <c r="F13" s="475">
        <f t="shared" si="9"/>
        <v>48739980.427596733</v>
      </c>
      <c r="G13" s="475">
        <f t="shared" si="9"/>
        <v>47116140.352500208</v>
      </c>
      <c r="H13" s="475">
        <f t="shared" si="9"/>
        <v>46647350.277403697</v>
      </c>
      <c r="I13" s="475">
        <f t="shared" si="9"/>
        <v>186939434.27619964</v>
      </c>
      <c r="J13" s="475">
        <f t="shared" si="9"/>
        <v>192734994.68506581</v>
      </c>
      <c r="K13" s="475">
        <f t="shared" si="9"/>
        <v>206735216.00322875</v>
      </c>
      <c r="L13" s="475">
        <f t="shared" si="9"/>
        <v>203671199.38904363</v>
      </c>
      <c r="M13" s="475">
        <f t="shared" si="9"/>
        <v>196006193.43692744</v>
      </c>
      <c r="N13" s="475">
        <f t="shared" si="9"/>
        <v>242383753.00205261</v>
      </c>
      <c r="O13" s="475">
        <f t="shared" si="9"/>
        <v>237400931.53269503</v>
      </c>
      <c r="P13" s="475">
        <f t="shared" si="9"/>
        <v>230255368.09575281</v>
      </c>
      <c r="Q13" s="475">
        <f t="shared" si="9"/>
        <v>250960272.46373665</v>
      </c>
      <c r="R13" s="475">
        <f t="shared" si="9"/>
        <v>249148391.09034124</v>
      </c>
      <c r="S13" s="475">
        <f t="shared" si="9"/>
        <v>252501163.16522163</v>
      </c>
      <c r="T13" s="475">
        <f t="shared" si="9"/>
        <v>249734383.51596415</v>
      </c>
      <c r="U13" s="475">
        <f t="shared" si="9"/>
        <v>246176869.38394809</v>
      </c>
      <c r="V13" s="475">
        <f t="shared" si="9"/>
        <v>237489844.90710434</v>
      </c>
      <c r="W13" s="467"/>
      <c r="BN13" s="472">
        <f>+BN12+BN11+BN5</f>
        <v>38456017.201676786</v>
      </c>
      <c r="CO13" s="452"/>
      <c r="CP13" s="452"/>
      <c r="CQ13" s="452"/>
      <c r="CR13" s="452"/>
      <c r="CS13" s="452"/>
      <c r="CT13" s="452"/>
      <c r="CU13" s="452"/>
      <c r="CV13" s="452"/>
    </row>
    <row r="14" spans="1:124" ht="16.5" customHeight="1" thickBot="1">
      <c r="B14" s="476"/>
      <c r="C14" s="476"/>
      <c r="D14" s="476"/>
      <c r="E14" s="781"/>
      <c r="F14" s="781"/>
      <c r="G14" s="781"/>
      <c r="H14" s="781"/>
      <c r="I14" s="781"/>
      <c r="J14" s="781"/>
      <c r="K14" s="781"/>
      <c r="L14" s="781"/>
      <c r="M14" s="781"/>
      <c r="N14" s="781"/>
      <c r="O14" s="781"/>
      <c r="P14" s="781"/>
      <c r="Q14" s="781"/>
      <c r="R14" s="781"/>
      <c r="S14" s="476"/>
      <c r="T14" s="476"/>
      <c r="U14" s="476"/>
      <c r="V14" s="476"/>
      <c r="W14" s="476"/>
      <c r="X14" s="476"/>
      <c r="Y14" s="476"/>
      <c r="Z14" s="476"/>
      <c r="CO14" s="452"/>
      <c r="CP14" s="452"/>
      <c r="CQ14" s="452"/>
      <c r="CR14" s="452"/>
      <c r="CS14" s="452"/>
      <c r="CT14" s="452"/>
      <c r="CU14" s="452"/>
      <c r="CV14" s="452"/>
    </row>
    <row r="15" spans="1:124" ht="16.5" customHeight="1">
      <c r="B15" s="825" t="s">
        <v>237</v>
      </c>
      <c r="C15" s="826"/>
      <c r="D15" s="780">
        <v>2000</v>
      </c>
      <c r="E15" s="780">
        <f>+D15+1</f>
        <v>2001</v>
      </c>
      <c r="F15" s="780">
        <f>+E15+1</f>
        <v>2002</v>
      </c>
      <c r="G15" s="780">
        <f>+F15+1</f>
        <v>2003</v>
      </c>
      <c r="H15" s="780">
        <f>+G15+1</f>
        <v>2004</v>
      </c>
      <c r="I15" s="477">
        <f>+H15+1</f>
        <v>2005</v>
      </c>
      <c r="J15" s="780">
        <f>+H15+1</f>
        <v>2005</v>
      </c>
      <c r="K15" s="780">
        <f t="shared" ref="K15:Q15" si="10">+J15+1</f>
        <v>2006</v>
      </c>
      <c r="L15" s="780">
        <f t="shared" si="10"/>
        <v>2007</v>
      </c>
      <c r="M15" s="780">
        <f t="shared" si="10"/>
        <v>2008</v>
      </c>
      <c r="N15" s="780">
        <f t="shared" si="10"/>
        <v>2009</v>
      </c>
      <c r="O15" s="780">
        <f t="shared" si="10"/>
        <v>2010</v>
      </c>
      <c r="P15" s="780">
        <f t="shared" si="10"/>
        <v>2011</v>
      </c>
      <c r="Q15" s="780">
        <f t="shared" si="10"/>
        <v>2012</v>
      </c>
      <c r="R15" s="780">
        <f t="shared" ref="R15:V15" si="11">+Q15+1</f>
        <v>2013</v>
      </c>
      <c r="S15" s="780">
        <f t="shared" si="11"/>
        <v>2014</v>
      </c>
      <c r="T15" s="780">
        <f t="shared" si="11"/>
        <v>2015</v>
      </c>
      <c r="U15" s="780">
        <f t="shared" si="11"/>
        <v>2016</v>
      </c>
      <c r="V15" s="780">
        <f t="shared" si="11"/>
        <v>2017</v>
      </c>
      <c r="AV15" s="684">
        <f>+$BN$5*Depreciaciones!$AL$12*11/12</f>
        <v>1189771.0993398924</v>
      </c>
      <c r="AW15" s="478">
        <f>+$BN$5*Depreciaciones!$AL$12</f>
        <v>1297932.1083707917</v>
      </c>
      <c r="AX15" s="478">
        <f>+$BN$5*Depreciaciones!$AL$12</f>
        <v>1297932.1083707917</v>
      </c>
      <c r="AY15" s="478">
        <f>+$BN$5*Depreciaciones!$AL$12</f>
        <v>1297932.1083707917</v>
      </c>
      <c r="AZ15" s="478">
        <f>+$BN$5*Depreciaciones!$AL$12</f>
        <v>1297932.1083707917</v>
      </c>
      <c r="BA15" s="478">
        <f>+$BN$5*Depreciaciones!$AL$12</f>
        <v>1297932.1083707917</v>
      </c>
      <c r="BB15" s="478">
        <f>+$BN$5*Depreciaciones!$AL$12</f>
        <v>1297932.1083707917</v>
      </c>
      <c r="BC15" s="478">
        <f>+$BN$5*Depreciaciones!$AL$12</f>
        <v>1297932.1083707917</v>
      </c>
      <c r="BD15" s="478">
        <f>+$BN$5*Depreciaciones!$AL$12</f>
        <v>1297932.1083707917</v>
      </c>
      <c r="BE15" s="478">
        <f>+$BN$5*Depreciaciones!$AL$12</f>
        <v>1297932.1083707917</v>
      </c>
      <c r="BF15" s="478">
        <f>+$BN$5*Depreciaciones!$AL$12</f>
        <v>1297932.1083707917</v>
      </c>
      <c r="BG15" s="478">
        <f>+$BN$5*Depreciaciones!$AL$12</f>
        <v>1297932.1083707917</v>
      </c>
      <c r="BH15" s="478">
        <f>+$BN$5*Depreciaciones!$AL$12</f>
        <v>1297932.1083707917</v>
      </c>
      <c r="BI15" s="478">
        <f>+$BN$5*Depreciaciones!$AL$12</f>
        <v>1297932.1083707917</v>
      </c>
      <c r="BJ15" s="478">
        <f>+$BN$5*Depreciaciones!$AL$12</f>
        <v>1297932.1083707917</v>
      </c>
      <c r="BK15" s="478">
        <f>+$BN$5*Depreciaciones!$AL$12</f>
        <v>1297932.1083707917</v>
      </c>
      <c r="BL15" s="478">
        <f>+$BN$5*Depreciaciones!$AL$12</f>
        <v>1297932.1083707917</v>
      </c>
      <c r="BM15" s="478">
        <f>+$BN$5*Depreciaciones!$AL$12</f>
        <v>1297932.1083707917</v>
      </c>
      <c r="BO15" s="452"/>
      <c r="BP15" s="452"/>
      <c r="BQ15" s="452"/>
      <c r="BR15" s="452"/>
      <c r="BS15" s="452"/>
      <c r="BT15" s="452"/>
      <c r="BU15" s="452"/>
      <c r="BV15" s="452"/>
    </row>
    <row r="16" spans="1:124" s="450" customFormat="1" ht="16.5" customHeight="1">
      <c r="B16" s="827" t="s">
        <v>407</v>
      </c>
      <c r="C16" s="828"/>
      <c r="D16" s="479">
        <f>+ECO!B24</f>
        <v>3.4898989942879823</v>
      </c>
      <c r="E16" s="479">
        <f>+ECO!C24</f>
        <v>3.5081126425913269</v>
      </c>
      <c r="F16" s="479">
        <f>+ECO!D24</f>
        <v>3.517656815333789</v>
      </c>
      <c r="G16" s="479">
        <f>+ECO!E24</f>
        <v>3.4792066378066377</v>
      </c>
      <c r="H16" s="479">
        <f>+ECO!F24</f>
        <v>3.4138200263504608</v>
      </c>
      <c r="I16" s="479">
        <f>+ECO!G24</f>
        <v>3.2966895268474219</v>
      </c>
      <c r="J16" s="479">
        <f>+I16</f>
        <v>3.2966895268474219</v>
      </c>
      <c r="K16" s="479">
        <f>+ECO!H24</f>
        <v>3.274568173714369</v>
      </c>
      <c r="L16" s="479">
        <f>+ECO!I24</f>
        <v>3.1289604987848416</v>
      </c>
      <c r="M16" s="479">
        <f>+ECO!J24</f>
        <v>2.9259183042834356</v>
      </c>
      <c r="N16" s="479">
        <f>+ECO!K24</f>
        <v>3.012204403053087</v>
      </c>
      <c r="O16" s="479">
        <f>+ECO!L24</f>
        <v>2.8257854861131761</v>
      </c>
      <c r="P16" s="479">
        <f>+ECO!M24</f>
        <v>2.7547087220274009</v>
      </c>
      <c r="Q16" s="479">
        <f>+ECO!N24</f>
        <v>2.6381924723424732</v>
      </c>
      <c r="R16" s="479">
        <f>+ECO!O24</f>
        <v>2.702781988114225</v>
      </c>
      <c r="S16" s="479">
        <f>+ECO!P24</f>
        <v>2.839381132756134</v>
      </c>
      <c r="T16" s="479">
        <f>+ECO!Q24</f>
        <v>3.186090710678211</v>
      </c>
      <c r="U16" s="479">
        <f>+ECO!R24</f>
        <v>3.3771255534670011</v>
      </c>
      <c r="V16" s="479">
        <f>+ECO!S24</f>
        <v>3.2621647500000002</v>
      </c>
      <c r="AI16" s="398"/>
      <c r="AJ16" s="398"/>
      <c r="AK16" s="398"/>
      <c r="AL16" s="398"/>
      <c r="AM16" s="398"/>
      <c r="AN16" s="398"/>
      <c r="AV16" s="684">
        <f>+$BN$11*Depreciaciones!$S$132*11/12</f>
        <v>76151.396202130272</v>
      </c>
      <c r="AW16" s="478">
        <f>+$BN$11*Depreciaciones!$S$132</f>
        <v>83074.250402323931</v>
      </c>
      <c r="AX16" s="478">
        <f>+$BN$11*Depreciaciones!$S$132</f>
        <v>83074.250402323931</v>
      </c>
      <c r="AY16" s="478">
        <f>+$BN$11*Depreciaciones!$S$132</f>
        <v>83074.250402323931</v>
      </c>
      <c r="AZ16" s="478">
        <f>+$BN$11*Depreciaciones!$S$132</f>
        <v>83074.250402323931</v>
      </c>
      <c r="BA16" s="478">
        <f>+$BN$11*Depreciaciones!$S$132</f>
        <v>83074.250402323931</v>
      </c>
      <c r="BB16" s="478">
        <f>+$BN$11*Depreciaciones!$S$132</f>
        <v>83074.250402323931</v>
      </c>
      <c r="BC16" s="478">
        <f>+$BN$11*Depreciaciones!$S$132</f>
        <v>83074.250402323931</v>
      </c>
      <c r="BD16" s="478">
        <f>+$BN$11*Depreciaciones!$S$132</f>
        <v>83074.250402323931</v>
      </c>
      <c r="BE16" s="478">
        <f>+$BN$11*Depreciaciones!$S$132</f>
        <v>83074.250402323931</v>
      </c>
      <c r="BF16" s="478">
        <f>+$BN$11*Depreciaciones!$S$132</f>
        <v>83074.250402323931</v>
      </c>
      <c r="BG16" s="478">
        <f>+$BN$11*Depreciaciones!$S$132</f>
        <v>83074.250402323931</v>
      </c>
      <c r="BH16" s="478">
        <f>+$BN$11*Depreciaciones!$S$132</f>
        <v>83074.250402323931</v>
      </c>
      <c r="BI16" s="478"/>
      <c r="BJ16" s="478"/>
      <c r="BK16" s="478"/>
      <c r="BL16" s="478"/>
      <c r="BM16" s="478"/>
      <c r="BO16" s="452"/>
      <c r="BP16" s="452"/>
      <c r="BQ16" s="452"/>
      <c r="BR16" s="452"/>
      <c r="BS16" s="452"/>
      <c r="BT16" s="452"/>
      <c r="BU16" s="452"/>
      <c r="BV16" s="452"/>
    </row>
    <row r="17" spans="1:123" s="450" customFormat="1" ht="16.5" customHeight="1">
      <c r="B17" s="827" t="s">
        <v>404</v>
      </c>
      <c r="C17" s="829"/>
      <c r="D17" s="798">
        <f>+ECO!B8</f>
        <v>101.80651164745535</v>
      </c>
      <c r="E17" s="798">
        <f>+ECO!C8</f>
        <v>103.03539310872502</v>
      </c>
      <c r="F17" s="798">
        <f>+ECO!D8</f>
        <v>102.76838919308257</v>
      </c>
      <c r="G17" s="798">
        <f>+ECO!E8</f>
        <v>106.09261113052027</v>
      </c>
      <c r="H17" s="798">
        <f>+ECO!F8</f>
        <v>111.58268360950017</v>
      </c>
      <c r="I17" s="798">
        <f>+ECO!G8</f>
        <v>116.95744511211355</v>
      </c>
      <c r="J17" s="798">
        <f>+I17</f>
        <v>116.95744511211355</v>
      </c>
      <c r="K17" s="798">
        <f>+ECO!H8</f>
        <v>122.14328383597071</v>
      </c>
      <c r="L17" s="798">
        <f>+ECO!I8</f>
        <v>122.5804690617263</v>
      </c>
      <c r="M17" s="798">
        <f>+ECO!J8</f>
        <v>131.01499311106298</v>
      </c>
      <c r="N17" s="798">
        <f>+ECO!K8</f>
        <v>126.4318083057815</v>
      </c>
      <c r="O17" s="798">
        <f>+ECO!L8</f>
        <v>129.29115596003365</v>
      </c>
      <c r="P17" s="798">
        <f>+ECO!M8</f>
        <v>135.83643935443851</v>
      </c>
      <c r="Q17" s="798">
        <f>+ECO!N8</f>
        <v>137.99895734446577</v>
      </c>
      <c r="R17" s="798">
        <f>+ECO!O8</f>
        <v>138.35510809709999</v>
      </c>
      <c r="S17" s="798">
        <f>+ECO!P8</f>
        <v>139.90049254173721</v>
      </c>
      <c r="T17" s="798">
        <f>+ECO!Q8</f>
        <v>139.77648948053906</v>
      </c>
      <c r="U17" s="798">
        <f>+ECO!R8</f>
        <v>140.46464159785054</v>
      </c>
      <c r="V17" s="798">
        <f>+ECO!S8</f>
        <v>141.97297351273133</v>
      </c>
      <c r="AA17" s="476"/>
      <c r="AI17" s="398"/>
      <c r="AJ17" s="398"/>
      <c r="AK17" s="398"/>
      <c r="AL17" s="398"/>
      <c r="AM17" s="398"/>
      <c r="AN17" s="398"/>
      <c r="AV17" s="684">
        <f>+$BN$12*Depreciaciones!$S$173*11/12</f>
        <v>36723.023966952045</v>
      </c>
      <c r="AW17" s="478">
        <f>+$BN$12*Depreciaciones!$S$173</f>
        <v>40061.480691220415</v>
      </c>
      <c r="AX17" s="478">
        <f>+$BN$12*Depreciaciones!$S$173</f>
        <v>40061.480691220415</v>
      </c>
      <c r="AY17" s="478">
        <f>+$BN$12*Depreciaciones!$S$173</f>
        <v>40061.480691220415</v>
      </c>
      <c r="AZ17" s="478">
        <f>+$BN$12*Depreciaciones!$S$173</f>
        <v>40061.480691220415</v>
      </c>
      <c r="BA17" s="478">
        <f>+$BN$12*Depreciaciones!$S$173</f>
        <v>40061.480691220415</v>
      </c>
      <c r="BB17" s="478">
        <f>+$BN$12*Depreciaciones!$S$173</f>
        <v>40061.480691220415</v>
      </c>
      <c r="BC17" s="478">
        <f>+$BN$12*Depreciaciones!$S$173</f>
        <v>40061.480691220415</v>
      </c>
      <c r="BD17" s="478">
        <f>+$BN$12*Depreciaciones!$S$173</f>
        <v>40061.480691220415</v>
      </c>
      <c r="BE17" s="478">
        <f>+$BN$12*Depreciaciones!$S$173</f>
        <v>40061.480691220415</v>
      </c>
      <c r="BF17" s="478">
        <f>+$BN$12*Depreciaciones!$S$173</f>
        <v>40061.480691220415</v>
      </c>
      <c r="BG17" s="478">
        <f>+$BN$12*Depreciaciones!$S$173</f>
        <v>40061.480691220415</v>
      </c>
      <c r="BH17" s="478">
        <f>+$BN$12*Depreciaciones!$S$173</f>
        <v>40061.480691220415</v>
      </c>
      <c r="BI17" s="478"/>
      <c r="BJ17" s="478"/>
      <c r="BK17" s="478"/>
      <c r="BL17" s="478"/>
      <c r="BM17" s="478"/>
      <c r="BO17" s="452"/>
      <c r="BP17" s="452"/>
      <c r="BQ17" s="452"/>
      <c r="BR17" s="452"/>
      <c r="BS17" s="452"/>
      <c r="BT17" s="452"/>
      <c r="BU17" s="452"/>
    </row>
    <row r="18" spans="1:123" s="450" customFormat="1" ht="16.5" customHeight="1">
      <c r="B18" s="464" t="s">
        <v>207</v>
      </c>
      <c r="C18" s="188"/>
      <c r="D18" s="481"/>
      <c r="E18" s="481">
        <f>+E16/D16-1</f>
        <v>5.2189614464932532E-3</v>
      </c>
      <c r="F18" s="481">
        <f t="shared" ref="F18:Q18" si="12">+F16/E16-1</f>
        <v>2.7206004238826687E-3</v>
      </c>
      <c r="G18" s="481">
        <f t="shared" si="12"/>
        <v>-1.0930622157210856E-2</v>
      </c>
      <c r="H18" s="481">
        <f t="shared" si="12"/>
        <v>-1.8793540672651154E-2</v>
      </c>
      <c r="I18" s="481">
        <f t="shared" si="12"/>
        <v>-3.4310683808442266E-2</v>
      </c>
      <c r="J18" s="481">
        <f>+I18</f>
        <v>-3.4310683808442266E-2</v>
      </c>
      <c r="K18" s="481">
        <f t="shared" si="12"/>
        <v>-6.7101718111159947E-3</v>
      </c>
      <c r="L18" s="481">
        <f t="shared" si="12"/>
        <v>-4.4466221866550248E-2</v>
      </c>
      <c r="M18" s="481">
        <f t="shared" si="12"/>
        <v>-6.4891261676284895E-2</v>
      </c>
      <c r="N18" s="481">
        <f t="shared" si="12"/>
        <v>2.9490262473607531E-2</v>
      </c>
      <c r="O18" s="481">
        <f t="shared" si="12"/>
        <v>-6.1887870806829004E-2</v>
      </c>
      <c r="P18" s="481">
        <f t="shared" si="12"/>
        <v>-2.5152922766101482E-2</v>
      </c>
      <c r="Q18" s="481">
        <f t="shared" si="12"/>
        <v>-4.229712156252019E-2</v>
      </c>
      <c r="R18" s="481">
        <f t="shared" ref="R18:V18" si="13">+R16/Q16-1</f>
        <v>2.4482488085640686E-2</v>
      </c>
      <c r="S18" s="481">
        <f t="shared" si="13"/>
        <v>5.0540200890274667E-2</v>
      </c>
      <c r="T18" s="481">
        <f t="shared" si="13"/>
        <v>0.12210744585230526</v>
      </c>
      <c r="U18" s="481">
        <f t="shared" si="13"/>
        <v>5.9959009374257688E-2</v>
      </c>
      <c r="V18" s="481">
        <f t="shared" si="13"/>
        <v>-3.4041021468384725E-2</v>
      </c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BN18" s="452"/>
      <c r="BO18" s="452"/>
      <c r="BP18" s="452"/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  <c r="CC18" s="452"/>
      <c r="CD18" s="452"/>
      <c r="CE18" s="452"/>
      <c r="CF18" s="452"/>
      <c r="CG18" s="452"/>
      <c r="CH18" s="452"/>
      <c r="CI18" s="452"/>
      <c r="CJ18" s="452"/>
      <c r="CK18" s="452"/>
      <c r="CL18" s="452"/>
      <c r="CM18" s="452"/>
      <c r="CO18" s="452"/>
      <c r="CP18" s="452"/>
      <c r="CQ18" s="452"/>
      <c r="CR18" s="452"/>
      <c r="CS18" s="452"/>
      <c r="CT18" s="452"/>
      <c r="CU18" s="452"/>
    </row>
    <row r="19" spans="1:123" s="450" customFormat="1" ht="16.5" customHeight="1">
      <c r="B19" s="464" t="s">
        <v>208</v>
      </c>
      <c r="C19" s="482"/>
      <c r="D19" s="481"/>
      <c r="E19" s="481">
        <f>+E17/D17-1</f>
        <v>1.2070755017371981E-2</v>
      </c>
      <c r="F19" s="481">
        <f>+F17/E17-1</f>
        <v>-2.5913805692059366E-3</v>
      </c>
      <c r="G19" s="481">
        <f>+G17/F17-1</f>
        <v>3.2346735835200313E-2</v>
      </c>
      <c r="H19" s="481">
        <f>+H17/G17-1</f>
        <v>5.1747924954224533E-2</v>
      </c>
      <c r="I19" s="481">
        <f>+I17/H17-1</f>
        <v>4.8168419406573237E-2</v>
      </c>
      <c r="J19" s="481">
        <f>+I19</f>
        <v>4.8168419406573237E-2</v>
      </c>
      <c r="K19" s="481">
        <f t="shared" ref="K19:Q19" si="14">+K17/J17-1</f>
        <v>4.4339534938422132E-2</v>
      </c>
      <c r="L19" s="481">
        <f t="shared" si="14"/>
        <v>3.5792817421111955E-3</v>
      </c>
      <c r="M19" s="481">
        <f t="shared" si="14"/>
        <v>6.8808058199625544E-2</v>
      </c>
      <c r="N19" s="481">
        <f t="shared" si="14"/>
        <v>-3.4982139802856471E-2</v>
      </c>
      <c r="O19" s="481">
        <f t="shared" si="14"/>
        <v>2.2615730112288457E-2</v>
      </c>
      <c r="P19" s="481">
        <f t="shared" si="14"/>
        <v>5.0624370598311819E-2</v>
      </c>
      <c r="Q19" s="481">
        <f t="shared" si="14"/>
        <v>1.592001380708008E-2</v>
      </c>
      <c r="R19" s="481">
        <f t="shared" ref="R19:V19" si="15">+R17/Q17-1</f>
        <v>2.5808220546565952E-3</v>
      </c>
      <c r="S19" s="481">
        <f t="shared" si="15"/>
        <v>1.1169695617979203E-2</v>
      </c>
      <c r="T19" s="481">
        <f t="shared" si="15"/>
        <v>-8.8636615172144051E-4</v>
      </c>
      <c r="U19" s="481">
        <f t="shared" si="15"/>
        <v>4.9232322250252203E-3</v>
      </c>
      <c r="V19" s="481">
        <f t="shared" si="15"/>
        <v>1.0738160847618472E-2</v>
      </c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O19" s="452"/>
      <c r="CP19" s="452"/>
      <c r="CQ19" s="452"/>
      <c r="CR19" s="452"/>
      <c r="CS19" s="452"/>
      <c r="CT19" s="452"/>
      <c r="CU19" s="452"/>
    </row>
    <row r="20" spans="1:123" s="450" customFormat="1" ht="16.5" customHeight="1">
      <c r="B20" s="800" t="s">
        <v>521</v>
      </c>
      <c r="C20" s="801"/>
      <c r="D20" s="479">
        <v>1</v>
      </c>
      <c r="E20" s="479">
        <f>D20*((1+E19))</f>
        <v>1.012070755017372</v>
      </c>
      <c r="F20" s="479">
        <f t="shared" ref="F20:K20" si="16">E20*((1+F19))</f>
        <v>1.0094480945281583</v>
      </c>
      <c r="G20" s="479">
        <f t="shared" si="16"/>
        <v>1.0421004453812071</v>
      </c>
      <c r="H20" s="479">
        <f t="shared" si="16"/>
        <v>1.0960269810235577</v>
      </c>
      <c r="I20" s="479">
        <f t="shared" si="16"/>
        <v>1.1488208683264207</v>
      </c>
      <c r="J20" s="479">
        <f>+I20</f>
        <v>1.1488208683264207</v>
      </c>
      <c r="K20" s="479">
        <f t="shared" si="16"/>
        <v>1.1997590513555685</v>
      </c>
      <c r="L20" s="479">
        <f t="shared" ref="L20" si="17">K20*((1+L19))</f>
        <v>1.204053327023018</v>
      </c>
      <c r="M20" s="479">
        <f t="shared" ref="M20" si="18">L20*((1+M19))</f>
        <v>1.2869018984242706</v>
      </c>
      <c r="N20" s="479">
        <f t="shared" ref="N20" si="19">M20*((1+N19))</f>
        <v>1.2418833163010314</v>
      </c>
      <c r="O20" s="479">
        <f t="shared" ref="O20" si="20">N20*((1+O19))</f>
        <v>1.2699694142134492</v>
      </c>
      <c r="P20" s="479">
        <f t="shared" ref="P20" si="21">O20*((1+P19))</f>
        <v>1.3342608164871119</v>
      </c>
      <c r="Q20" s="479">
        <f t="shared" ref="Q20" si="22">P20*((1+Q19))</f>
        <v>1.3555022671078327</v>
      </c>
      <c r="R20" s="479">
        <f t="shared" ref="R20" si="23">Q20*((1+R19))</f>
        <v>1.3590005772539215</v>
      </c>
      <c r="S20" s="479">
        <f t="shared" ref="S20" si="24">R20*((1+S19))</f>
        <v>1.3741802000465058</v>
      </c>
      <c r="T20" s="479">
        <f t="shared" ref="T20" si="25">S20*((1+T19))</f>
        <v>1.3729621732308188</v>
      </c>
      <c r="U20" s="479">
        <f t="shared" ref="U20" si="26">T20*((1+U19))</f>
        <v>1.3797215848458095</v>
      </c>
      <c r="V20" s="479">
        <f t="shared" ref="V20" si="27">U20*((1+V19))</f>
        <v>1.3945372571488148</v>
      </c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</row>
    <row r="21" spans="1:123" s="450" customFormat="1" ht="16.5" customHeight="1" thickBot="1">
      <c r="A21" s="483"/>
      <c r="B21" s="484" t="s">
        <v>522</v>
      </c>
      <c r="C21" s="485"/>
      <c r="D21" s="799">
        <v>1</v>
      </c>
      <c r="E21" s="799">
        <f>D21*((1+E19)/(1+E18))</f>
        <v>1.006816219981584</v>
      </c>
      <c r="F21" s="799">
        <f>E21*((1+F19)/(1+F18))</f>
        <v>1.0014825421636409</v>
      </c>
      <c r="G21" s="799">
        <f>F21*((1+G19)/(1+G18))</f>
        <v>1.0453030460345583</v>
      </c>
      <c r="H21" s="799">
        <f>G21*((1+H19)/(1+H18))</f>
        <v>1.1204525807635333</v>
      </c>
      <c r="I21" s="799">
        <f>H21*((1+I19)/(1+I18))</f>
        <v>1.2161499468903367</v>
      </c>
      <c r="J21" s="799">
        <f>H21*((1+J19)/(1+J18))</f>
        <v>1.2161499468903367</v>
      </c>
      <c r="K21" s="799">
        <f t="shared" ref="K21:Q21" si="28">J21*((1+K19)/(1+K18))</f>
        <v>1.2786534543161794</v>
      </c>
      <c r="L21" s="799">
        <f t="shared" si="28"/>
        <v>1.3429458430934558</v>
      </c>
      <c r="M21" s="799">
        <f t="shared" si="28"/>
        <v>1.5349566098558762</v>
      </c>
      <c r="N21" s="799">
        <f t="shared" si="28"/>
        <v>1.438829095458835</v>
      </c>
      <c r="O21" s="799">
        <f t="shared" si="28"/>
        <v>1.5684364588963371</v>
      </c>
      <c r="P21" s="799">
        <f t="shared" si="28"/>
        <v>1.6903549345678939</v>
      </c>
      <c r="Q21" s="799">
        <f t="shared" si="28"/>
        <v>1.7931087471166935</v>
      </c>
      <c r="R21" s="799">
        <f t="shared" ref="R21:V21" si="29">Q21*((1+R19)/(1+R18))</f>
        <v>1.7547751792975204</v>
      </c>
      <c r="S21" s="799">
        <f t="shared" si="29"/>
        <v>1.6890124551393402</v>
      </c>
      <c r="T21" s="799">
        <f t="shared" si="29"/>
        <v>1.5038803796435942</v>
      </c>
      <c r="U21" s="799">
        <f t="shared" si="29"/>
        <v>1.4257950719088837</v>
      </c>
      <c r="V21" s="799">
        <f t="shared" si="29"/>
        <v>1.4918909816620298</v>
      </c>
      <c r="X21" s="486"/>
      <c r="Y21" s="486"/>
      <c r="AA21" s="476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</row>
    <row r="22" spans="1:123" s="450" customFormat="1" ht="16.5" customHeight="1"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Z22" s="579"/>
      <c r="AA22" s="579"/>
      <c r="AB22" s="579"/>
      <c r="AC22" s="579"/>
      <c r="AD22" s="579"/>
      <c r="AE22" s="579"/>
      <c r="AF22" s="579"/>
      <c r="AG22" s="579"/>
      <c r="AH22" s="579"/>
      <c r="AI22" s="579"/>
      <c r="AJ22" s="579"/>
      <c r="AK22" s="579"/>
      <c r="AO22" s="452"/>
      <c r="AP22" s="452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G22" s="480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</row>
    <row r="23" spans="1:123" customFormat="1" ht="16.5" customHeight="1"/>
    <row r="24" spans="1:123" s="450" customFormat="1" ht="16.5" customHeight="1"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O24" s="452"/>
      <c r="AP24" s="452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G24" s="480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</row>
    <row r="25" spans="1:123" s="450" customFormat="1" ht="16.5" customHeight="1"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AO25" s="452"/>
      <c r="AP25" s="452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G25" s="480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</row>
    <row r="26" spans="1:123" s="450" customFormat="1" ht="16.5" customHeight="1">
      <c r="D26" s="488"/>
      <c r="E26" s="489"/>
      <c r="F26" s="489"/>
      <c r="G26" s="489"/>
      <c r="H26" s="489"/>
      <c r="I26" s="489"/>
      <c r="J26" s="489"/>
      <c r="K26" s="490"/>
      <c r="L26" s="490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O26" s="452"/>
      <c r="AP26" s="452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G26" s="480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</row>
    <row r="27" spans="1:123" s="450" customFormat="1" ht="16.5" customHeight="1" thickBot="1">
      <c r="D27" s="488"/>
      <c r="E27" s="489"/>
      <c r="F27" s="489"/>
      <c r="G27" s="489"/>
      <c r="H27" s="489"/>
      <c r="I27" s="489"/>
      <c r="J27" s="489"/>
      <c r="K27" s="490"/>
      <c r="L27" s="490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G27" s="480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</row>
    <row r="28" spans="1:123" ht="16.5" customHeight="1" thickBot="1">
      <c r="B28" s="830" t="s">
        <v>13</v>
      </c>
      <c r="C28" s="824"/>
      <c r="D28" s="824"/>
      <c r="E28" s="458">
        <v>2001</v>
      </c>
      <c r="F28" s="458">
        <v>2002</v>
      </c>
      <c r="G28" s="458">
        <v>2003</v>
      </c>
      <c r="H28" s="458">
        <v>2004</v>
      </c>
      <c r="I28" s="459">
        <v>2005</v>
      </c>
      <c r="J28" s="458">
        <v>2005</v>
      </c>
      <c r="K28" s="458">
        <v>2006</v>
      </c>
      <c r="L28" s="458">
        <v>2007</v>
      </c>
      <c r="M28" s="458">
        <v>2008</v>
      </c>
      <c r="N28" s="458">
        <v>2009</v>
      </c>
      <c r="O28" s="458">
        <v>2010</v>
      </c>
      <c r="P28" s="458">
        <v>2011</v>
      </c>
      <c r="Q28" s="458">
        <v>2012</v>
      </c>
      <c r="R28" s="458">
        <v>2013</v>
      </c>
      <c r="S28" s="458">
        <v>2014</v>
      </c>
      <c r="T28" s="458">
        <v>2015</v>
      </c>
      <c r="U28" s="458">
        <v>2016</v>
      </c>
      <c r="V28" s="458">
        <v>2017</v>
      </c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</row>
    <row r="29" spans="1:123" ht="16.5" customHeight="1">
      <c r="B29" s="831" t="s">
        <v>35</v>
      </c>
      <c r="C29" s="832"/>
      <c r="D29" s="832"/>
      <c r="E29" s="802">
        <f>+WACC!F28</f>
        <v>15.27165727220123</v>
      </c>
      <c r="F29" s="491">
        <f>+WACC!G28</f>
        <v>15.314324138868869</v>
      </c>
      <c r="G29" s="491">
        <f>+WACC!H28</f>
        <v>12.357991915808508</v>
      </c>
      <c r="H29" s="491">
        <f>+WACC!I28</f>
        <v>8.9423425908777929</v>
      </c>
      <c r="I29" s="491">
        <f>+WACC!J28</f>
        <v>9.0670327549403282</v>
      </c>
      <c r="J29" s="491">
        <f>+I29</f>
        <v>9.0670327549403282</v>
      </c>
      <c r="K29" s="491">
        <f>+WACC!K28</f>
        <v>9.9610539485338183</v>
      </c>
      <c r="L29" s="491">
        <f>+WACC!L28</f>
        <v>8.7670937298786562</v>
      </c>
      <c r="M29" s="491">
        <f>+WACC!M28</f>
        <v>9.0090519312601351</v>
      </c>
      <c r="N29" s="491">
        <f>+WACC!N28</f>
        <v>9.9982808854439398</v>
      </c>
      <c r="O29" s="491">
        <f>+WACC!O28</f>
        <v>9.4057057866002989</v>
      </c>
      <c r="P29" s="491">
        <f>+WACC!P28</f>
        <v>9.2626231698160417</v>
      </c>
      <c r="Q29" s="491">
        <f>+WACC!Q28</f>
        <v>9.1269304712344486</v>
      </c>
      <c r="R29" s="491">
        <f>+WACC!R28</f>
        <v>9.6664361755003867</v>
      </c>
      <c r="S29" s="491">
        <f>+WACC!S28</f>
        <v>10.162578273529926</v>
      </c>
      <c r="T29" s="491">
        <f>+WACC!T28</f>
        <v>10.415401470749279</v>
      </c>
      <c r="U29" s="491">
        <f>+WACC!U28</f>
        <v>10.495377332296908</v>
      </c>
      <c r="V29" s="491">
        <f>+WACC!V28</f>
        <v>9.8499544361801057</v>
      </c>
      <c r="AO29" s="452"/>
      <c r="AP29" s="452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G29" s="480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</row>
    <row r="30" spans="1:123" ht="16.5" customHeight="1" thickBot="1">
      <c r="B30" s="476"/>
      <c r="C30" s="476"/>
      <c r="D30" s="476"/>
      <c r="K30" s="492"/>
      <c r="L30" s="492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AC30" s="452"/>
      <c r="AD30" s="452"/>
      <c r="AE30" s="452"/>
      <c r="AF30" s="452"/>
      <c r="AG30" s="452"/>
      <c r="AH30" s="452"/>
      <c r="AI30" s="452"/>
      <c r="AJ30" s="452"/>
      <c r="AK30" s="452"/>
      <c r="AL30" s="452"/>
      <c r="AM30" s="452"/>
      <c r="AN30" s="452"/>
      <c r="AO30" s="452"/>
      <c r="AP30" s="452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</row>
    <row r="31" spans="1:123" ht="16.5" customHeight="1" thickBot="1">
      <c r="B31" s="830" t="s">
        <v>287</v>
      </c>
      <c r="C31" s="824"/>
      <c r="D31" s="824"/>
      <c r="E31" s="458">
        <v>2001</v>
      </c>
      <c r="F31" s="458">
        <v>2002</v>
      </c>
      <c r="G31" s="458">
        <v>2003</v>
      </c>
      <c r="H31" s="458">
        <v>2004</v>
      </c>
      <c r="I31" s="459">
        <v>2005</v>
      </c>
      <c r="J31" s="458">
        <v>2005</v>
      </c>
      <c r="K31" s="458">
        <v>2006</v>
      </c>
      <c r="L31" s="456">
        <v>2007</v>
      </c>
      <c r="M31" s="458">
        <v>2008</v>
      </c>
      <c r="N31" s="456">
        <v>2009</v>
      </c>
      <c r="O31" s="458">
        <v>2010</v>
      </c>
      <c r="P31" s="456">
        <v>2011</v>
      </c>
      <c r="Q31" s="458">
        <v>2012</v>
      </c>
      <c r="R31" s="456">
        <v>2013</v>
      </c>
      <c r="S31" s="458">
        <v>2014</v>
      </c>
      <c r="T31" s="456">
        <v>2015</v>
      </c>
      <c r="U31" s="458">
        <v>2016</v>
      </c>
      <c r="V31" s="456">
        <v>2017</v>
      </c>
      <c r="AC31" s="452"/>
      <c r="AD31" s="452"/>
      <c r="AE31" s="452"/>
      <c r="AF31" s="452"/>
      <c r="AG31" s="452"/>
      <c r="AI31" s="452"/>
      <c r="AJ31" s="452"/>
      <c r="AK31" s="452"/>
      <c r="AL31" s="452"/>
      <c r="AM31" s="452"/>
      <c r="AN31" s="452"/>
      <c r="AO31" s="452"/>
      <c r="AP31" s="452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</row>
    <row r="32" spans="1:123" ht="16.5" customHeight="1">
      <c r="B32" s="464" t="str">
        <f t="shared" ref="B32:B39" si="30">+B5</f>
        <v>Mejoras Aeropuerto</v>
      </c>
      <c r="C32" s="465"/>
      <c r="D32" s="496"/>
      <c r="E32" s="494">
        <f t="shared" ref="E32:I33" si="31">AVERAGE(D5/D$20,E5/E$20)</f>
        <v>38153856.676416419</v>
      </c>
      <c r="F32" s="494">
        <f t="shared" si="31"/>
        <v>38653774.857022181</v>
      </c>
      <c r="G32" s="494">
        <f t="shared" si="31"/>
        <v>37457805.359847397</v>
      </c>
      <c r="H32" s="494">
        <f t="shared" si="31"/>
        <v>35360073.411392123</v>
      </c>
      <c r="I32" s="494">
        <f t="shared" si="31"/>
        <v>94966479.538340628</v>
      </c>
      <c r="J32" s="494">
        <f>AVERAGE((H5+'INPUT K'!AV6-'INPUT K'!AV7)/H$20,J5/J$20)</f>
        <v>100132769.65783295</v>
      </c>
      <c r="K32" s="494">
        <f t="shared" ref="K32:Q32" si="32">AVERAGE(J5/J$20,K5/K$20)</f>
        <v>162053963.870868</v>
      </c>
      <c r="L32" s="494">
        <f t="shared" si="32"/>
        <v>162382877.39868397</v>
      </c>
      <c r="M32" s="494">
        <f t="shared" si="32"/>
        <v>153214457.6743452</v>
      </c>
      <c r="N32" s="494">
        <f t="shared" si="32"/>
        <v>166705267.10845447</v>
      </c>
      <c r="O32" s="494">
        <f t="shared" si="32"/>
        <v>184298270.69748354</v>
      </c>
      <c r="P32" s="494">
        <f t="shared" si="32"/>
        <v>173674017.51844472</v>
      </c>
      <c r="Q32" s="494">
        <f t="shared" si="32"/>
        <v>172912638.13333187</v>
      </c>
      <c r="R32" s="494">
        <f t="shared" ref="R32:U32" si="33">AVERAGE(Q5/Q$20,R5/R$20)</f>
        <v>177609893.97786027</v>
      </c>
      <c r="S32" s="494">
        <f t="shared" si="33"/>
        <v>176306170.92571384</v>
      </c>
      <c r="T32" s="494">
        <f t="shared" si="33"/>
        <v>175152555.68278727</v>
      </c>
      <c r="U32" s="494">
        <f t="shared" si="33"/>
        <v>171340357.241391</v>
      </c>
      <c r="V32" s="494">
        <f>AVERAGE(U5/U$20,V5/V$20)</f>
        <v>164710812.75790033</v>
      </c>
      <c r="Y32" s="409"/>
      <c r="Z32" s="452"/>
      <c r="AA32" s="452"/>
      <c r="AB32" s="452"/>
      <c r="AC32" s="452"/>
      <c r="AD32" s="452"/>
      <c r="AE32" s="452"/>
      <c r="AF32" s="452"/>
      <c r="AG32" s="452"/>
      <c r="AH32" s="452"/>
      <c r="AI32" s="452"/>
      <c r="AK32" s="452"/>
      <c r="AL32" s="452"/>
      <c r="AM32" s="452"/>
      <c r="AN32" s="452"/>
      <c r="AO32" s="452"/>
      <c r="AP32" s="452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</row>
    <row r="33" spans="1:83" ht="16.5" customHeight="1">
      <c r="B33" s="464" t="str">
        <f t="shared" si="30"/>
        <v>Costos Concesion</v>
      </c>
      <c r="C33" s="465"/>
      <c r="D33" s="496"/>
      <c r="E33" s="810">
        <f t="shared" si="31"/>
        <v>1876542.7126361346</v>
      </c>
      <c r="F33" s="810">
        <f t="shared" si="31"/>
        <v>3856226.0110304225</v>
      </c>
      <c r="G33" s="810">
        <f t="shared" si="31"/>
        <v>3807879.810970461</v>
      </c>
      <c r="H33" s="810">
        <f t="shared" si="31"/>
        <v>3526093.8261338845</v>
      </c>
      <c r="I33" s="810">
        <f t="shared" si="31"/>
        <v>3257947.4334203494</v>
      </c>
      <c r="J33" s="810">
        <f>AVERAGE(H6/H$20,J6/J$20)</f>
        <v>3257947.4334203494</v>
      </c>
      <c r="K33" s="810">
        <f t="shared" ref="K33:V33" si="34">AVERAGE(J6/J$20,K6/K$20)</f>
        <v>2997001.1460308637</v>
      </c>
      <c r="L33" s="810">
        <f t="shared" si="34"/>
        <v>2811686.8147338061</v>
      </c>
      <c r="M33" s="810">
        <f t="shared" si="34"/>
        <v>2607553.4586168779</v>
      </c>
      <c r="N33" s="810">
        <f t="shared" si="34"/>
        <v>2454974.0353696728</v>
      </c>
      <c r="O33" s="810">
        <f t="shared" si="34"/>
        <v>2363156.915239065</v>
      </c>
      <c r="P33" s="810">
        <f t="shared" si="34"/>
        <v>2175502.9372680821</v>
      </c>
      <c r="Q33" s="810">
        <f t="shared" si="34"/>
        <v>2002081.8830264395</v>
      </c>
      <c r="R33" s="810">
        <f t="shared" si="34"/>
        <v>1882087.1278327494</v>
      </c>
      <c r="S33" s="810">
        <f t="shared" si="34"/>
        <v>1768890.9218854769</v>
      </c>
      <c r="T33" s="810">
        <f t="shared" si="34"/>
        <v>1659457.7641427834</v>
      </c>
      <c r="U33" s="810">
        <f t="shared" si="34"/>
        <v>1556383.2974268105</v>
      </c>
      <c r="V33" s="810">
        <f t="shared" si="34"/>
        <v>1445343.4893816323</v>
      </c>
      <c r="Y33" s="409"/>
      <c r="Z33" s="452"/>
      <c r="AA33" s="452"/>
      <c r="AB33" s="452"/>
      <c r="AC33" s="452"/>
      <c r="AD33" s="452"/>
      <c r="AE33" s="452"/>
      <c r="AF33" s="452"/>
      <c r="AG33" s="452"/>
      <c r="AH33" s="452"/>
      <c r="AI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</row>
    <row r="34" spans="1:83" ht="16.5" customHeight="1">
      <c r="B34" s="464" t="str">
        <f t="shared" si="30"/>
        <v>Otros</v>
      </c>
      <c r="C34" s="465"/>
      <c r="D34" s="496"/>
      <c r="E34" s="494">
        <f>AVERAGE(D7/D$21,E7/E$21)</f>
        <v>311268.04283253069</v>
      </c>
      <c r="F34" s="494">
        <f t="shared" ref="E34:I39" si="35">AVERAGE(E7/E$21,F7/F$21)</f>
        <v>603385.70893293538</v>
      </c>
      <c r="G34" s="494">
        <f t="shared" si="35"/>
        <v>637626.82040610374</v>
      </c>
      <c r="H34" s="494">
        <f t="shared" si="35"/>
        <v>638402.22772462631</v>
      </c>
      <c r="I34" s="494">
        <f t="shared" si="35"/>
        <v>695996.18568312097</v>
      </c>
      <c r="J34" s="494">
        <f t="shared" ref="J34:J39" si="36">AVERAGE(H7/H$21,J7/J$21)</f>
        <v>695996.18568312097</v>
      </c>
      <c r="K34" s="494">
        <f t="shared" ref="K34:Q39" si="37">AVERAGE(J7/J$21,K7/K$21)</f>
        <v>962476.61157200136</v>
      </c>
      <c r="L34" s="494">
        <f t="shared" si="37"/>
        <v>1022799.3991048525</v>
      </c>
      <c r="M34" s="494">
        <f t="shared" si="37"/>
        <v>900550.25235363888</v>
      </c>
      <c r="N34" s="494">
        <f t="shared" si="37"/>
        <v>937133.66229863884</v>
      </c>
      <c r="O34" s="494">
        <f t="shared" si="37"/>
        <v>947486.1376668656</v>
      </c>
      <c r="P34" s="494">
        <f t="shared" si="37"/>
        <v>827426.61649640184</v>
      </c>
      <c r="Q34" s="494">
        <f t="shared" si="37"/>
        <v>858810.8734782848</v>
      </c>
      <c r="R34" s="494">
        <f t="shared" ref="R34:R39" si="38">AVERAGE(Q7/Q$21,R7/R$21)</f>
        <v>962997.17824949627</v>
      </c>
      <c r="S34" s="494">
        <f t="shared" ref="S34:S39" si="39">AVERAGE(R7/R$21,S7/S$21)</f>
        <v>1022557.226492445</v>
      </c>
      <c r="T34" s="494">
        <f t="shared" ref="T34:T39" si="40">AVERAGE(S7/S$21,T7/T$21)</f>
        <v>1147412.3883032359</v>
      </c>
      <c r="U34" s="494">
        <f t="shared" ref="U34:U39" si="41">AVERAGE(T7/T$21,U7/U$21)</f>
        <v>1228926.0672557298</v>
      </c>
      <c r="V34" s="494">
        <f t="shared" ref="V34:V39" si="42">AVERAGE(U7/U$21,V7/V$21)</f>
        <v>1300681.6042495044</v>
      </c>
      <c r="Y34" s="409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K34" s="452"/>
      <c r="AL34" s="452"/>
      <c r="AM34" s="452"/>
      <c r="AN34" s="452"/>
      <c r="AO34" s="452"/>
      <c r="AP34" s="452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</row>
    <row r="35" spans="1:83" ht="16.5" customHeight="1">
      <c r="B35" s="464" t="str">
        <f t="shared" si="30"/>
        <v>Equipos de Seguridad y Rescate</v>
      </c>
      <c r="C35" s="497"/>
      <c r="D35" s="498"/>
      <c r="E35" s="494">
        <f t="shared" si="35"/>
        <v>0</v>
      </c>
      <c r="F35" s="494">
        <f t="shared" si="35"/>
        <v>1639569.2694278634</v>
      </c>
      <c r="G35" s="494">
        <f t="shared" si="35"/>
        <v>3081543.4468858405</v>
      </c>
      <c r="H35" s="494">
        <f t="shared" si="35"/>
        <v>2676876.9513505683</v>
      </c>
      <c r="I35" s="494">
        <f t="shared" si="35"/>
        <v>2231613.7494589146</v>
      </c>
      <c r="J35" s="494">
        <f t="shared" si="36"/>
        <v>2231613.7494589146</v>
      </c>
      <c r="K35" s="495">
        <f t="shared" si="37"/>
        <v>1899731.2553007598</v>
      </c>
      <c r="L35" s="495">
        <f t="shared" si="37"/>
        <v>1628105.364146315</v>
      </c>
      <c r="M35" s="495">
        <f t="shared" si="37"/>
        <v>1111187.2036474484</v>
      </c>
      <c r="N35" s="495">
        <f t="shared" si="37"/>
        <v>726205.05539696896</v>
      </c>
      <c r="O35" s="495">
        <f t="shared" si="37"/>
        <v>585283.41371201409</v>
      </c>
      <c r="P35" s="495">
        <f t="shared" si="37"/>
        <v>430230.37068442651</v>
      </c>
      <c r="Q35" s="495">
        <f t="shared" si="37"/>
        <v>257912.17781681457</v>
      </c>
      <c r="R35" s="495">
        <f t="shared" si="38"/>
        <v>155379.97795124652</v>
      </c>
      <c r="S35" s="495">
        <f t="shared" si="39"/>
        <v>294919.91618163418</v>
      </c>
      <c r="T35" s="495">
        <f t="shared" si="40"/>
        <v>513190.77373363776</v>
      </c>
      <c r="U35" s="495">
        <f t="shared" si="41"/>
        <v>1446359.9110952108</v>
      </c>
      <c r="V35" s="495">
        <f t="shared" si="42"/>
        <v>2158078.3186032344</v>
      </c>
      <c r="Y35" s="409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</row>
    <row r="36" spans="1:83" ht="16.5" customHeight="1">
      <c r="B36" s="464" t="str">
        <f t="shared" si="30"/>
        <v>Equipos de Computo</v>
      </c>
      <c r="C36" s="497"/>
      <c r="D36" s="498"/>
      <c r="E36" s="494">
        <f t="shared" si="35"/>
        <v>189383.40675299551</v>
      </c>
      <c r="F36" s="494">
        <f t="shared" si="35"/>
        <v>424200.99406475568</v>
      </c>
      <c r="G36" s="494">
        <f t="shared" si="35"/>
        <v>452895.15220733447</v>
      </c>
      <c r="H36" s="494">
        <f t="shared" si="35"/>
        <v>463847.51192976104</v>
      </c>
      <c r="I36" s="494">
        <f t="shared" si="35"/>
        <v>405528.20751579467</v>
      </c>
      <c r="J36" s="494">
        <f t="shared" si="36"/>
        <v>405528.20751579467</v>
      </c>
      <c r="K36" s="495">
        <f t="shared" si="37"/>
        <v>282641.43846045289</v>
      </c>
      <c r="L36" s="495">
        <f t="shared" si="37"/>
        <v>219499.13659495924</v>
      </c>
      <c r="M36" s="495">
        <f t="shared" si="37"/>
        <v>223329.63817625667</v>
      </c>
      <c r="N36" s="495">
        <f t="shared" si="37"/>
        <v>264846.83284935891</v>
      </c>
      <c r="O36" s="495">
        <f t="shared" si="37"/>
        <v>299519.99083959882</v>
      </c>
      <c r="P36" s="495">
        <f t="shared" si="37"/>
        <v>299671.40443026868</v>
      </c>
      <c r="Q36" s="495">
        <f t="shared" si="37"/>
        <v>258745.74936384149</v>
      </c>
      <c r="R36" s="495">
        <f t="shared" si="38"/>
        <v>210429.97270994924</v>
      </c>
      <c r="S36" s="495">
        <f t="shared" si="39"/>
        <v>210527.40385871686</v>
      </c>
      <c r="T36" s="495">
        <f t="shared" si="40"/>
        <v>216726.50168926793</v>
      </c>
      <c r="U36" s="495">
        <f t="shared" si="41"/>
        <v>318762.99043341901</v>
      </c>
      <c r="V36" s="495">
        <f t="shared" si="42"/>
        <v>423765.9678684313</v>
      </c>
      <c r="Y36" s="409"/>
      <c r="Z36" s="409"/>
      <c r="AA36" s="452"/>
      <c r="AB36" s="452"/>
      <c r="AC36" s="452"/>
      <c r="AD36" s="452"/>
      <c r="AE36" s="452"/>
      <c r="AF36" s="452"/>
      <c r="AG36" s="452"/>
      <c r="AH36" s="409"/>
      <c r="AI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</row>
    <row r="37" spans="1:83" ht="16.5" customHeight="1">
      <c r="B37" s="464" t="str">
        <f t="shared" si="30"/>
        <v>Equipos Diversos</v>
      </c>
      <c r="C37" s="497"/>
      <c r="D37" s="498"/>
      <c r="E37" s="494">
        <f t="shared" si="35"/>
        <v>182855.89967715577</v>
      </c>
      <c r="F37" s="494">
        <f t="shared" si="35"/>
        <v>424100.80108191702</v>
      </c>
      <c r="G37" s="494">
        <f t="shared" si="35"/>
        <v>515903.31712503533</v>
      </c>
      <c r="H37" s="494">
        <f t="shared" si="35"/>
        <v>535222.76713713678</v>
      </c>
      <c r="I37" s="494">
        <f t="shared" si="35"/>
        <v>471885.92577182635</v>
      </c>
      <c r="J37" s="494">
        <f t="shared" si="36"/>
        <v>471885.92577182635</v>
      </c>
      <c r="K37" s="495">
        <f t="shared" si="37"/>
        <v>809878.93974091858</v>
      </c>
      <c r="L37" s="495">
        <f t="shared" si="37"/>
        <v>1146715.1098486895</v>
      </c>
      <c r="M37" s="495">
        <f t="shared" si="37"/>
        <v>1115075.9753279004</v>
      </c>
      <c r="N37" s="495">
        <f t="shared" si="37"/>
        <v>1144501.4961506384</v>
      </c>
      <c r="O37" s="495">
        <f t="shared" si="37"/>
        <v>1101475.9125844454</v>
      </c>
      <c r="P37" s="495">
        <f t="shared" si="37"/>
        <v>956843.7601296521</v>
      </c>
      <c r="Q37" s="495">
        <f t="shared" si="37"/>
        <v>1121838.5001607973</v>
      </c>
      <c r="R37" s="495">
        <f t="shared" si="38"/>
        <v>1345723.6667567589</v>
      </c>
      <c r="S37" s="495">
        <f t="shared" si="39"/>
        <v>1304256.0167250189</v>
      </c>
      <c r="T37" s="495">
        <f t="shared" si="40"/>
        <v>1756849.7309228755</v>
      </c>
      <c r="U37" s="495">
        <f t="shared" si="41"/>
        <v>2263557.9832779504</v>
      </c>
      <c r="V37" s="495">
        <f t="shared" si="42"/>
        <v>2426841.628477593</v>
      </c>
      <c r="Y37" s="409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K37" s="452"/>
      <c r="AL37" s="452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</row>
    <row r="38" spans="1:83" ht="16.5" customHeight="1">
      <c r="B38" s="464" t="str">
        <f t="shared" si="30"/>
        <v>Unidades de Transporte</v>
      </c>
      <c r="C38" s="497"/>
      <c r="D38" s="498"/>
      <c r="E38" s="494">
        <f t="shared" si="35"/>
        <v>518080.40623594192</v>
      </c>
      <c r="F38" s="494">
        <f t="shared" si="35"/>
        <v>586340.9382623944</v>
      </c>
      <c r="G38" s="494">
        <f t="shared" si="35"/>
        <v>466747.87923280487</v>
      </c>
      <c r="H38" s="494">
        <f t="shared" si="35"/>
        <v>329170.79056984861</v>
      </c>
      <c r="I38" s="494">
        <f t="shared" si="35"/>
        <v>197265.04808390272</v>
      </c>
      <c r="J38" s="494">
        <f t="shared" si="36"/>
        <v>197265.04808390272</v>
      </c>
      <c r="K38" s="495">
        <f t="shared" si="37"/>
        <v>134173.47221777035</v>
      </c>
      <c r="L38" s="495">
        <f t="shared" si="37"/>
        <v>158796.44378469413</v>
      </c>
      <c r="M38" s="495">
        <f t="shared" si="37"/>
        <v>143365.21988305793</v>
      </c>
      <c r="N38" s="495">
        <f t="shared" si="37"/>
        <v>104300.07394978771</v>
      </c>
      <c r="O38" s="495">
        <f t="shared" si="37"/>
        <v>89505.949559041328</v>
      </c>
      <c r="P38" s="495">
        <f t="shared" si="37"/>
        <v>69166.268384878669</v>
      </c>
      <c r="Q38" s="495">
        <f t="shared" si="37"/>
        <v>48742.538584534923</v>
      </c>
      <c r="R38" s="495">
        <f t="shared" si="38"/>
        <v>498798.23324043944</v>
      </c>
      <c r="S38" s="495">
        <f t="shared" si="39"/>
        <v>906115.3756499961</v>
      </c>
      <c r="T38" s="495">
        <f t="shared" si="40"/>
        <v>799568.83064381732</v>
      </c>
      <c r="U38" s="495">
        <f t="shared" si="41"/>
        <v>859882.95370518311</v>
      </c>
      <c r="V38" s="495">
        <f t="shared" si="42"/>
        <v>799427.85384637711</v>
      </c>
      <c r="Y38" s="409"/>
      <c r="Z38" s="409"/>
      <c r="AA38" s="452"/>
      <c r="AB38" s="452"/>
      <c r="AC38" s="452"/>
      <c r="AD38" s="452"/>
      <c r="AE38" s="452"/>
      <c r="AF38" s="452"/>
      <c r="AG38" s="452"/>
      <c r="AH38" s="452"/>
      <c r="AI38" s="452"/>
      <c r="AJ38" s="499"/>
      <c r="AK38" s="499"/>
      <c r="AL38" s="452"/>
      <c r="AM38" s="452"/>
      <c r="AN38" s="452"/>
      <c r="AO38" s="452"/>
      <c r="AP38" s="452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</row>
    <row r="39" spans="1:83" ht="16.5" customHeight="1" thickBot="1">
      <c r="B39" s="484" t="str">
        <f t="shared" si="30"/>
        <v>Muebles y Enseres</v>
      </c>
      <c r="C39" s="500"/>
      <c r="D39" s="501"/>
      <c r="E39" s="494">
        <f t="shared" si="35"/>
        <v>382727.59307293186</v>
      </c>
      <c r="F39" s="494">
        <f t="shared" si="35"/>
        <v>363609.66256773088</v>
      </c>
      <c r="G39" s="494">
        <f t="shared" si="35"/>
        <v>342344.53975093394</v>
      </c>
      <c r="H39" s="494">
        <f t="shared" si="35"/>
        <v>297308.68280744797</v>
      </c>
      <c r="I39" s="494">
        <f t="shared" si="35"/>
        <v>249586.55165351043</v>
      </c>
      <c r="J39" s="494">
        <f t="shared" si="36"/>
        <v>249586.55165351043</v>
      </c>
      <c r="K39" s="495">
        <f t="shared" si="37"/>
        <v>606099.06403373368</v>
      </c>
      <c r="L39" s="495">
        <f t="shared" si="37"/>
        <v>913231.88538961019</v>
      </c>
      <c r="M39" s="495">
        <f t="shared" si="37"/>
        <v>774350.88672629534</v>
      </c>
      <c r="N39" s="495">
        <f t="shared" si="37"/>
        <v>720223.79379425768</v>
      </c>
      <c r="O39" s="495">
        <f t="shared" si="37"/>
        <v>655414.60391109157</v>
      </c>
      <c r="P39" s="495">
        <f t="shared" si="37"/>
        <v>540827.73715079215</v>
      </c>
      <c r="Q39" s="495">
        <f t="shared" si="37"/>
        <v>493621.42174497939</v>
      </c>
      <c r="R39" s="495">
        <f t="shared" si="38"/>
        <v>461637.80636198155</v>
      </c>
      <c r="S39" s="495">
        <f t="shared" si="39"/>
        <v>605963.16090554325</v>
      </c>
      <c r="T39" s="495">
        <f t="shared" si="40"/>
        <v>766490.41209022154</v>
      </c>
      <c r="U39" s="495">
        <f t="shared" si="41"/>
        <v>739191.19446658134</v>
      </c>
      <c r="V39" s="495">
        <f t="shared" si="42"/>
        <v>698042.55256402853</v>
      </c>
      <c r="Y39" s="409"/>
      <c r="Z39" s="409"/>
      <c r="AA39" s="452"/>
      <c r="AB39" s="452"/>
      <c r="AC39" s="452"/>
      <c r="AD39" s="452"/>
      <c r="AE39" s="452"/>
      <c r="AF39" s="452"/>
      <c r="AG39" s="452"/>
      <c r="AH39" s="452"/>
      <c r="AI39" s="452"/>
      <c r="AJ39" s="499"/>
      <c r="AK39" s="499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</row>
    <row r="40" spans="1:83" ht="16.5" customHeight="1" thickBot="1">
      <c r="B40" s="473" t="s">
        <v>12</v>
      </c>
      <c r="C40" s="474"/>
      <c r="D40" s="475"/>
      <c r="E40" s="475">
        <f t="shared" ref="E40:V40" si="43">SUM(E32:E39)</f>
        <v>41614714.737624109</v>
      </c>
      <c r="F40" s="475">
        <f t="shared" si="43"/>
        <v>46551208.2423902</v>
      </c>
      <c r="G40" s="475">
        <f t="shared" si="43"/>
        <v>46762746.32642591</v>
      </c>
      <c r="H40" s="475">
        <f t="shared" si="43"/>
        <v>43826996.169045396</v>
      </c>
      <c r="I40" s="475">
        <f t="shared" si="43"/>
        <v>102476302.63992803</v>
      </c>
      <c r="J40" s="475">
        <f t="shared" si="43"/>
        <v>107642592.75942035</v>
      </c>
      <c r="K40" s="475">
        <f t="shared" si="43"/>
        <v>169745965.79822451</v>
      </c>
      <c r="L40" s="475">
        <f t="shared" si="43"/>
        <v>170283711.55228686</v>
      </c>
      <c r="M40" s="475">
        <f t="shared" si="43"/>
        <v>160089870.30907667</v>
      </c>
      <c r="N40" s="475">
        <f t="shared" si="43"/>
        <v>173057452.05826378</v>
      </c>
      <c r="O40" s="475">
        <f t="shared" si="43"/>
        <v>190340113.62099567</v>
      </c>
      <c r="P40" s="475">
        <f t="shared" si="43"/>
        <v>178973686.61298922</v>
      </c>
      <c r="Q40" s="475">
        <f t="shared" si="43"/>
        <v>177954391.27750754</v>
      </c>
      <c r="R40" s="475">
        <f t="shared" si="43"/>
        <v>183126947.94096288</v>
      </c>
      <c r="S40" s="475">
        <f t="shared" si="43"/>
        <v>182419400.94741267</v>
      </c>
      <c r="T40" s="475">
        <f t="shared" si="43"/>
        <v>182012252.08431309</v>
      </c>
      <c r="U40" s="475">
        <f t="shared" si="43"/>
        <v>179753421.63905191</v>
      </c>
      <c r="V40" s="475">
        <f t="shared" si="43"/>
        <v>173962994.17289114</v>
      </c>
      <c r="Y40" s="409"/>
      <c r="Z40" s="409"/>
      <c r="AJ40" s="502"/>
      <c r="AK40" s="502"/>
      <c r="AO40" s="452"/>
      <c r="AP40" s="452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</row>
    <row r="41" spans="1:83" ht="16.5" customHeight="1">
      <c r="B41" s="486"/>
      <c r="C41" s="450"/>
      <c r="D41" s="503"/>
      <c r="E41" s="504"/>
      <c r="F41" s="505"/>
      <c r="G41" s="505"/>
      <c r="H41" s="506"/>
      <c r="I41" s="506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AM41"/>
      <c r="AN41"/>
      <c r="AO41"/>
      <c r="AP41"/>
      <c r="AQ41"/>
      <c r="AR41"/>
      <c r="AS41"/>
      <c r="AT41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</row>
    <row r="42" spans="1:83" ht="16.5" customHeight="1">
      <c r="B42" s="450"/>
      <c r="C42" s="450"/>
      <c r="D42" s="450"/>
      <c r="E42" s="507"/>
      <c r="F42" s="508"/>
      <c r="G42" s="508"/>
      <c r="H42" s="509"/>
      <c r="I42" s="509"/>
      <c r="J42" s="503"/>
      <c r="Z42" s="400" t="s">
        <v>238</v>
      </c>
      <c r="AM42"/>
      <c r="AN42"/>
      <c r="AO42"/>
      <c r="AP42"/>
      <c r="AQ42"/>
      <c r="AR42"/>
      <c r="AS42"/>
      <c r="AT4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</row>
    <row r="43" spans="1:83" ht="16.5" customHeight="1" thickBot="1">
      <c r="B43" s="476"/>
      <c r="C43" s="476"/>
      <c r="D43" s="476"/>
      <c r="F43" s="510"/>
      <c r="H43" s="509"/>
    </row>
    <row r="44" spans="1:83" ht="16.5" customHeight="1" thickBot="1">
      <c r="A44" s="511"/>
      <c r="B44" s="830" t="s">
        <v>14</v>
      </c>
      <c r="C44" s="824"/>
      <c r="D44" s="824"/>
      <c r="E44" s="458">
        <v>2001</v>
      </c>
      <c r="F44" s="458">
        <v>2002</v>
      </c>
      <c r="G44" s="458">
        <v>2003</v>
      </c>
      <c r="H44" s="458">
        <v>2004</v>
      </c>
      <c r="I44" s="459">
        <v>2005</v>
      </c>
      <c r="J44" s="458">
        <v>2005</v>
      </c>
      <c r="K44" s="458">
        <v>2006</v>
      </c>
      <c r="L44" s="456">
        <v>2007</v>
      </c>
      <c r="M44" s="458">
        <v>2008</v>
      </c>
      <c r="N44" s="456">
        <v>2009</v>
      </c>
      <c r="O44" s="458">
        <v>2010</v>
      </c>
      <c r="P44" s="456">
        <v>2011</v>
      </c>
      <c r="Q44" s="458">
        <v>2012</v>
      </c>
      <c r="R44" s="456">
        <v>2013</v>
      </c>
      <c r="S44" s="458">
        <v>2014</v>
      </c>
      <c r="T44" s="456">
        <v>2015</v>
      </c>
      <c r="U44" s="458">
        <v>2016</v>
      </c>
      <c r="V44" s="456">
        <v>2017</v>
      </c>
      <c r="Z44" s="833" t="s">
        <v>14</v>
      </c>
      <c r="AA44" s="834"/>
      <c r="AB44" s="835"/>
      <c r="AC44" s="512">
        <v>2001</v>
      </c>
      <c r="AD44" s="512">
        <v>2002</v>
      </c>
      <c r="AE44" s="512">
        <v>2003</v>
      </c>
      <c r="AF44" s="512">
        <v>2004</v>
      </c>
      <c r="AG44" s="513">
        <v>2005</v>
      </c>
      <c r="AH44" s="512">
        <v>2005</v>
      </c>
      <c r="AI44" s="512">
        <v>2006</v>
      </c>
      <c r="AJ44" s="512">
        <v>2007</v>
      </c>
      <c r="AK44" s="512">
        <v>2008</v>
      </c>
      <c r="AL44" s="512">
        <v>2009</v>
      </c>
      <c r="AM44" s="512">
        <v>2010</v>
      </c>
      <c r="AN44" s="512">
        <v>2011</v>
      </c>
      <c r="AO44" s="512">
        <v>2012</v>
      </c>
      <c r="AP44" s="512">
        <v>2013</v>
      </c>
      <c r="AQ44" s="512">
        <v>2014</v>
      </c>
      <c r="AR44" s="512">
        <v>2015</v>
      </c>
      <c r="AS44" s="512">
        <v>2016</v>
      </c>
      <c r="AT44" s="512">
        <v>2017</v>
      </c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1:83" ht="16.5" customHeight="1">
      <c r="B45" s="517" t="str">
        <f t="shared" ref="B45:B52" si="44">+B5</f>
        <v>Mejoras Aeropuerto</v>
      </c>
      <c r="C45" s="518"/>
      <c r="D45" s="519"/>
      <c r="E45" s="514">
        <f t="shared" ref="E45:Q52" si="45">+AC45/(1-AC$79)</f>
        <v>0.1755448092569635</v>
      </c>
      <c r="F45" s="514">
        <f t="shared" si="45"/>
        <v>0.23540669635804198</v>
      </c>
      <c r="G45" s="514">
        <f t="shared" si="45"/>
        <v>0.14396216486091434</v>
      </c>
      <c r="H45" s="514">
        <f t="shared" si="45"/>
        <v>0.14359465832470034</v>
      </c>
      <c r="I45" s="514">
        <f t="shared" si="45"/>
        <v>9.9985535298253964E-2</v>
      </c>
      <c r="J45" s="514">
        <f t="shared" si="45"/>
        <v>9.934245850440028E-2</v>
      </c>
      <c r="K45" s="514">
        <f t="shared" si="45"/>
        <v>0.12481669436050084</v>
      </c>
      <c r="L45" s="514">
        <f t="shared" si="45"/>
        <v>0.16318898971321899</v>
      </c>
      <c r="M45" s="514">
        <f t="shared" si="45"/>
        <v>9.0965209748999729E-2</v>
      </c>
      <c r="N45" s="514">
        <f t="shared" si="45"/>
        <v>0.25185717473794572</v>
      </c>
      <c r="O45" s="514">
        <f t="shared" si="45"/>
        <v>0.17555732993579573</v>
      </c>
      <c r="P45" s="514">
        <f t="shared" si="45"/>
        <v>0.16763517935404798</v>
      </c>
      <c r="Q45" s="514">
        <f t="shared" si="45"/>
        <v>0.19842317643422491</v>
      </c>
      <c r="R45" s="514">
        <f t="shared" ref="R45:R52" si="46">+AP45/(1-AP$79)</f>
        <v>0.23437214217616242</v>
      </c>
      <c r="S45" s="514">
        <f t="shared" ref="S45:S52" si="47">+AQ45/(1-AQ$79)</f>
        <v>0.23932588666885629</v>
      </c>
      <c r="T45" s="514">
        <f t="shared" ref="T45:T52" si="48">+AR45/(1-AR$79)</f>
        <v>0.27106166423369604</v>
      </c>
      <c r="U45" s="514">
        <f t="shared" ref="U45:U52" si="49">+AS45/(1-AS$79)</f>
        <v>0.28262805591531331</v>
      </c>
      <c r="V45" s="514">
        <f t="shared" ref="V45:V52" si="50">+AT45/(1-AT$79)</f>
        <v>0.27109620750759172</v>
      </c>
      <c r="Y45" s="520"/>
      <c r="Z45" s="521" t="str">
        <f t="shared" ref="Z45:Z52" si="51">+Z5</f>
        <v>Mejoras Aeropuerto</v>
      </c>
      <c r="AA45" s="497"/>
      <c r="AB45" s="498"/>
      <c r="AC45" s="516">
        <f t="shared" ref="AC45:AG46" si="52">+((E$29/100)*D$20)+AA5*E$20-(E$20-D$20)</f>
        <v>0.1755448092569635</v>
      </c>
      <c r="AD45" s="516">
        <f t="shared" si="52"/>
        <v>0.1924230114110011</v>
      </c>
      <c r="AE45" s="516">
        <f t="shared" si="52"/>
        <v>0.12802966117961745</v>
      </c>
      <c r="AF45" s="516">
        <f t="shared" si="52"/>
        <v>7.7055690153098766E-2</v>
      </c>
      <c r="AG45" s="516">
        <f t="shared" si="52"/>
        <v>8.6197750770437592E-2</v>
      </c>
      <c r="AH45" s="516">
        <f>+((J$29/100)*H$20)+AF5*J$20-(J$20-H$20)</f>
        <v>8.6197750770437592E-2</v>
      </c>
      <c r="AI45" s="516">
        <f t="shared" ref="AI45:AT46" si="53">+((K$29/100)*J$20)+AG5*K$20-(K$20-J$20)</f>
        <v>0.10486748520774333</v>
      </c>
      <c r="AJ45" s="516">
        <f t="shared" si="53"/>
        <v>0.14240880513976917</v>
      </c>
      <c r="AK45" s="516">
        <f t="shared" si="53"/>
        <v>7.0001145642187956E-2</v>
      </c>
      <c r="AL45" s="516">
        <f t="shared" si="53"/>
        <v>0.21651021127887823</v>
      </c>
      <c r="AM45" s="516">
        <f t="shared" si="53"/>
        <v>0.13251384179771303</v>
      </c>
      <c r="AN45" s="516">
        <f t="shared" si="53"/>
        <v>9.9350072608818674E-2</v>
      </c>
      <c r="AO45" s="522">
        <f t="shared" si="53"/>
        <v>0.14727706389145995</v>
      </c>
      <c r="AP45" s="522">
        <f t="shared" si="53"/>
        <v>0.17439254023217549</v>
      </c>
      <c r="AQ45" s="522">
        <f t="shared" si="53"/>
        <v>0.17031539874810375</v>
      </c>
      <c r="AR45" s="522">
        <f t="shared" si="53"/>
        <v>0.19168793479693191</v>
      </c>
      <c r="AS45" s="522">
        <f t="shared" si="53"/>
        <v>0.1849147554692811</v>
      </c>
      <c r="AT45" s="522">
        <f t="shared" si="53"/>
        <v>0.16917376677627019</v>
      </c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T45" s="523"/>
      <c r="BU45" s="524"/>
      <c r="BV45" s="524"/>
      <c r="BW45" s="524"/>
      <c r="BX45" s="524"/>
      <c r="BY45" s="524"/>
      <c r="BZ45" s="524"/>
      <c r="CA45" s="524"/>
      <c r="CB45" s="524"/>
      <c r="CC45" s="524"/>
      <c r="CD45" s="524"/>
      <c r="CE45" s="524"/>
    </row>
    <row r="46" spans="1:83" ht="16.5" customHeight="1">
      <c r="B46" s="517" t="str">
        <f t="shared" si="44"/>
        <v>Costos Concesion</v>
      </c>
      <c r="C46" s="518"/>
      <c r="D46" s="519"/>
      <c r="E46" s="514">
        <f t="shared" si="45"/>
        <v>0.17438150953855272</v>
      </c>
      <c r="F46" s="514">
        <f t="shared" si="45"/>
        <v>0.23398722528861171</v>
      </c>
      <c r="G46" s="514">
        <f t="shared" si="45"/>
        <v>0.14261528734977325</v>
      </c>
      <c r="H46" s="514">
        <f t="shared" si="45"/>
        <v>0.14124699636596272</v>
      </c>
      <c r="I46" s="514">
        <f t="shared" si="45"/>
        <v>9.8453833205265198E-2</v>
      </c>
      <c r="J46" s="514">
        <f t="shared" si="45"/>
        <v>9.7820607857104724E-2</v>
      </c>
      <c r="K46" s="514">
        <f t="shared" si="45"/>
        <v>0.12317532392898455</v>
      </c>
      <c r="L46" s="514">
        <f t="shared" si="45"/>
        <v>0.16160307261773874</v>
      </c>
      <c r="M46" s="514">
        <f t="shared" si="45"/>
        <v>8.9043019514963379E-2</v>
      </c>
      <c r="N46" s="514">
        <f t="shared" si="45"/>
        <v>0.25019668007693679</v>
      </c>
      <c r="O46" s="514">
        <f t="shared" si="45"/>
        <v>0.17362344009971611</v>
      </c>
      <c r="P46" s="514">
        <f t="shared" si="45"/>
        <v>0.16504745237221749</v>
      </c>
      <c r="Q46" s="514">
        <f t="shared" si="45"/>
        <v>0.19632405155567464</v>
      </c>
      <c r="R46" s="514">
        <f t="shared" si="46"/>
        <v>0.23227282299257757</v>
      </c>
      <c r="S46" s="514">
        <f t="shared" si="47"/>
        <v>0.23710636088251694</v>
      </c>
      <c r="T46" s="514">
        <f t="shared" si="48"/>
        <v>0.26883008330383723</v>
      </c>
      <c r="U46" s="514">
        <f t="shared" si="49"/>
        <v>0.2802041491566909</v>
      </c>
      <c r="V46" s="514">
        <f t="shared" si="50"/>
        <v>0.26852757903823149</v>
      </c>
      <c r="Y46" s="520"/>
      <c r="Z46" s="685" t="str">
        <f t="shared" si="51"/>
        <v>Costos Concesion</v>
      </c>
      <c r="AA46" s="686"/>
      <c r="AB46" s="687"/>
      <c r="AC46" s="688">
        <f t="shared" si="52"/>
        <v>0.17438150953855272</v>
      </c>
      <c r="AD46" s="688">
        <f t="shared" si="52"/>
        <v>0.19126272624487678</v>
      </c>
      <c r="AE46" s="688">
        <f t="shared" si="52"/>
        <v>0.12683184457573099</v>
      </c>
      <c r="AF46" s="688">
        <f t="shared" si="52"/>
        <v>7.579588902548548E-2</v>
      </c>
      <c r="AG46" s="688">
        <f t="shared" si="52"/>
        <v>8.4877267013740543E-2</v>
      </c>
      <c r="AH46" s="688">
        <f>+((J$29/100)*H$20)+AF6*J$20-(J$20-H$20)</f>
        <v>8.4877267013740543E-2</v>
      </c>
      <c r="AI46" s="688">
        <f t="shared" si="53"/>
        <v>0.10348845181538061</v>
      </c>
      <c r="AJ46" s="688">
        <f t="shared" si="53"/>
        <v>0.14102483579836339</v>
      </c>
      <c r="AK46" s="688">
        <f t="shared" si="53"/>
        <v>6.8521948057792242E-2</v>
      </c>
      <c r="AL46" s="688">
        <f t="shared" si="53"/>
        <v>0.21508275919117592</v>
      </c>
      <c r="AM46" s="688">
        <f t="shared" si="53"/>
        <v>0.131054106838847</v>
      </c>
      <c r="AN46" s="688">
        <f t="shared" si="53"/>
        <v>9.7816439486419715E-2</v>
      </c>
      <c r="AO46" s="688">
        <f t="shared" si="53"/>
        <v>0.14571901530857739</v>
      </c>
      <c r="AP46" s="688">
        <f t="shared" si="53"/>
        <v>0.17283047060314799</v>
      </c>
      <c r="AQ46" s="688">
        <f t="shared" si="53"/>
        <v>0.16873588127678593</v>
      </c>
      <c r="AR46" s="688">
        <f t="shared" si="53"/>
        <v>0.19010981735643673</v>
      </c>
      <c r="AS46" s="688">
        <f t="shared" si="53"/>
        <v>0.18332886859014796</v>
      </c>
      <c r="AT46" s="688">
        <f t="shared" si="53"/>
        <v>0.16757085038874281</v>
      </c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T46" s="524"/>
      <c r="BU46" s="524"/>
      <c r="BV46" s="524"/>
      <c r="BW46" s="524"/>
      <c r="BX46" s="524"/>
      <c r="BY46" s="524"/>
      <c r="BZ46" s="524"/>
      <c r="CA46" s="524"/>
      <c r="CB46" s="524"/>
      <c r="CC46" s="524"/>
      <c r="CD46" s="524"/>
      <c r="CE46" s="524"/>
    </row>
    <row r="47" spans="1:83" ht="16.5" customHeight="1">
      <c r="B47" s="517" t="str">
        <f t="shared" si="44"/>
        <v>Otros</v>
      </c>
      <c r="C47" s="518"/>
      <c r="D47" s="519"/>
      <c r="E47" s="514">
        <f t="shared" si="45"/>
        <v>0.24658197473858673</v>
      </c>
      <c r="F47" s="514">
        <f t="shared" si="45"/>
        <v>0.31767421365417742</v>
      </c>
      <c r="G47" s="514">
        <f t="shared" si="45"/>
        <v>0.2074294538622955</v>
      </c>
      <c r="H47" s="514">
        <f t="shared" si="45"/>
        <v>0.24294739368792007</v>
      </c>
      <c r="I47" s="514">
        <f t="shared" si="45"/>
        <v>0.14790523658125074</v>
      </c>
      <c r="J47" s="514">
        <f t="shared" si="45"/>
        <v>0.14695395472781944</v>
      </c>
      <c r="K47" s="514">
        <f t="shared" si="45"/>
        <v>0.22198216783915015</v>
      </c>
      <c r="L47" s="514">
        <f t="shared" si="45"/>
        <v>0.20867526524859187</v>
      </c>
      <c r="M47" s="514">
        <f t="shared" si="45"/>
        <v>0.10717031477137116</v>
      </c>
      <c r="N47" s="514">
        <f t="shared" si="45"/>
        <v>0.45771829552422394</v>
      </c>
      <c r="O47" s="514">
        <f t="shared" si="45"/>
        <v>0.21537417330004854</v>
      </c>
      <c r="P47" s="514">
        <f t="shared" si="45"/>
        <v>0.32463220832645984</v>
      </c>
      <c r="Q47" s="514">
        <f t="shared" si="45"/>
        <v>0.31099839807396196</v>
      </c>
      <c r="R47" s="514">
        <f t="shared" si="46"/>
        <v>0.52029185486608076</v>
      </c>
      <c r="S47" s="514">
        <f t="shared" si="47"/>
        <v>0.58033650923950741</v>
      </c>
      <c r="T47" s="514">
        <f t="shared" si="48"/>
        <v>0.7232125032388278</v>
      </c>
      <c r="U47" s="514">
        <f t="shared" si="49"/>
        <v>0.57851247182516186</v>
      </c>
      <c r="V47" s="514">
        <f t="shared" si="50"/>
        <v>0.35820591749673319</v>
      </c>
      <c r="Y47" s="520"/>
      <c r="Z47" s="521" t="str">
        <f t="shared" si="51"/>
        <v>Otros</v>
      </c>
      <c r="AA47" s="497"/>
      <c r="AB47" s="498"/>
      <c r="AC47" s="516">
        <f t="shared" ref="AC47:AG52" si="54">+((E$29/100)*D$21)+AA7*E$21-(E$21-D$21)</f>
        <v>0.24658197473858673</v>
      </c>
      <c r="AD47" s="516">
        <f t="shared" si="54"/>
        <v>0.25966903144499409</v>
      </c>
      <c r="AE47" s="516">
        <f t="shared" si="54"/>
        <v>0.1844729323313547</v>
      </c>
      <c r="AF47" s="516">
        <f t="shared" si="54"/>
        <v>0.13037030283666953</v>
      </c>
      <c r="AG47" s="516">
        <f t="shared" si="54"/>
        <v>0.12750943106363402</v>
      </c>
      <c r="AH47" s="516">
        <f t="shared" ref="AH47:AH52" si="55">+((J$29/100)*H$21)+AF7*J$21-(J$21-H$21)</f>
        <v>0.12750943106363402</v>
      </c>
      <c r="AI47" s="516">
        <f t="shared" ref="AI47:AT52" si="56">+((K$29/100)*J$21)+AG7*K$21-(K$21-J$21)</f>
        <v>0.18650319031058712</v>
      </c>
      <c r="AJ47" s="516">
        <f t="shared" si="56"/>
        <v>0.18210294235229979</v>
      </c>
      <c r="AK47" s="516">
        <f t="shared" si="56"/>
        <v>8.2471582636155838E-2</v>
      </c>
      <c r="AL47" s="516">
        <f t="shared" si="56"/>
        <v>0.39347969726600318</v>
      </c>
      <c r="AM47" s="516">
        <f t="shared" si="56"/>
        <v>0.16256831394299198</v>
      </c>
      <c r="AN47" s="516">
        <f t="shared" si="56"/>
        <v>0.19239537663080697</v>
      </c>
      <c r="AO47" s="516">
        <f t="shared" si="56"/>
        <v>0.2308345817579619</v>
      </c>
      <c r="AP47" s="516">
        <f t="shared" si="56"/>
        <v>0.38714079834627502</v>
      </c>
      <c r="AQ47" s="516">
        <f t="shared" si="56"/>
        <v>0.41299437079269985</v>
      </c>
      <c r="AR47" s="516">
        <f t="shared" si="56"/>
        <v>0.5114375415538267</v>
      </c>
      <c r="AS47" s="516">
        <f t="shared" si="56"/>
        <v>0.37850273539557344</v>
      </c>
      <c r="AT47" s="516">
        <f t="shared" si="56"/>
        <v>0.22353335334938323</v>
      </c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T47" s="524"/>
      <c r="BU47" s="524"/>
      <c r="BV47" s="524"/>
      <c r="BW47" s="524"/>
      <c r="BX47" s="524"/>
      <c r="BY47" s="524"/>
      <c r="BZ47" s="524"/>
      <c r="CA47" s="524"/>
      <c r="CB47" s="524"/>
      <c r="CC47" s="524"/>
      <c r="CD47" s="524"/>
      <c r="CE47" s="524"/>
    </row>
    <row r="48" spans="1:83" ht="16.5" customHeight="1">
      <c r="B48" s="517" t="str">
        <f t="shared" si="44"/>
        <v>Equipos de Seguridad y Rescate</v>
      </c>
      <c r="C48" s="518"/>
      <c r="D48" s="519"/>
      <c r="E48" s="514">
        <f t="shared" si="45"/>
        <v>0.24658197473858673</v>
      </c>
      <c r="F48" s="514">
        <f t="shared" si="45"/>
        <v>0.31767421365417742</v>
      </c>
      <c r="G48" s="514">
        <f t="shared" si="45"/>
        <v>0.2074294538622955</v>
      </c>
      <c r="H48" s="514">
        <f t="shared" si="45"/>
        <v>0.24294739368792007</v>
      </c>
      <c r="I48" s="514">
        <f t="shared" si="45"/>
        <v>0.14790523658125074</v>
      </c>
      <c r="J48" s="514">
        <f t="shared" si="45"/>
        <v>0.14695395472781944</v>
      </c>
      <c r="K48" s="514">
        <f t="shared" si="45"/>
        <v>0.22198216783915015</v>
      </c>
      <c r="L48" s="514">
        <f t="shared" si="45"/>
        <v>0.20867526524859187</v>
      </c>
      <c r="M48" s="514">
        <f t="shared" si="45"/>
        <v>0.10717031477137116</v>
      </c>
      <c r="N48" s="514">
        <f t="shared" si="45"/>
        <v>0.45771829552422394</v>
      </c>
      <c r="O48" s="514">
        <f t="shared" si="45"/>
        <v>0.21537417330004854</v>
      </c>
      <c r="P48" s="514">
        <f t="shared" si="45"/>
        <v>0.32463220832645984</v>
      </c>
      <c r="Q48" s="514">
        <f t="shared" si="45"/>
        <v>0.31099839807396196</v>
      </c>
      <c r="R48" s="514">
        <f t="shared" si="46"/>
        <v>0.52029185486608076</v>
      </c>
      <c r="S48" s="514">
        <f t="shared" si="47"/>
        <v>0.58033650923950741</v>
      </c>
      <c r="T48" s="514">
        <f t="shared" si="48"/>
        <v>0.7232125032388278</v>
      </c>
      <c r="U48" s="514">
        <f t="shared" si="49"/>
        <v>0.57851247182516186</v>
      </c>
      <c r="V48" s="514">
        <f t="shared" si="50"/>
        <v>0.35820591749673319</v>
      </c>
      <c r="Y48" s="520"/>
      <c r="Z48" s="521" t="str">
        <f t="shared" si="51"/>
        <v>Equipos de Seguridad y Rescate</v>
      </c>
      <c r="AA48" s="497"/>
      <c r="AB48" s="498"/>
      <c r="AC48" s="516">
        <f t="shared" si="54"/>
        <v>0.24658197473858673</v>
      </c>
      <c r="AD48" s="516">
        <f t="shared" si="54"/>
        <v>0.25966903144499409</v>
      </c>
      <c r="AE48" s="516">
        <f t="shared" si="54"/>
        <v>0.1844729323313547</v>
      </c>
      <c r="AF48" s="516">
        <f t="shared" si="54"/>
        <v>0.13037030283666953</v>
      </c>
      <c r="AG48" s="516">
        <f t="shared" si="54"/>
        <v>0.12750943106363402</v>
      </c>
      <c r="AH48" s="516">
        <f t="shared" si="55"/>
        <v>0.12750943106363402</v>
      </c>
      <c r="AI48" s="515">
        <f t="shared" si="56"/>
        <v>0.18650319031058712</v>
      </c>
      <c r="AJ48" s="515">
        <f t="shared" si="56"/>
        <v>0.18210294235229979</v>
      </c>
      <c r="AK48" s="515">
        <f t="shared" si="56"/>
        <v>8.2471582636155838E-2</v>
      </c>
      <c r="AL48" s="515">
        <f t="shared" si="56"/>
        <v>0.39347969726600318</v>
      </c>
      <c r="AM48" s="525">
        <f t="shared" si="56"/>
        <v>0.16256831394299198</v>
      </c>
      <c r="AN48" s="515">
        <f t="shared" si="56"/>
        <v>0.19239537663080697</v>
      </c>
      <c r="AO48" s="515">
        <f t="shared" si="56"/>
        <v>0.2308345817579619</v>
      </c>
      <c r="AP48" s="515">
        <f t="shared" si="56"/>
        <v>0.38714079834627502</v>
      </c>
      <c r="AQ48" s="515">
        <f t="shared" si="56"/>
        <v>0.41299437079269985</v>
      </c>
      <c r="AR48" s="515">
        <f t="shared" si="56"/>
        <v>0.5114375415538267</v>
      </c>
      <c r="AS48" s="515">
        <f t="shared" si="56"/>
        <v>0.37850273539557344</v>
      </c>
      <c r="AT48" s="515">
        <f t="shared" si="56"/>
        <v>0.22353335334938323</v>
      </c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T48" s="524"/>
      <c r="BU48" s="524"/>
      <c r="BV48" s="524"/>
      <c r="BW48" s="524"/>
      <c r="BX48" s="524"/>
      <c r="BY48" s="524"/>
      <c r="BZ48" s="524"/>
      <c r="CA48" s="524"/>
      <c r="CB48" s="524"/>
      <c r="CC48" s="524"/>
      <c r="CD48" s="524"/>
      <c r="CE48" s="524"/>
    </row>
    <row r="49" spans="2:83" ht="16.5" customHeight="1">
      <c r="B49" s="517" t="str">
        <f t="shared" si="44"/>
        <v>Equipos de Computo</v>
      </c>
      <c r="C49" s="518"/>
      <c r="D49" s="519"/>
      <c r="E49" s="514">
        <f t="shared" si="45"/>
        <v>0.39760440773582428</v>
      </c>
      <c r="F49" s="514">
        <f t="shared" si="45"/>
        <v>0.50145345215240444</v>
      </c>
      <c r="G49" s="514">
        <f t="shared" si="45"/>
        <v>0.38373714075649512</v>
      </c>
      <c r="H49" s="514">
        <f t="shared" si="45"/>
        <v>0.55614491067355842</v>
      </c>
      <c r="I49" s="514">
        <f t="shared" si="45"/>
        <v>0.35950716764545992</v>
      </c>
      <c r="J49" s="514">
        <f t="shared" si="45"/>
        <v>0.35719492601923636</v>
      </c>
      <c r="K49" s="514">
        <f t="shared" si="45"/>
        <v>0.45026641211784768</v>
      </c>
      <c r="L49" s="514">
        <f t="shared" si="45"/>
        <v>0.43951138717121074</v>
      </c>
      <c r="M49" s="514">
        <f t="shared" si="45"/>
        <v>0.40636752509603302</v>
      </c>
      <c r="N49" s="514">
        <f t="shared" si="45"/>
        <v>0.7087776534911211</v>
      </c>
      <c r="O49" s="514">
        <f t="shared" si="45"/>
        <v>0.52705917898963617</v>
      </c>
      <c r="P49" s="514">
        <f t="shared" si="45"/>
        <v>0.75245718900463698</v>
      </c>
      <c r="Q49" s="514">
        <f t="shared" si="45"/>
        <v>0.67337084483569987</v>
      </c>
      <c r="R49" s="514">
        <f t="shared" si="46"/>
        <v>0.87403727648386842</v>
      </c>
      <c r="S49" s="514">
        <f t="shared" si="47"/>
        <v>0.93634460339206116</v>
      </c>
      <c r="T49" s="514">
        <f t="shared" si="48"/>
        <v>1.0422030951191468</v>
      </c>
      <c r="U49" s="514">
        <f t="shared" si="49"/>
        <v>0.90539527380971074</v>
      </c>
      <c r="V49" s="514">
        <f t="shared" si="50"/>
        <v>0.71681292393487817</v>
      </c>
      <c r="Y49" s="520"/>
      <c r="Z49" s="521" t="str">
        <f t="shared" si="51"/>
        <v>Equipos de Computo</v>
      </c>
      <c r="AA49" s="497"/>
      <c r="AB49" s="498"/>
      <c r="AC49" s="516">
        <f t="shared" si="54"/>
        <v>0.39760440773582428</v>
      </c>
      <c r="AD49" s="516">
        <f t="shared" si="54"/>
        <v>0.40989141276954022</v>
      </c>
      <c r="AE49" s="516">
        <f t="shared" si="54"/>
        <v>0.34126838923653846</v>
      </c>
      <c r="AF49" s="516">
        <f t="shared" si="54"/>
        <v>0.29843818995119953</v>
      </c>
      <c r="AG49" s="516">
        <f t="shared" si="54"/>
        <v>0.30993192309718454</v>
      </c>
      <c r="AH49" s="516">
        <f t="shared" si="55"/>
        <v>0.30993192309718454</v>
      </c>
      <c r="AI49" s="515">
        <f t="shared" si="56"/>
        <v>0.37830120845801402</v>
      </c>
      <c r="AJ49" s="515">
        <f t="shared" si="56"/>
        <v>0.38354481881631819</v>
      </c>
      <c r="AK49" s="515">
        <f t="shared" si="56"/>
        <v>0.31271507411453725</v>
      </c>
      <c r="AL49" s="515">
        <f t="shared" si="56"/>
        <v>0.60930406158482842</v>
      </c>
      <c r="AM49" s="525">
        <f t="shared" si="56"/>
        <v>0.39783378277744252</v>
      </c>
      <c r="AN49" s="515">
        <f t="shared" si="56"/>
        <v>0.44594861681599107</v>
      </c>
      <c r="AO49" s="515">
        <f t="shared" si="56"/>
        <v>0.49980089382546589</v>
      </c>
      <c r="AP49" s="515">
        <f t="shared" si="56"/>
        <v>0.65035707524090314</v>
      </c>
      <c r="AQ49" s="515">
        <f t="shared" si="56"/>
        <v>0.6663462390636008</v>
      </c>
      <c r="AR49" s="515">
        <f t="shared" si="56"/>
        <v>0.7370195985003658</v>
      </c>
      <c r="AS49" s="515">
        <f t="shared" si="56"/>
        <v>0.59237199618190595</v>
      </c>
      <c r="AT49" s="515">
        <f t="shared" si="56"/>
        <v>0.44731700059868773</v>
      </c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T49" s="524"/>
      <c r="BU49" s="524"/>
      <c r="BV49" s="524"/>
      <c r="BW49" s="524"/>
      <c r="BX49" s="524"/>
      <c r="BY49" s="524"/>
      <c r="BZ49" s="524"/>
      <c r="CA49" s="524"/>
      <c r="CB49" s="524"/>
      <c r="CC49" s="524"/>
      <c r="CD49" s="524"/>
      <c r="CE49" s="524"/>
    </row>
    <row r="50" spans="2:83" ht="16.5" customHeight="1">
      <c r="B50" s="517" t="str">
        <f t="shared" si="44"/>
        <v>Equipos Diversos</v>
      </c>
      <c r="C50" s="518"/>
      <c r="D50" s="519"/>
      <c r="E50" s="514">
        <f t="shared" si="45"/>
        <v>0.24658197473858673</v>
      </c>
      <c r="F50" s="514">
        <f t="shared" si="45"/>
        <v>0.31767421365417742</v>
      </c>
      <c r="G50" s="514">
        <f t="shared" si="45"/>
        <v>0.2074294538622955</v>
      </c>
      <c r="H50" s="514">
        <f t="shared" si="45"/>
        <v>0.24294739368792007</v>
      </c>
      <c r="I50" s="514">
        <f t="shared" si="45"/>
        <v>0.14790523658125074</v>
      </c>
      <c r="J50" s="514">
        <f t="shared" si="45"/>
        <v>0.14695395472781944</v>
      </c>
      <c r="K50" s="514">
        <f t="shared" si="45"/>
        <v>0.22198216783915015</v>
      </c>
      <c r="L50" s="514">
        <f t="shared" si="45"/>
        <v>0.20867526524859187</v>
      </c>
      <c r="M50" s="514">
        <f t="shared" si="45"/>
        <v>0.10717031477137116</v>
      </c>
      <c r="N50" s="514">
        <f t="shared" si="45"/>
        <v>0.45771829552422394</v>
      </c>
      <c r="O50" s="514">
        <f t="shared" si="45"/>
        <v>0.21537417330004854</v>
      </c>
      <c r="P50" s="514">
        <f t="shared" si="45"/>
        <v>0.32463220832645984</v>
      </c>
      <c r="Q50" s="514">
        <f t="shared" si="45"/>
        <v>0.31099839807396196</v>
      </c>
      <c r="R50" s="514">
        <f t="shared" si="46"/>
        <v>0.52029185486608076</v>
      </c>
      <c r="S50" s="514">
        <f t="shared" si="47"/>
        <v>0.58033650923950741</v>
      </c>
      <c r="T50" s="514">
        <f t="shared" si="48"/>
        <v>0.7232125032388278</v>
      </c>
      <c r="U50" s="514">
        <f t="shared" si="49"/>
        <v>0.57851247182516186</v>
      </c>
      <c r="V50" s="514">
        <f t="shared" si="50"/>
        <v>0.35820591749673319</v>
      </c>
      <c r="Y50" s="520"/>
      <c r="Z50" s="521" t="str">
        <f t="shared" si="51"/>
        <v>Equipos Diversos</v>
      </c>
      <c r="AA50" s="497"/>
      <c r="AB50" s="498"/>
      <c r="AC50" s="516">
        <f t="shared" si="54"/>
        <v>0.24658197473858673</v>
      </c>
      <c r="AD50" s="516">
        <f t="shared" si="54"/>
        <v>0.25966903144499409</v>
      </c>
      <c r="AE50" s="516">
        <f t="shared" si="54"/>
        <v>0.1844729323313547</v>
      </c>
      <c r="AF50" s="516">
        <f t="shared" si="54"/>
        <v>0.13037030283666953</v>
      </c>
      <c r="AG50" s="516">
        <f t="shared" si="54"/>
        <v>0.12750943106363402</v>
      </c>
      <c r="AH50" s="516">
        <f t="shared" si="55"/>
        <v>0.12750943106363402</v>
      </c>
      <c r="AI50" s="515">
        <f t="shared" si="56"/>
        <v>0.18650319031058712</v>
      </c>
      <c r="AJ50" s="515">
        <f t="shared" si="56"/>
        <v>0.18210294235229979</v>
      </c>
      <c r="AK50" s="515">
        <f t="shared" si="56"/>
        <v>8.2471582636155838E-2</v>
      </c>
      <c r="AL50" s="515">
        <f t="shared" si="56"/>
        <v>0.39347969726600318</v>
      </c>
      <c r="AM50" s="525">
        <f t="shared" si="56"/>
        <v>0.16256831394299198</v>
      </c>
      <c r="AN50" s="515">
        <f t="shared" si="56"/>
        <v>0.19239537663080697</v>
      </c>
      <c r="AO50" s="515">
        <f t="shared" si="56"/>
        <v>0.2308345817579619</v>
      </c>
      <c r="AP50" s="515">
        <f t="shared" si="56"/>
        <v>0.38714079834627502</v>
      </c>
      <c r="AQ50" s="515">
        <f t="shared" si="56"/>
        <v>0.41299437079269985</v>
      </c>
      <c r="AR50" s="515">
        <f t="shared" si="56"/>
        <v>0.5114375415538267</v>
      </c>
      <c r="AS50" s="515">
        <f t="shared" si="56"/>
        <v>0.37850273539557344</v>
      </c>
      <c r="AT50" s="515">
        <f t="shared" si="56"/>
        <v>0.22353335334938323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T50" s="524"/>
      <c r="BU50" s="524"/>
      <c r="BV50" s="524"/>
      <c r="BW50" s="524"/>
      <c r="BX50" s="524"/>
      <c r="BY50" s="524"/>
      <c r="BZ50" s="524"/>
      <c r="CA50" s="524"/>
      <c r="CB50" s="524"/>
      <c r="CC50" s="524"/>
      <c r="CD50" s="524"/>
      <c r="CE50" s="524"/>
    </row>
    <row r="51" spans="2:83" ht="16.5" customHeight="1">
      <c r="B51" s="517" t="str">
        <f t="shared" si="44"/>
        <v>Unidades de Transporte</v>
      </c>
      <c r="C51" s="518"/>
      <c r="D51" s="519"/>
      <c r="E51" s="514">
        <f t="shared" si="45"/>
        <v>0.34726359673674512</v>
      </c>
      <c r="F51" s="514">
        <f t="shared" si="45"/>
        <v>0.44019370598632873</v>
      </c>
      <c r="G51" s="514">
        <f t="shared" si="45"/>
        <v>0.32496791179176193</v>
      </c>
      <c r="H51" s="514">
        <f t="shared" si="45"/>
        <v>0.4517457383450123</v>
      </c>
      <c r="I51" s="514">
        <f t="shared" si="45"/>
        <v>0.28897319062405685</v>
      </c>
      <c r="J51" s="514">
        <f t="shared" si="45"/>
        <v>0.28711460225543073</v>
      </c>
      <c r="K51" s="514">
        <f t="shared" si="45"/>
        <v>0.3741716640249485</v>
      </c>
      <c r="L51" s="514">
        <f t="shared" si="45"/>
        <v>0.36256601319700438</v>
      </c>
      <c r="M51" s="514">
        <f t="shared" si="45"/>
        <v>0.30663512165447909</v>
      </c>
      <c r="N51" s="514">
        <f t="shared" si="45"/>
        <v>0.62509120083548864</v>
      </c>
      <c r="O51" s="514">
        <f t="shared" si="45"/>
        <v>0.423164177093107</v>
      </c>
      <c r="P51" s="514">
        <f t="shared" si="45"/>
        <v>0.60984886211191125</v>
      </c>
      <c r="Q51" s="514">
        <f t="shared" si="45"/>
        <v>0.55258002924845395</v>
      </c>
      <c r="R51" s="514">
        <f t="shared" si="46"/>
        <v>0.75612213594460587</v>
      </c>
      <c r="S51" s="514">
        <f t="shared" si="47"/>
        <v>0.81767523867454328</v>
      </c>
      <c r="T51" s="514">
        <f t="shared" si="48"/>
        <v>0.93587289782570726</v>
      </c>
      <c r="U51" s="514">
        <f t="shared" si="49"/>
        <v>0.79643433981486123</v>
      </c>
      <c r="V51" s="514">
        <f t="shared" si="50"/>
        <v>0.59727725512216323</v>
      </c>
      <c r="Y51" s="520"/>
      <c r="Z51" s="521" t="str">
        <f t="shared" si="51"/>
        <v>Unidades de Transporte</v>
      </c>
      <c r="AA51" s="497"/>
      <c r="AB51" s="498"/>
      <c r="AC51" s="516">
        <f t="shared" si="54"/>
        <v>0.34726359673674512</v>
      </c>
      <c r="AD51" s="516">
        <f t="shared" si="54"/>
        <v>0.35981728566135818</v>
      </c>
      <c r="AE51" s="516">
        <f t="shared" si="54"/>
        <v>0.28900323693481056</v>
      </c>
      <c r="AF51" s="516">
        <f t="shared" si="54"/>
        <v>0.24241556091302285</v>
      </c>
      <c r="AG51" s="516">
        <f t="shared" si="54"/>
        <v>0.24912442575266769</v>
      </c>
      <c r="AH51" s="516">
        <f t="shared" si="55"/>
        <v>0.24912442575266769</v>
      </c>
      <c r="AI51" s="515">
        <f t="shared" si="56"/>
        <v>0.31436853574220508</v>
      </c>
      <c r="AJ51" s="515">
        <f t="shared" si="56"/>
        <v>0.31639752666164533</v>
      </c>
      <c r="AK51" s="515">
        <f t="shared" si="56"/>
        <v>0.23596724362174348</v>
      </c>
      <c r="AL51" s="515">
        <f t="shared" si="56"/>
        <v>0.53736260681188663</v>
      </c>
      <c r="AM51" s="525">
        <f t="shared" si="56"/>
        <v>0.31941195983262571</v>
      </c>
      <c r="AN51" s="515">
        <f t="shared" si="56"/>
        <v>0.36143087008759639</v>
      </c>
      <c r="AO51" s="515">
        <f t="shared" si="56"/>
        <v>0.4101454564696313</v>
      </c>
      <c r="AP51" s="515">
        <f t="shared" si="56"/>
        <v>0.5626183162760271</v>
      </c>
      <c r="AQ51" s="515">
        <f t="shared" si="56"/>
        <v>0.58189561630663389</v>
      </c>
      <c r="AR51" s="515">
        <f t="shared" si="56"/>
        <v>0.66182557951818621</v>
      </c>
      <c r="AS51" s="515">
        <f t="shared" si="56"/>
        <v>0.52108224258646185</v>
      </c>
      <c r="AT51" s="515">
        <f t="shared" si="56"/>
        <v>0.37272245151558625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T51" s="524"/>
      <c r="BU51" s="524"/>
      <c r="BV51" s="524"/>
      <c r="BW51" s="524"/>
      <c r="BX51" s="524"/>
      <c r="BY51" s="524"/>
      <c r="BZ51" s="524"/>
      <c r="CA51" s="524"/>
      <c r="CB51" s="524"/>
      <c r="CC51" s="524"/>
      <c r="CD51" s="524"/>
      <c r="CE51" s="524"/>
    </row>
    <row r="52" spans="2:83" ht="16.5" customHeight="1" thickBot="1">
      <c r="B52" s="526" t="str">
        <f t="shared" si="44"/>
        <v>Muebles y Enseres</v>
      </c>
      <c r="C52" s="527"/>
      <c r="D52" s="528"/>
      <c r="E52" s="514">
        <f t="shared" si="45"/>
        <v>0.24658197473858673</v>
      </c>
      <c r="F52" s="514">
        <f t="shared" si="45"/>
        <v>0.31767421365417742</v>
      </c>
      <c r="G52" s="514">
        <f t="shared" si="45"/>
        <v>0.2074294538622955</v>
      </c>
      <c r="H52" s="514">
        <f t="shared" si="45"/>
        <v>0.24294739368792007</v>
      </c>
      <c r="I52" s="514">
        <f t="shared" si="45"/>
        <v>0.14790523658125074</v>
      </c>
      <c r="J52" s="514">
        <f t="shared" si="45"/>
        <v>0.14695395472781944</v>
      </c>
      <c r="K52" s="514">
        <f t="shared" si="45"/>
        <v>0.22198216783915015</v>
      </c>
      <c r="L52" s="514">
        <f t="shared" si="45"/>
        <v>0.20867526524859187</v>
      </c>
      <c r="M52" s="514">
        <f t="shared" si="45"/>
        <v>0.10717031477137116</v>
      </c>
      <c r="N52" s="514">
        <f t="shared" si="45"/>
        <v>0.45771829552422394</v>
      </c>
      <c r="O52" s="514">
        <f t="shared" si="45"/>
        <v>0.21537417330004854</v>
      </c>
      <c r="P52" s="514">
        <f t="shared" si="45"/>
        <v>0.32463220832645984</v>
      </c>
      <c r="Q52" s="514">
        <f t="shared" si="45"/>
        <v>0.31099839807396196</v>
      </c>
      <c r="R52" s="514">
        <f t="shared" si="46"/>
        <v>0.52029185486608076</v>
      </c>
      <c r="S52" s="514">
        <f t="shared" si="47"/>
        <v>0.58033650923950741</v>
      </c>
      <c r="T52" s="514">
        <f t="shared" si="48"/>
        <v>0.7232125032388278</v>
      </c>
      <c r="U52" s="514">
        <f t="shared" si="49"/>
        <v>0.57851247182516186</v>
      </c>
      <c r="V52" s="514">
        <f t="shared" si="50"/>
        <v>0.35820591749673319</v>
      </c>
      <c r="Y52" s="520"/>
      <c r="Z52" s="521" t="str">
        <f t="shared" si="51"/>
        <v>Muebles y Enseres</v>
      </c>
      <c r="AA52" s="497"/>
      <c r="AB52" s="498"/>
      <c r="AC52" s="515">
        <f t="shared" si="54"/>
        <v>0.24658197473858673</v>
      </c>
      <c r="AD52" s="516">
        <f t="shared" si="54"/>
        <v>0.25966903144499409</v>
      </c>
      <c r="AE52" s="516">
        <f t="shared" si="54"/>
        <v>0.1844729323313547</v>
      </c>
      <c r="AF52" s="516">
        <f t="shared" si="54"/>
        <v>0.13037030283666953</v>
      </c>
      <c r="AG52" s="516">
        <f t="shared" si="54"/>
        <v>0.12750943106363402</v>
      </c>
      <c r="AH52" s="516">
        <f t="shared" si="55"/>
        <v>0.12750943106363402</v>
      </c>
      <c r="AI52" s="515">
        <f t="shared" si="56"/>
        <v>0.18650319031058712</v>
      </c>
      <c r="AJ52" s="515">
        <f t="shared" si="56"/>
        <v>0.18210294235229979</v>
      </c>
      <c r="AK52" s="515">
        <f t="shared" si="56"/>
        <v>8.2471582636155838E-2</v>
      </c>
      <c r="AL52" s="515">
        <f t="shared" si="56"/>
        <v>0.39347969726600318</v>
      </c>
      <c r="AM52" s="525">
        <f t="shared" si="56"/>
        <v>0.16256831394299198</v>
      </c>
      <c r="AN52" s="515">
        <f t="shared" si="56"/>
        <v>0.19239537663080697</v>
      </c>
      <c r="AO52" s="515">
        <f t="shared" si="56"/>
        <v>0.2308345817579619</v>
      </c>
      <c r="AP52" s="515">
        <f t="shared" si="56"/>
        <v>0.38714079834627502</v>
      </c>
      <c r="AQ52" s="515">
        <f t="shared" si="56"/>
        <v>0.41299437079269985</v>
      </c>
      <c r="AR52" s="515">
        <f t="shared" si="56"/>
        <v>0.5114375415538267</v>
      </c>
      <c r="AS52" s="515">
        <f t="shared" si="56"/>
        <v>0.37850273539557344</v>
      </c>
      <c r="AT52" s="515">
        <f t="shared" si="56"/>
        <v>0.22353335334938323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T52" s="524"/>
      <c r="BU52" s="524"/>
      <c r="BV52" s="524"/>
      <c r="BW52" s="524"/>
      <c r="BX52" s="524"/>
      <c r="BY52" s="524"/>
      <c r="BZ52" s="524"/>
      <c r="CA52" s="524"/>
      <c r="CB52" s="524"/>
      <c r="CC52" s="524"/>
      <c r="CD52" s="524"/>
      <c r="CE52" s="524"/>
    </row>
    <row r="53" spans="2:83" ht="16.5" customHeight="1">
      <c r="B53" s="400"/>
      <c r="C53" s="476"/>
      <c r="D53" s="529"/>
      <c r="E53" s="530"/>
      <c r="F53" s="531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</row>
    <row r="54" spans="2:83" ht="16.5" customHeight="1" thickBot="1">
      <c r="B54" s="476"/>
      <c r="C54" s="476"/>
      <c r="D54" s="529"/>
      <c r="E54" s="503"/>
      <c r="F54" s="503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</row>
    <row r="55" spans="2:83" ht="16.5" customHeight="1" thickBot="1">
      <c r="B55" s="830" t="s">
        <v>15</v>
      </c>
      <c r="C55" s="824"/>
      <c r="D55" s="824"/>
      <c r="E55" s="458">
        <v>2001</v>
      </c>
      <c r="F55" s="458">
        <v>2002</v>
      </c>
      <c r="G55" s="458">
        <v>2003</v>
      </c>
      <c r="H55" s="458">
        <v>2004</v>
      </c>
      <c r="I55" s="459">
        <v>2005</v>
      </c>
      <c r="J55" s="458">
        <v>2005</v>
      </c>
      <c r="K55" s="458">
        <v>2006</v>
      </c>
      <c r="L55" s="456">
        <v>2007</v>
      </c>
      <c r="M55" s="458">
        <v>2008</v>
      </c>
      <c r="N55" s="456">
        <v>2009</v>
      </c>
      <c r="O55" s="458">
        <v>2010</v>
      </c>
      <c r="P55" s="456">
        <v>2011</v>
      </c>
      <c r="Q55" s="458">
        <v>2012</v>
      </c>
      <c r="R55" s="456">
        <v>2013</v>
      </c>
      <c r="S55" s="458">
        <v>2014</v>
      </c>
      <c r="T55" s="456">
        <v>2015</v>
      </c>
      <c r="U55" s="458">
        <v>2016</v>
      </c>
      <c r="V55" s="456">
        <v>2017</v>
      </c>
      <c r="Z55" s="833" t="s">
        <v>15</v>
      </c>
      <c r="AA55" s="834"/>
      <c r="AB55" s="835"/>
      <c r="AC55" s="512">
        <v>2001</v>
      </c>
      <c r="AD55" s="512">
        <v>2002</v>
      </c>
      <c r="AE55" s="512">
        <v>2003</v>
      </c>
      <c r="AF55" s="512">
        <v>2004</v>
      </c>
      <c r="AG55" s="513">
        <v>2005</v>
      </c>
      <c r="AH55" s="512">
        <v>2005</v>
      </c>
      <c r="AI55" s="512">
        <v>2006</v>
      </c>
      <c r="AJ55" s="512">
        <v>2007</v>
      </c>
      <c r="AK55" s="512">
        <v>2008</v>
      </c>
      <c r="AL55" s="512">
        <v>2009</v>
      </c>
      <c r="AM55" s="512">
        <v>2010</v>
      </c>
      <c r="AN55" s="512">
        <v>2011</v>
      </c>
      <c r="AO55" s="512">
        <v>2012</v>
      </c>
      <c r="AP55" s="512">
        <v>2013</v>
      </c>
      <c r="AQ55" s="512">
        <v>2014</v>
      </c>
      <c r="AR55" s="512">
        <v>2015</v>
      </c>
      <c r="AS55" s="512">
        <v>2016</v>
      </c>
      <c r="AT55" s="512">
        <v>2017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</row>
    <row r="56" spans="2:83" ht="16.5" customHeight="1">
      <c r="B56" s="521" t="str">
        <f t="shared" ref="B56:B63" si="57">+B5</f>
        <v>Mejoras Aeropuerto</v>
      </c>
      <c r="C56" s="497"/>
      <c r="D56" s="498"/>
      <c r="E56" s="495">
        <f t="shared" ref="E56:P56" si="58">+E45*E32</f>
        <v>6697711.4926790437</v>
      </c>
      <c r="F56" s="495">
        <f t="shared" si="58"/>
        <v>9099357.440859139</v>
      </c>
      <c r="G56" s="532">
        <f t="shared" si="58"/>
        <v>5392506.750542392</v>
      </c>
      <c r="H56" s="532">
        <f t="shared" si="58"/>
        <v>5077517.6598451724</v>
      </c>
      <c r="I56" s="532">
        <f t="shared" si="58"/>
        <v>9495274.29203167</v>
      </c>
      <c r="J56" s="532">
        <f t="shared" si="58"/>
        <v>9947435.5146639422</v>
      </c>
      <c r="K56" s="532">
        <f t="shared" si="58"/>
        <v>20227040.078377776</v>
      </c>
      <c r="L56" s="532">
        <f t="shared" si="58"/>
        <v>26499097.70941674</v>
      </c>
      <c r="M56" s="532">
        <f>+M45*M32</f>
        <v>13937185.278926052</v>
      </c>
      <c r="N56" s="532">
        <f t="shared" si="58"/>
        <v>41985917.587869935</v>
      </c>
      <c r="O56" s="532">
        <f t="shared" si="58"/>
        <v>32354912.315434713</v>
      </c>
      <c r="P56" s="532">
        <f t="shared" si="58"/>
        <v>29113875.075842552</v>
      </c>
      <c r="Q56" s="532">
        <f t="shared" ref="Q56:R63" si="59">+Q45*Q32</f>
        <v>34309874.904037394</v>
      </c>
      <c r="R56" s="532">
        <f t="shared" si="59"/>
        <v>41626811.323272198</v>
      </c>
      <c r="S56" s="532">
        <f t="shared" ref="S56:U56" si="60">+S45*S32</f>
        <v>42194630.681987397</v>
      </c>
      <c r="T56" s="532">
        <f t="shared" si="60"/>
        <v>47477143.23816143</v>
      </c>
      <c r="U56" s="532">
        <f t="shared" si="60"/>
        <v>48425592.066969618</v>
      </c>
      <c r="V56" s="532">
        <f>+V45*V32</f>
        <v>44652476.674159832</v>
      </c>
      <c r="Y56" s="409"/>
      <c r="Z56" s="521" t="str">
        <f t="shared" ref="Z56:Z63" si="61">+Z5</f>
        <v>Mejoras Aeropuerto</v>
      </c>
      <c r="AA56" s="497"/>
      <c r="AB56" s="498"/>
      <c r="AC56" s="533">
        <f t="shared" ref="AC56:AL63" si="62">AC45*E32</f>
        <v>6697711.4926790437</v>
      </c>
      <c r="AD56" s="533">
        <f t="shared" si="62"/>
        <v>7437875.7603910463</v>
      </c>
      <c r="AE56" s="533">
        <f t="shared" si="62"/>
        <v>4795710.1287533203</v>
      </c>
      <c r="AF56" s="533">
        <f t="shared" si="62"/>
        <v>2724694.8605790576</v>
      </c>
      <c r="AG56" s="533">
        <f t="shared" si="62"/>
        <v>8185896.9347917465</v>
      </c>
      <c r="AH56" s="533">
        <f t="shared" si="62"/>
        <v>8631219.5229195207</v>
      </c>
      <c r="AI56" s="533">
        <f t="shared" si="62"/>
        <v>16994191.659084421</v>
      </c>
      <c r="AJ56" s="533">
        <f t="shared" si="62"/>
        <v>23124751.545504212</v>
      </c>
      <c r="AK56" s="533">
        <f t="shared" si="62"/>
        <v>10725187.56615068</v>
      </c>
      <c r="AL56" s="533">
        <f t="shared" si="62"/>
        <v>36093392.602953307</v>
      </c>
      <c r="AM56" s="533">
        <f t="shared" ref="AM56:AT63" si="63">AM45*O32</f>
        <v>24422071.886798423</v>
      </c>
      <c r="AN56" s="533">
        <f t="shared" si="63"/>
        <v>17254526.250722729</v>
      </c>
      <c r="AO56" s="533">
        <f t="shared" si="63"/>
        <v>25466065.654003609</v>
      </c>
      <c r="AP56" s="533">
        <f t="shared" si="63"/>
        <v>30973840.58116642</v>
      </c>
      <c r="AQ56" s="533">
        <f t="shared" si="63"/>
        <v>30027655.802964289</v>
      </c>
      <c r="AR56" s="533">
        <f t="shared" si="63"/>
        <v>33574631.673238114</v>
      </c>
      <c r="AS56" s="533">
        <f t="shared" si="63"/>
        <v>31683360.261311084</v>
      </c>
      <c r="AT56" s="533">
        <f t="shared" si="63"/>
        <v>27864748.623034939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</row>
    <row r="57" spans="2:83" ht="16.5" customHeight="1">
      <c r="B57" s="521" t="str">
        <f t="shared" si="57"/>
        <v>Costos Concesion</v>
      </c>
      <c r="C57" s="497"/>
      <c r="D57" s="498"/>
      <c r="E57" s="495">
        <f t="shared" ref="E57:P57" si="64">+E46*E33</f>
        <v>327234.35094305972</v>
      </c>
      <c r="F57" s="495">
        <f t="shared" si="64"/>
        <v>902307.62440678</v>
      </c>
      <c r="G57" s="532">
        <f t="shared" si="64"/>
        <v>543061.87343495258</v>
      </c>
      <c r="H57" s="532">
        <f t="shared" si="64"/>
        <v>498050.16184597637</v>
      </c>
      <c r="I57" s="532">
        <f t="shared" si="64"/>
        <v>320757.4132014889</v>
      </c>
      <c r="J57" s="532">
        <f t="shared" si="64"/>
        <v>318694.39830367279</v>
      </c>
      <c r="K57" s="532">
        <f t="shared" si="64"/>
        <v>369156.58697788953</v>
      </c>
      <c r="L57" s="532">
        <f t="shared" si="64"/>
        <v>454377.2284997658</v>
      </c>
      <c r="M57" s="532">
        <f t="shared" si="64"/>
        <v>232184.43350193292</v>
      </c>
      <c r="N57" s="532">
        <f t="shared" si="64"/>
        <v>614226.35332457256</v>
      </c>
      <c r="O57" s="532">
        <f t="shared" si="64"/>
        <v>410299.43311923969</v>
      </c>
      <c r="P57" s="532">
        <f t="shared" si="64"/>
        <v>359061.21742437303</v>
      </c>
      <c r="Q57" s="532">
        <f t="shared" si="59"/>
        <v>393056.82682196487</v>
      </c>
      <c r="R57" s="532">
        <f t="shared" si="59"/>
        <v>437157.6902997049</v>
      </c>
      <c r="S57" s="532">
        <f t="shared" ref="S57:V57" si="65">+S46*S33</f>
        <v>419415.28928638599</v>
      </c>
      <c r="T57" s="532">
        <f t="shared" si="65"/>
        <v>446112.16897370393</v>
      </c>
      <c r="U57" s="532">
        <f t="shared" si="65"/>
        <v>436105.05761716439</v>
      </c>
      <c r="V57" s="532">
        <f t="shared" si="65"/>
        <v>388114.58808231959</v>
      </c>
      <c r="Y57" s="409"/>
      <c r="Z57" s="521" t="str">
        <f t="shared" si="61"/>
        <v>Costos Concesion</v>
      </c>
      <c r="AA57" s="497"/>
      <c r="AB57" s="498"/>
      <c r="AC57" s="533">
        <f t="shared" si="62"/>
        <v>327234.35094305972</v>
      </c>
      <c r="AD57" s="533">
        <f t="shared" si="62"/>
        <v>737552.29988608486</v>
      </c>
      <c r="AE57" s="533">
        <f t="shared" si="62"/>
        <v>482960.4203480694</v>
      </c>
      <c r="AF57" s="533">
        <f t="shared" si="62"/>
        <v>267263.41633909341</v>
      </c>
      <c r="AG57" s="533">
        <f t="shared" si="62"/>
        <v>276525.67422314966</v>
      </c>
      <c r="AH57" s="533">
        <f t="shared" si="62"/>
        <v>276525.67422314966</v>
      </c>
      <c r="AI57" s="533">
        <f t="shared" si="62"/>
        <v>310155.00869165547</v>
      </c>
      <c r="AJ57" s="533">
        <f t="shared" si="62"/>
        <v>396517.67136425839</v>
      </c>
      <c r="AK57" s="533">
        <f t="shared" si="62"/>
        <v>178674.64264926221</v>
      </c>
      <c r="AL57" s="533">
        <f t="shared" si="62"/>
        <v>528022.58927000477</v>
      </c>
      <c r="AM57" s="533">
        <f t="shared" si="63"/>
        <v>309701.41884670052</v>
      </c>
      <c r="AN57" s="533">
        <f t="shared" si="63"/>
        <v>212799.95141581169</v>
      </c>
      <c r="AO57" s="533">
        <f t="shared" si="63"/>
        <v>291741.40056175517</v>
      </c>
      <c r="AP57" s="533">
        <f t="shared" si="63"/>
        <v>325282.00401946122</v>
      </c>
      <c r="AQ57" s="533">
        <f t="shared" si="63"/>
        <v>298475.36858685227</v>
      </c>
      <c r="AR57" s="533">
        <f t="shared" si="63"/>
        <v>315479.21245190542</v>
      </c>
      <c r="AS57" s="533">
        <f t="shared" si="63"/>
        <v>285329.9890098609</v>
      </c>
      <c r="AT57" s="533">
        <f t="shared" si="63"/>
        <v>242197.43761951299</v>
      </c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</row>
    <row r="58" spans="2:83" ht="16.5" customHeight="1">
      <c r="B58" s="521" t="str">
        <f t="shared" si="57"/>
        <v>Otros</v>
      </c>
      <c r="C58" s="497"/>
      <c r="D58" s="498"/>
      <c r="E58" s="495">
        <f t="shared" ref="E58:P58" si="66">+E47*E34</f>
        <v>76753.088674660408</v>
      </c>
      <c r="F58" s="495">
        <f t="shared" si="66"/>
        <v>191680.08061543861</v>
      </c>
      <c r="G58" s="532">
        <f t="shared" si="66"/>
        <v>132262.58312479008</v>
      </c>
      <c r="H58" s="532">
        <f t="shared" si="66"/>
        <v>155098.15735025998</v>
      </c>
      <c r="I58" s="532">
        <f t="shared" si="66"/>
        <v>102941.48050311013</v>
      </c>
      <c r="J58" s="532">
        <f t="shared" si="66"/>
        <v>102279.39196161237</v>
      </c>
      <c r="K58" s="532">
        <f t="shared" si="66"/>
        <v>213652.64473123252</v>
      </c>
      <c r="L58" s="532">
        <f t="shared" si="66"/>
        <v>213432.93590430546</v>
      </c>
      <c r="M58" s="532">
        <f t="shared" si="66"/>
        <v>96512.254012177218</v>
      </c>
      <c r="N58" s="532">
        <f t="shared" si="66"/>
        <v>428943.22258570662</v>
      </c>
      <c r="O58" s="532">
        <f t="shared" si="66"/>
        <v>204064.04361325718</v>
      </c>
      <c r="P58" s="532">
        <f t="shared" si="66"/>
        <v>268609.32974131772</v>
      </c>
      <c r="Q58" s="532">
        <f t="shared" si="59"/>
        <v>267088.8059002466</v>
      </c>
      <c r="R58" s="532">
        <f t="shared" si="59"/>
        <v>501039.5881022322</v>
      </c>
      <c r="S58" s="532">
        <f t="shared" ref="S58:V58" si="67">+S47*S34</f>
        <v>593427.29132025782</v>
      </c>
      <c r="T58" s="532">
        <f t="shared" si="67"/>
        <v>829822.9855920251</v>
      </c>
      <c r="U58" s="532">
        <f t="shared" si="67"/>
        <v>710949.05685848731</v>
      </c>
      <c r="V58" s="532">
        <f t="shared" si="67"/>
        <v>465911.84742131655</v>
      </c>
      <c r="Y58" s="409"/>
      <c r="Z58" s="521" t="str">
        <f t="shared" si="61"/>
        <v>Otros</v>
      </c>
      <c r="AA58" s="497"/>
      <c r="AB58" s="498"/>
      <c r="AC58" s="533">
        <f t="shared" si="62"/>
        <v>76753.088674660408</v>
      </c>
      <c r="AD58" s="533">
        <f t="shared" si="62"/>
        <v>156680.58262636643</v>
      </c>
      <c r="AE58" s="533">
        <f t="shared" si="62"/>
        <v>117624.88929343203</v>
      </c>
      <c r="AF58" s="533">
        <f t="shared" si="62"/>
        <v>83228.691760064001</v>
      </c>
      <c r="AG58" s="533">
        <f t="shared" si="62"/>
        <v>88746.077658914131</v>
      </c>
      <c r="AH58" s="533">
        <f t="shared" si="62"/>
        <v>88746.077658914131</v>
      </c>
      <c r="AI58" s="533">
        <f t="shared" si="62"/>
        <v>179504.95865750202</v>
      </c>
      <c r="AJ58" s="533">
        <f t="shared" si="62"/>
        <v>186254.78001315781</v>
      </c>
      <c r="AK58" s="533">
        <f t="shared" si="62"/>
        <v>74269.804554994116</v>
      </c>
      <c r="AL58" s="533">
        <f t="shared" si="62"/>
        <v>368743.06973904924</v>
      </c>
      <c r="AM58" s="533">
        <f t="shared" si="63"/>
        <v>154031.22388485994</v>
      </c>
      <c r="AN58" s="533">
        <f t="shared" si="63"/>
        <v>159193.0555151795</v>
      </c>
      <c r="AO58" s="533">
        <f t="shared" si="63"/>
        <v>198243.2487885498</v>
      </c>
      <c r="AP58" s="533">
        <f t="shared" si="63"/>
        <v>372815.49639272009</v>
      </c>
      <c r="AQ58" s="533">
        <f t="shared" si="63"/>
        <v>422310.3783547756</v>
      </c>
      <c r="AR58" s="533">
        <f t="shared" si="63"/>
        <v>586829.77102221176</v>
      </c>
      <c r="AS58" s="533">
        <f t="shared" si="63"/>
        <v>465151.8780552182</v>
      </c>
      <c r="AT58" s="533">
        <f t="shared" si="63"/>
        <v>290745.72063774709</v>
      </c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</row>
    <row r="59" spans="2:83" ht="16.5" customHeight="1">
      <c r="B59" s="521" t="str">
        <f t="shared" si="57"/>
        <v>Equipos de Seguridad y Rescate</v>
      </c>
      <c r="C59" s="497"/>
      <c r="D59" s="498"/>
      <c r="E59" s="495">
        <f t="shared" ref="E59:P59" si="68">+E48*E35</f>
        <v>0</v>
      </c>
      <c r="F59" s="495">
        <f t="shared" si="68"/>
        <v>520848.87839705066</v>
      </c>
      <c r="G59" s="495">
        <f t="shared" si="68"/>
        <v>639202.87424046546</v>
      </c>
      <c r="H59" s="495">
        <f t="shared" si="68"/>
        <v>650340.27855388576</v>
      </c>
      <c r="I59" s="495">
        <f t="shared" si="68"/>
        <v>330067.35957169277</v>
      </c>
      <c r="J59" s="495">
        <f t="shared" si="68"/>
        <v>327944.46590796474</v>
      </c>
      <c r="K59" s="495">
        <f t="shared" si="68"/>
        <v>421706.46236345265</v>
      </c>
      <c r="L59" s="495">
        <f t="shared" si="68"/>
        <v>339745.31871588755</v>
      </c>
      <c r="M59" s="495">
        <f t="shared" si="68"/>
        <v>119086.28238481676</v>
      </c>
      <c r="N59" s="495">
        <f t="shared" si="68"/>
        <v>332397.34015737526</v>
      </c>
      <c r="O59" s="495">
        <f t="shared" si="68"/>
        <v>126054.93137445534</v>
      </c>
      <c r="P59" s="495">
        <f t="shared" si="68"/>
        <v>139666.63532439678</v>
      </c>
      <c r="Q59" s="495">
        <f t="shared" si="59"/>
        <v>80210.27414479616</v>
      </c>
      <c r="R59" s="495">
        <f t="shared" si="59"/>
        <v>80842.936937304781</v>
      </c>
      <c r="S59" s="495">
        <f t="shared" ref="S59:V59" si="69">+S48*S35</f>
        <v>171152.79466205768</v>
      </c>
      <c r="T59" s="495">
        <f t="shared" si="69"/>
        <v>371145.98411097506</v>
      </c>
      <c r="U59" s="495">
        <f t="shared" si="69"/>
        <v>836737.2473165117</v>
      </c>
      <c r="V59" s="495">
        <f t="shared" si="69"/>
        <v>773036.42414507887</v>
      </c>
      <c r="Y59" s="409"/>
      <c r="Z59" s="521" t="str">
        <f t="shared" si="61"/>
        <v>Equipos de Seguridad y Rescate</v>
      </c>
      <c r="AA59" s="497"/>
      <c r="AB59" s="498"/>
      <c r="AC59" s="533">
        <f t="shared" si="62"/>
        <v>0</v>
      </c>
      <c r="AD59" s="533">
        <f t="shared" si="62"/>
        <v>425745.36417930986</v>
      </c>
      <c r="AE59" s="533">
        <f t="shared" si="62"/>
        <v>568461.35575350118</v>
      </c>
      <c r="AF59" s="533">
        <f t="shared" si="62"/>
        <v>348985.25880407431</v>
      </c>
      <c r="AG59" s="533">
        <f t="shared" si="62"/>
        <v>284551.79954728932</v>
      </c>
      <c r="AH59" s="533">
        <f t="shared" si="62"/>
        <v>284551.79954728932</v>
      </c>
      <c r="AI59" s="533">
        <f t="shared" si="62"/>
        <v>354305.93984632817</v>
      </c>
      <c r="AJ59" s="533">
        <f t="shared" si="62"/>
        <v>296482.77727060649</v>
      </c>
      <c r="AK59" s="533">
        <f t="shared" si="62"/>
        <v>91641.36728984947</v>
      </c>
      <c r="AL59" s="533">
        <f t="shared" si="62"/>
        <v>285746.9453506404</v>
      </c>
      <c r="AM59" s="533">
        <f t="shared" si="63"/>
        <v>95148.53774596077</v>
      </c>
      <c r="AN59" s="533">
        <f t="shared" si="63"/>
        <v>82774.334205841937</v>
      </c>
      <c r="AO59" s="533">
        <f t="shared" si="63"/>
        <v>59535.049696629489</v>
      </c>
      <c r="AP59" s="533">
        <f t="shared" si="63"/>
        <v>60153.928711072185</v>
      </c>
      <c r="AQ59" s="533">
        <f t="shared" si="63"/>
        <v>121800.26521766979</v>
      </c>
      <c r="AR59" s="533">
        <f t="shared" si="63"/>
        <v>262465.02766643785</v>
      </c>
      <c r="AS59" s="533">
        <f t="shared" si="63"/>
        <v>547451.18271603575</v>
      </c>
      <c r="AT59" s="533">
        <f t="shared" si="63"/>
        <v>482402.48334797967</v>
      </c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</row>
    <row r="60" spans="2:83" ht="16.5" customHeight="1">
      <c r="B60" s="521" t="str">
        <f t="shared" si="57"/>
        <v>Equipos de Computo</v>
      </c>
      <c r="C60" s="497"/>
      <c r="D60" s="498"/>
      <c r="E60" s="495">
        <f t="shared" ref="E60:P60" si="70">+E49*E36</f>
        <v>75299.677277017487</v>
      </c>
      <c r="F60" s="495">
        <f t="shared" si="70"/>
        <v>212717.05288025335</v>
      </c>
      <c r="G60" s="495">
        <f t="shared" si="70"/>
        <v>173792.69077052019</v>
      </c>
      <c r="H60" s="495">
        <f t="shared" si="70"/>
        <v>257966.43308832927</v>
      </c>
      <c r="I60" s="495">
        <f t="shared" si="70"/>
        <v>145790.29728434366</v>
      </c>
      <c r="J60" s="495">
        <f t="shared" si="70"/>
        <v>144852.61808231781</v>
      </c>
      <c r="K60" s="495">
        <f t="shared" si="70"/>
        <v>127263.94641141557</v>
      </c>
      <c r="L60" s="495">
        <f t="shared" si="70"/>
        <v>96472.370007733611</v>
      </c>
      <c r="M60" s="495">
        <f t="shared" si="70"/>
        <v>90753.912346277953</v>
      </c>
      <c r="N60" s="495">
        <f t="shared" si="70"/>
        <v>187717.51672152377</v>
      </c>
      <c r="O60" s="495">
        <f t="shared" si="70"/>
        <v>157864.76046290231</v>
      </c>
      <c r="P60" s="495">
        <f t="shared" si="70"/>
        <v>225489.9026026717</v>
      </c>
      <c r="Q60" s="495">
        <f t="shared" si="59"/>
        <v>174231.8438467762</v>
      </c>
      <c r="R60" s="495">
        <f t="shared" si="59"/>
        <v>183923.64023797881</v>
      </c>
      <c r="S60" s="495">
        <f t="shared" ref="S60:V60" si="71">+S49*S36</f>
        <v>197126.19846925052</v>
      </c>
      <c r="T60" s="495">
        <f t="shared" si="71"/>
        <v>225873.03085490002</v>
      </c>
      <c r="U60" s="495">
        <f t="shared" si="71"/>
        <v>288606.50500386761</v>
      </c>
      <c r="V60" s="495">
        <f t="shared" si="71"/>
        <v>303760.92249186389</v>
      </c>
      <c r="Y60" s="409"/>
      <c r="Z60" s="521" t="str">
        <f t="shared" si="61"/>
        <v>Equipos de Computo</v>
      </c>
      <c r="AA60" s="497"/>
      <c r="AB60" s="498"/>
      <c r="AC60" s="533">
        <f t="shared" si="62"/>
        <v>75299.677277017487</v>
      </c>
      <c r="AD60" s="533">
        <f t="shared" si="62"/>
        <v>173876.34475544604</v>
      </c>
      <c r="AE60" s="533">
        <f t="shared" si="62"/>
        <v>154558.79908683395</v>
      </c>
      <c r="AF60" s="533">
        <f t="shared" si="62"/>
        <v>138429.81187368531</v>
      </c>
      <c r="AG60" s="533">
        <f t="shared" si="62"/>
        <v>125686.13722552436</v>
      </c>
      <c r="AH60" s="533">
        <f t="shared" si="62"/>
        <v>125686.13722552436</v>
      </c>
      <c r="AI60" s="533">
        <f t="shared" si="62"/>
        <v>106923.59772990074</v>
      </c>
      <c r="AJ60" s="533">
        <f t="shared" si="62"/>
        <v>84187.756575651918</v>
      </c>
      <c r="AK60" s="533">
        <f t="shared" si="62"/>
        <v>69838.544354260899</v>
      </c>
      <c r="AL60" s="533">
        <f t="shared" si="62"/>
        <v>161372.25095299253</v>
      </c>
      <c r="AM60" s="533">
        <f t="shared" si="63"/>
        <v>119159.17097318252</v>
      </c>
      <c r="AN60" s="533">
        <f t="shared" si="63"/>
        <v>133638.04830498376</v>
      </c>
      <c r="AO60" s="533">
        <f t="shared" si="63"/>
        <v>129321.35680558794</v>
      </c>
      <c r="AP60" s="533">
        <f t="shared" si="63"/>
        <v>136854.62159466566</v>
      </c>
      <c r="AQ60" s="533">
        <f t="shared" si="63"/>
        <v>140284.14378107977</v>
      </c>
      <c r="AR60" s="533">
        <f t="shared" si="63"/>
        <v>159731.6792594131</v>
      </c>
      <c r="AS60" s="533">
        <f t="shared" si="63"/>
        <v>188826.26895195822</v>
      </c>
      <c r="AT60" s="533">
        <f t="shared" si="63"/>
        <v>189557.72170270656</v>
      </c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</row>
    <row r="61" spans="2:83" ht="16.5" customHeight="1">
      <c r="B61" s="521" t="str">
        <f t="shared" si="57"/>
        <v>Equipos Diversos</v>
      </c>
      <c r="C61" s="497"/>
      <c r="D61" s="498"/>
      <c r="E61" s="495">
        <f t="shared" ref="E61:P61" si="72">+E50*E37</f>
        <v>45088.968834993975</v>
      </c>
      <c r="F61" s="495">
        <f t="shared" si="72"/>
        <v>134725.8884938047</v>
      </c>
      <c r="G61" s="495">
        <f t="shared" si="72"/>
        <v>107013.54331699271</v>
      </c>
      <c r="H61" s="495">
        <f t="shared" si="72"/>
        <v>130030.97631840393</v>
      </c>
      <c r="I61" s="495">
        <f t="shared" si="72"/>
        <v>69794.3994906445</v>
      </c>
      <c r="J61" s="495">
        <f t="shared" si="72"/>
        <v>69345.502972568138</v>
      </c>
      <c r="K61" s="495">
        <f t="shared" si="72"/>
        <v>179778.68273096156</v>
      </c>
      <c r="L61" s="495">
        <f t="shared" si="72"/>
        <v>239291.07971224346</v>
      </c>
      <c r="M61" s="495">
        <f t="shared" si="72"/>
        <v>119503.04326988479</v>
      </c>
      <c r="N61" s="495">
        <f t="shared" si="72"/>
        <v>523859.27404299437</v>
      </c>
      <c r="O61" s="495">
        <f t="shared" si="72"/>
        <v>237229.46408279147</v>
      </c>
      <c r="P61" s="495">
        <f t="shared" si="72"/>
        <v>310622.30287428241</v>
      </c>
      <c r="Q61" s="495">
        <f t="shared" si="59"/>
        <v>348889.97644770407</v>
      </c>
      <c r="R61" s="495">
        <f t="shared" si="59"/>
        <v>700169.06271405763</v>
      </c>
      <c r="S61" s="495">
        <f t="shared" ref="S61:V61" si="73">+S50*S37</f>
        <v>756907.38390082202</v>
      </c>
      <c r="T61" s="495">
        <f t="shared" si="73"/>
        <v>1270575.6917151939</v>
      </c>
      <c r="U61" s="495">
        <f t="shared" si="73"/>
        <v>1309496.5240257054</v>
      </c>
      <c r="V61" s="495">
        <f t="shared" si="73"/>
        <v>869309.03214808227</v>
      </c>
      <c r="Y61" s="409"/>
      <c r="Z61" s="521" t="str">
        <f t="shared" si="61"/>
        <v>Equipos Diversos</v>
      </c>
      <c r="AA61" s="497"/>
      <c r="AB61" s="498"/>
      <c r="AC61" s="533">
        <f t="shared" si="62"/>
        <v>45088.968834993975</v>
      </c>
      <c r="AD61" s="533">
        <f t="shared" si="62"/>
        <v>110125.8442519875</v>
      </c>
      <c r="AE61" s="533">
        <f t="shared" si="62"/>
        <v>95170.197709528074</v>
      </c>
      <c r="AF61" s="533">
        <f t="shared" si="62"/>
        <v>69777.154236748785</v>
      </c>
      <c r="AG61" s="533">
        <f t="shared" si="62"/>
        <v>60169.905922101811</v>
      </c>
      <c r="AH61" s="533">
        <f t="shared" si="62"/>
        <v>60169.905922101811</v>
      </c>
      <c r="AI61" s="533">
        <f t="shared" si="62"/>
        <v>151045.00602703704</v>
      </c>
      <c r="AJ61" s="533">
        <f t="shared" si="62"/>
        <v>208820.19554328703</v>
      </c>
      <c r="AK61" s="533">
        <f t="shared" si="62"/>
        <v>91962.080444847001</v>
      </c>
      <c r="AL61" s="533">
        <f t="shared" si="62"/>
        <v>450338.10222584091</v>
      </c>
      <c r="AM61" s="533">
        <f t="shared" si="63"/>
        <v>179065.08195767173</v>
      </c>
      <c r="AN61" s="533">
        <f t="shared" si="63"/>
        <v>184092.31560698192</v>
      </c>
      <c r="AO61" s="533">
        <f t="shared" si="63"/>
        <v>258959.1209845969</v>
      </c>
      <c r="AP61" s="533">
        <f t="shared" si="63"/>
        <v>520984.53470168822</v>
      </c>
      <c r="AQ61" s="533">
        <f t="shared" si="63"/>
        <v>538650.39297994215</v>
      </c>
      <c r="AR61" s="533">
        <f t="shared" si="63"/>
        <v>898518.90726269735</v>
      </c>
      <c r="AS61" s="533">
        <f t="shared" si="63"/>
        <v>856762.88839719188</v>
      </c>
      <c r="AT61" s="533">
        <f t="shared" si="63"/>
        <v>542480.04726147442</v>
      </c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</row>
    <row r="62" spans="2:83" ht="16.5" customHeight="1">
      <c r="B62" s="521" t="str">
        <f t="shared" si="57"/>
        <v>Unidades de Transporte</v>
      </c>
      <c r="C62" s="497"/>
      <c r="D62" s="498"/>
      <c r="E62" s="495">
        <f t="shared" ref="E62:P62" si="74">+E51*E38</f>
        <v>179910.46526832721</v>
      </c>
      <c r="F62" s="495">
        <f t="shared" si="74"/>
        <v>258103.59058522456</v>
      </c>
      <c r="G62" s="495">
        <f t="shared" si="74"/>
        <v>151678.0836475181</v>
      </c>
      <c r="H62" s="495">
        <f t="shared" si="74"/>
        <v>148701.50182758766</v>
      </c>
      <c r="I62" s="495">
        <f t="shared" si="74"/>
        <v>57004.310343413359</v>
      </c>
      <c r="J62" s="495">
        <f t="shared" si="74"/>
        <v>56637.675819508142</v>
      </c>
      <c r="K62" s="495">
        <f t="shared" si="74"/>
        <v>50203.911367728331</v>
      </c>
      <c r="L62" s="495">
        <f t="shared" si="74"/>
        <v>57574.193532878773</v>
      </c>
      <c r="M62" s="495">
        <f t="shared" si="74"/>
        <v>43960.811639862615</v>
      </c>
      <c r="N62" s="495">
        <f t="shared" si="74"/>
        <v>65197.058472503064</v>
      </c>
      <c r="O62" s="495">
        <f t="shared" si="74"/>
        <v>37875.71149008887</v>
      </c>
      <c r="P62" s="495">
        <f t="shared" si="74"/>
        <v>42180.970071045318</v>
      </c>
      <c r="Q62" s="495">
        <f t="shared" si="59"/>
        <v>26934.153396686204</v>
      </c>
      <c r="R62" s="495">
        <f t="shared" si="59"/>
        <v>377152.38552315679</v>
      </c>
      <c r="S62" s="495">
        <f t="shared" ref="S62:V62" si="75">+S51*S38</f>
        <v>740908.106051284</v>
      </c>
      <c r="T62" s="495">
        <f t="shared" si="75"/>
        <v>748294.79854574148</v>
      </c>
      <c r="U62" s="495">
        <f t="shared" si="75"/>
        <v>684840.31255224044</v>
      </c>
      <c r="V62" s="495">
        <f t="shared" si="75"/>
        <v>477480.07421356603</v>
      </c>
      <c r="Y62" s="409"/>
      <c r="Z62" s="521" t="str">
        <f t="shared" si="61"/>
        <v>Unidades de Transporte</v>
      </c>
      <c r="AA62" s="497"/>
      <c r="AB62" s="498"/>
      <c r="AC62" s="533">
        <f t="shared" si="62"/>
        <v>179910.46526832721</v>
      </c>
      <c r="AD62" s="533">
        <f t="shared" si="62"/>
        <v>210975.60487770874</v>
      </c>
      <c r="AE62" s="533">
        <f t="shared" si="62"/>
        <v>134891.64793073866</v>
      </c>
      <c r="AF62" s="533">
        <f t="shared" si="62"/>
        <v>79796.121832173027</v>
      </c>
      <c r="AG62" s="533">
        <f t="shared" si="62"/>
        <v>49143.541824974644</v>
      </c>
      <c r="AH62" s="533">
        <f t="shared" si="62"/>
        <v>49143.541824974644</v>
      </c>
      <c r="AI62" s="533">
        <f t="shared" si="62"/>
        <v>42179.917996547898</v>
      </c>
      <c r="AJ62" s="533">
        <f t="shared" si="62"/>
        <v>50242.802056142224</v>
      </c>
      <c r="AK62" s="533">
        <f t="shared" si="62"/>
        <v>33829.495767030356</v>
      </c>
      <c r="AL62" s="533">
        <f t="shared" si="62"/>
        <v>56046.959628330471</v>
      </c>
      <c r="AM62" s="533">
        <f t="shared" si="63"/>
        <v>28589.270765333531</v>
      </c>
      <c r="AN62" s="533">
        <f t="shared" si="63"/>
        <v>24998.824563058908</v>
      </c>
      <c r="AO62" s="533">
        <f t="shared" si="63"/>
        <v>19991.530737242691</v>
      </c>
      <c r="AP62" s="533">
        <f t="shared" si="63"/>
        <v>280633.02214719309</v>
      </c>
      <c r="AQ62" s="533">
        <f t="shared" si="63"/>
        <v>527264.56495877157</v>
      </c>
      <c r="AR62" s="533">
        <f t="shared" si="63"/>
        <v>529175.10470552288</v>
      </c>
      <c r="AS62" s="533">
        <f t="shared" si="63"/>
        <v>448069.7378785676</v>
      </c>
      <c r="AT62" s="533">
        <f t="shared" si="63"/>
        <v>297964.70949546545</v>
      </c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</row>
    <row r="63" spans="2:83" ht="16.5" customHeight="1" thickBot="1">
      <c r="B63" s="521" t="str">
        <f t="shared" si="57"/>
        <v>Muebles y Enseres</v>
      </c>
      <c r="C63" s="497"/>
      <c r="D63" s="498"/>
      <c r="E63" s="495">
        <f t="shared" ref="E63:P63" si="76">+E52*E39</f>
        <v>94373.725686869788</v>
      </c>
      <c r="F63" s="495">
        <f t="shared" si="76"/>
        <v>115509.41363326469</v>
      </c>
      <c r="G63" s="495">
        <f t="shared" si="76"/>
        <v>71012.34091327514</v>
      </c>
      <c r="H63" s="495">
        <f t="shared" si="76"/>
        <v>72230.369608858018</v>
      </c>
      <c r="I63" s="495">
        <f t="shared" si="76"/>
        <v>36915.157969811014</v>
      </c>
      <c r="J63" s="495">
        <f t="shared" si="76"/>
        <v>36677.730812362541</v>
      </c>
      <c r="K63" s="495">
        <f t="shared" si="76"/>
        <v>134543.18415948807</v>
      </c>
      <c r="L63" s="495">
        <f t="shared" si="76"/>
        <v>190568.90591714854</v>
      </c>
      <c r="M63" s="495">
        <f t="shared" si="76"/>
        <v>82987.428273947444</v>
      </c>
      <c r="N63" s="495">
        <f t="shared" si="76"/>
        <v>329659.60729149776</v>
      </c>
      <c r="O63" s="495">
        <f t="shared" si="76"/>
        <v>141159.37848613012</v>
      </c>
      <c r="P63" s="495">
        <f t="shared" si="76"/>
        <v>175570.10263546382</v>
      </c>
      <c r="Q63" s="495">
        <f t="shared" si="59"/>
        <v>153515.47141768015</v>
      </c>
      <c r="R63" s="495">
        <f t="shared" si="59"/>
        <v>240186.39054838399</v>
      </c>
      <c r="S63" s="495">
        <f t="shared" ref="S63:V63" si="77">+S52*S39</f>
        <v>351662.54552766093</v>
      </c>
      <c r="T63" s="495">
        <f t="shared" si="77"/>
        <v>554335.44963632978</v>
      </c>
      <c r="U63" s="495">
        <f t="shared" si="77"/>
        <v>427631.3250622559</v>
      </c>
      <c r="V63" s="495">
        <f t="shared" si="77"/>
        <v>250042.97299295946</v>
      </c>
      <c r="Y63" s="409"/>
      <c r="Z63" s="521" t="str">
        <f t="shared" si="61"/>
        <v>Muebles y Enseres</v>
      </c>
      <c r="AA63" s="497"/>
      <c r="AB63" s="498"/>
      <c r="AC63" s="533">
        <f t="shared" si="62"/>
        <v>94373.725686869788</v>
      </c>
      <c r="AD63" s="533">
        <f t="shared" si="62"/>
        <v>94418.168903003796</v>
      </c>
      <c r="AE63" s="533">
        <f t="shared" si="62"/>
        <v>63153.301115482805</v>
      </c>
      <c r="AF63" s="533">
        <f t="shared" si="62"/>
        <v>38760.223013578317</v>
      </c>
      <c r="AG63" s="533">
        <f t="shared" si="62"/>
        <v>31824.63920247342</v>
      </c>
      <c r="AH63" s="533">
        <f t="shared" si="62"/>
        <v>31824.63920247342</v>
      </c>
      <c r="AI63" s="533">
        <f t="shared" si="62"/>
        <v>113039.40908655216</v>
      </c>
      <c r="AJ63" s="533">
        <f t="shared" si="62"/>
        <v>166302.21337938623</v>
      </c>
      <c r="AK63" s="533">
        <f t="shared" si="62"/>
        <v>63861.943144028213</v>
      </c>
      <c r="AL63" s="533">
        <f t="shared" si="62"/>
        <v>283393.4403459368</v>
      </c>
      <c r="AM63" s="533">
        <f t="shared" si="63"/>
        <v>106549.64709144007</v>
      </c>
      <c r="AN63" s="533">
        <f t="shared" si="63"/>
        <v>104052.75618151373</v>
      </c>
      <c r="AO63" s="533">
        <f t="shared" si="63"/>
        <v>113944.89443527284</v>
      </c>
      <c r="AP63" s="533">
        <f t="shared" si="63"/>
        <v>178718.82890180065</v>
      </c>
      <c r="AQ63" s="533">
        <f t="shared" si="63"/>
        <v>250259.37436174037</v>
      </c>
      <c r="AR63" s="533">
        <f t="shared" si="63"/>
        <v>392011.97198400245</v>
      </c>
      <c r="AS63" s="533">
        <f t="shared" si="63"/>
        <v>279785.88908592233</v>
      </c>
      <c r="AT63" s="533">
        <f t="shared" si="63"/>
        <v>156035.7925552004</v>
      </c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</row>
    <row r="64" spans="2:83" ht="16.5" customHeight="1" thickBot="1">
      <c r="B64" s="473" t="s">
        <v>8</v>
      </c>
      <c r="C64" s="474"/>
      <c r="D64" s="475"/>
      <c r="E64" s="475">
        <f>SUM(E56:E63)</f>
        <v>7496371.7693639724</v>
      </c>
      <c r="F64" s="475">
        <f t="shared" ref="F64:O64" si="78">SUM(F56:F63)</f>
        <v>11435249.969870955</v>
      </c>
      <c r="G64" s="475">
        <f t="shared" si="78"/>
        <v>7210530.7399909068</v>
      </c>
      <c r="H64" s="475">
        <f t="shared" si="78"/>
        <v>6989935.5384384729</v>
      </c>
      <c r="I64" s="475">
        <f t="shared" si="78"/>
        <v>10558544.710396176</v>
      </c>
      <c r="J64" s="475">
        <f t="shared" si="78"/>
        <v>11003867.298523949</v>
      </c>
      <c r="K64" s="475">
        <f t="shared" si="78"/>
        <v>21723345.497119941</v>
      </c>
      <c r="L64" s="475">
        <f t="shared" si="78"/>
        <v>28090559.741706707</v>
      </c>
      <c r="M64" s="475">
        <f t="shared" si="78"/>
        <v>14722173.444354951</v>
      </c>
      <c r="N64" s="475">
        <f t="shared" si="78"/>
        <v>44467917.960466109</v>
      </c>
      <c r="O64" s="475">
        <f t="shared" si="78"/>
        <v>33669460.038063578</v>
      </c>
      <c r="P64" s="475">
        <f>SUM(P56:P63)</f>
        <v>30635075.536516104</v>
      </c>
      <c r="Q64" s="475">
        <f>SUM(Q56:Q63)</f>
        <v>35753802.256013252</v>
      </c>
      <c r="R64" s="475">
        <f t="shared" ref="R64:V64" si="79">SUM(R56:R63)</f>
        <v>44147283.01763501</v>
      </c>
      <c r="S64" s="475">
        <f t="shared" si="79"/>
        <v>45425230.291205108</v>
      </c>
      <c r="T64" s="475">
        <f t="shared" si="79"/>
        <v>51923303.347590305</v>
      </c>
      <c r="U64" s="475">
        <f t="shared" si="79"/>
        <v>53119958.095405854</v>
      </c>
      <c r="V64" s="475">
        <f t="shared" si="79"/>
        <v>48180132.535655022</v>
      </c>
      <c r="Y64" s="409"/>
      <c r="Z64" s="836" t="s">
        <v>8</v>
      </c>
      <c r="AA64" s="837"/>
      <c r="AB64" s="838"/>
      <c r="AC64" s="534">
        <f>SUM(AC56:AC63)</f>
        <v>7496371.7693639724</v>
      </c>
      <c r="AD64" s="534">
        <f t="shared" ref="AD64:AN64" si="80">SUM(AD56:AD63)</f>
        <v>9347249.9698709529</v>
      </c>
      <c r="AE64" s="534">
        <f t="shared" si="80"/>
        <v>6412530.7399909068</v>
      </c>
      <c r="AF64" s="534">
        <f t="shared" si="80"/>
        <v>3750935.5384384748</v>
      </c>
      <c r="AG64" s="534">
        <f t="shared" si="80"/>
        <v>9102544.7103961725</v>
      </c>
      <c r="AH64" s="534">
        <f t="shared" si="80"/>
        <v>9547867.2985239457</v>
      </c>
      <c r="AI64" s="534">
        <f t="shared" si="80"/>
        <v>18251345.497119945</v>
      </c>
      <c r="AJ64" s="534">
        <f t="shared" si="80"/>
        <v>24513559.741706703</v>
      </c>
      <c r="AK64" s="534">
        <f t="shared" si="80"/>
        <v>11329265.444354953</v>
      </c>
      <c r="AL64" s="534">
        <f t="shared" si="80"/>
        <v>38227055.960466094</v>
      </c>
      <c r="AM64" s="534">
        <f t="shared" si="80"/>
        <v>25414316.23806357</v>
      </c>
      <c r="AN64" s="534">
        <f t="shared" si="80"/>
        <v>18156075.5365161</v>
      </c>
      <c r="AO64" s="534">
        <f>SUM(AO56:AO63)</f>
        <v>26537802.256013241</v>
      </c>
      <c r="AP64" s="534">
        <f t="shared" ref="AP64:AT64" si="81">SUM(AP56:AP63)</f>
        <v>32849283.017635021</v>
      </c>
      <c r="AQ64" s="534">
        <f t="shared" si="81"/>
        <v>32326700.291205119</v>
      </c>
      <c r="AR64" s="534">
        <f t="shared" si="81"/>
        <v>36718843.347590297</v>
      </c>
      <c r="AS64" s="534">
        <f t="shared" si="81"/>
        <v>34754738.095405839</v>
      </c>
      <c r="AT64" s="534">
        <f t="shared" si="81"/>
        <v>30066132.535655025</v>
      </c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  <row r="65" spans="2:70" ht="16.5" customHeight="1">
      <c r="B65" s="400"/>
      <c r="C65" s="476"/>
      <c r="D65" s="529"/>
      <c r="E65" s="503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5"/>
      <c r="S65" s="535"/>
      <c r="T65" s="535"/>
      <c r="U65" s="535"/>
      <c r="V65" s="535"/>
      <c r="Z65" s="536" t="s">
        <v>534</v>
      </c>
      <c r="AA65" s="518"/>
      <c r="AB65" s="519"/>
      <c r="AC65" s="537">
        <f>+AC70</f>
        <v>0</v>
      </c>
      <c r="AD65" s="537">
        <f>+AD72</f>
        <v>2088000</v>
      </c>
      <c r="AE65" s="537">
        <f t="shared" ref="AE65:AO65" si="82">+AE72</f>
        <v>798000</v>
      </c>
      <c r="AF65" s="537">
        <f t="shared" si="82"/>
        <v>3239000</v>
      </c>
      <c r="AG65" s="537">
        <f t="shared" si="82"/>
        <v>1456000</v>
      </c>
      <c r="AH65" s="537">
        <f t="shared" si="82"/>
        <v>1456000</v>
      </c>
      <c r="AI65" s="537">
        <f t="shared" si="82"/>
        <v>3472000</v>
      </c>
      <c r="AJ65" s="537">
        <f t="shared" si="82"/>
        <v>3577000</v>
      </c>
      <c r="AK65" s="537">
        <f t="shared" si="82"/>
        <v>3392908</v>
      </c>
      <c r="AL65" s="537">
        <f t="shared" si="82"/>
        <v>6240862</v>
      </c>
      <c r="AM65" s="537">
        <f t="shared" si="82"/>
        <v>8255143.7999999998</v>
      </c>
      <c r="AN65" s="537">
        <f t="shared" si="82"/>
        <v>12479000</v>
      </c>
      <c r="AO65" s="537">
        <f t="shared" si="82"/>
        <v>9216000</v>
      </c>
      <c r="AP65" s="537">
        <f t="shared" ref="AP65:AT65" si="83">+AP72</f>
        <v>11298000</v>
      </c>
      <c r="AQ65" s="537">
        <f t="shared" si="83"/>
        <v>13098530</v>
      </c>
      <c r="AR65" s="537">
        <f t="shared" si="83"/>
        <v>15204460</v>
      </c>
      <c r="AS65" s="537">
        <f t="shared" si="83"/>
        <v>18365220</v>
      </c>
      <c r="AT65" s="537">
        <f t="shared" si="83"/>
        <v>18114000</v>
      </c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</row>
    <row r="66" spans="2:70" ht="16.5" customHeight="1" thickBot="1">
      <c r="E66" s="486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507"/>
      <c r="V66" s="507"/>
      <c r="Z66" s="538" t="s">
        <v>228</v>
      </c>
      <c r="AA66" s="539"/>
      <c r="AB66" s="540"/>
      <c r="AC66" s="541">
        <f t="shared" ref="AC66:AN66" si="84">+AC64+AC65</f>
        <v>7496371.7693639724</v>
      </c>
      <c r="AD66" s="541">
        <f t="shared" si="84"/>
        <v>11435249.969870953</v>
      </c>
      <c r="AE66" s="541">
        <f t="shared" si="84"/>
        <v>7210530.7399909068</v>
      </c>
      <c r="AF66" s="541">
        <f t="shared" si="84"/>
        <v>6989935.5384384748</v>
      </c>
      <c r="AG66" s="541">
        <f t="shared" si="84"/>
        <v>10558544.710396172</v>
      </c>
      <c r="AH66" s="541">
        <f t="shared" si="84"/>
        <v>11003867.298523946</v>
      </c>
      <c r="AI66" s="541">
        <f t="shared" si="84"/>
        <v>21723345.497119945</v>
      </c>
      <c r="AJ66" s="541">
        <f t="shared" si="84"/>
        <v>28090559.741706703</v>
      </c>
      <c r="AK66" s="541">
        <f t="shared" si="84"/>
        <v>14722173.444354953</v>
      </c>
      <c r="AL66" s="541">
        <f t="shared" si="84"/>
        <v>44467917.960466094</v>
      </c>
      <c r="AM66" s="541">
        <f t="shared" si="84"/>
        <v>33669460.038063571</v>
      </c>
      <c r="AN66" s="541">
        <f t="shared" si="84"/>
        <v>30635075.5365161</v>
      </c>
      <c r="AO66" s="541">
        <f>+AO64+AO65</f>
        <v>35753802.256013244</v>
      </c>
      <c r="AP66" s="541">
        <f t="shared" ref="AP66:AT66" si="85">+AP64+AP65</f>
        <v>44147283.017635018</v>
      </c>
      <c r="AQ66" s="541">
        <f t="shared" si="85"/>
        <v>45425230.291205123</v>
      </c>
      <c r="AR66" s="541">
        <f t="shared" si="85"/>
        <v>51923303.347590297</v>
      </c>
      <c r="AS66" s="541">
        <f t="shared" si="85"/>
        <v>53119958.095405839</v>
      </c>
      <c r="AT66" s="541">
        <f t="shared" si="85"/>
        <v>48180132.535655022</v>
      </c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</row>
    <row r="67" spans="2:70" ht="33" customHeight="1" thickBot="1">
      <c r="B67" s="830" t="s">
        <v>289</v>
      </c>
      <c r="C67" s="824"/>
      <c r="D67" s="824"/>
      <c r="E67" s="458">
        <v>2001</v>
      </c>
      <c r="F67" s="458">
        <v>2002</v>
      </c>
      <c r="G67" s="458">
        <v>2003</v>
      </c>
      <c r="H67" s="458">
        <v>2004</v>
      </c>
      <c r="I67" s="459">
        <v>2005</v>
      </c>
      <c r="J67" s="458">
        <v>2005</v>
      </c>
      <c r="K67" s="458">
        <v>2006</v>
      </c>
      <c r="L67" s="456">
        <v>2007</v>
      </c>
      <c r="M67" s="458">
        <v>2008</v>
      </c>
      <c r="N67" s="456">
        <v>2009</v>
      </c>
      <c r="O67" s="458">
        <v>2010</v>
      </c>
      <c r="P67" s="456">
        <v>2011</v>
      </c>
      <c r="Q67" s="458">
        <v>2012</v>
      </c>
      <c r="R67" s="456">
        <v>2013</v>
      </c>
      <c r="S67" s="458">
        <v>2014</v>
      </c>
      <c r="T67" s="456">
        <v>2015</v>
      </c>
      <c r="U67" s="458">
        <v>2016</v>
      </c>
      <c r="V67" s="456">
        <v>2017</v>
      </c>
      <c r="Z67" s="542" t="s">
        <v>229</v>
      </c>
      <c r="AA67" s="543"/>
      <c r="AB67" s="544"/>
      <c r="AC67" s="545">
        <f t="shared" ref="AC67:AN67" si="86">+AC65/AC66</f>
        <v>0</v>
      </c>
      <c r="AD67" s="545">
        <f t="shared" si="86"/>
        <v>0.18259329752312911</v>
      </c>
      <c r="AE67" s="545">
        <f t="shared" si="86"/>
        <v>0.11067146494142903</v>
      </c>
      <c r="AF67" s="545">
        <f t="shared" si="86"/>
        <v>0.46338052506898803</v>
      </c>
      <c r="AG67" s="545">
        <f t="shared" si="86"/>
        <v>0.13789779178245945</v>
      </c>
      <c r="AH67" s="545">
        <f t="shared" si="86"/>
        <v>0.13231711729160051</v>
      </c>
      <c r="AI67" s="545">
        <f t="shared" si="86"/>
        <v>0.15982805228873764</v>
      </c>
      <c r="AJ67" s="546">
        <f t="shared" si="86"/>
        <v>0.12733815320486994</v>
      </c>
      <c r="AK67" s="547">
        <f t="shared" si="86"/>
        <v>0.23046243904299138</v>
      </c>
      <c r="AL67" s="547">
        <f t="shared" si="86"/>
        <v>0.14034527106819791</v>
      </c>
      <c r="AM67" s="547">
        <f t="shared" si="86"/>
        <v>0.24518194799285464</v>
      </c>
      <c r="AN67" s="547">
        <f t="shared" si="86"/>
        <v>0.40734353617393249</v>
      </c>
      <c r="AO67" s="547">
        <f>+AO65/AO66</f>
        <v>0.25776279496119908</v>
      </c>
      <c r="AP67" s="547">
        <f t="shared" ref="AP67:AT67" si="87">+AP65/AP66</f>
        <v>0.2559160887768997</v>
      </c>
      <c r="AQ67" s="547">
        <f t="shared" si="87"/>
        <v>0.28835362894210875</v>
      </c>
      <c r="AR67" s="547">
        <f t="shared" si="87"/>
        <v>0.29282536009345833</v>
      </c>
      <c r="AS67" s="547">
        <f t="shared" si="87"/>
        <v>0.34573107092846794</v>
      </c>
      <c r="AT67" s="547">
        <f t="shared" si="87"/>
        <v>0.37596409654114155</v>
      </c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2:70" ht="16.5" customHeight="1">
      <c r="B68" s="521" t="str">
        <f t="shared" ref="B68:B75" si="88">+B5</f>
        <v>Mejoras Aeropuerto</v>
      </c>
      <c r="C68" s="497"/>
      <c r="D68" s="498"/>
      <c r="E68" s="495">
        <f t="shared" ref="E68:P68" si="89">($E56/$E32)*E32</f>
        <v>6697711.4926790437</v>
      </c>
      <c r="F68" s="495">
        <f t="shared" si="89"/>
        <v>6785469.5343375709</v>
      </c>
      <c r="G68" s="495">
        <f t="shared" si="89"/>
        <v>6575523.2970788768</v>
      </c>
      <c r="H68" s="495">
        <f t="shared" si="89"/>
        <v>6207277.3423150573</v>
      </c>
      <c r="I68" s="495">
        <f t="shared" si="89"/>
        <v>16670872.536363333</v>
      </c>
      <c r="J68" s="495">
        <f t="shared" si="89"/>
        <v>17577787.949955747</v>
      </c>
      <c r="K68" s="495">
        <f t="shared" si="89"/>
        <v>28447732.177046377</v>
      </c>
      <c r="L68" s="495">
        <f t="shared" si="89"/>
        <v>28505471.239548866</v>
      </c>
      <c r="M68" s="495">
        <f t="shared" si="89"/>
        <v>26896002.747852035</v>
      </c>
      <c r="N68" s="495">
        <f t="shared" si="89"/>
        <v>29264244.31668479</v>
      </c>
      <c r="O68" s="495">
        <f t="shared" si="89"/>
        <v>32352604.775977973</v>
      </c>
      <c r="P68" s="495">
        <f t="shared" si="89"/>
        <v>30487572.278165914</v>
      </c>
      <c r="Q68" s="495">
        <f t="shared" ref="Q68:U68" si="90">($E56/$E32)*Q32</f>
        <v>30353916.079234097</v>
      </c>
      <c r="R68" s="495">
        <f t="shared" si="90"/>
        <v>31178494.960492991</v>
      </c>
      <c r="S68" s="495">
        <f t="shared" si="90"/>
        <v>30949633.145980041</v>
      </c>
      <c r="T68" s="495">
        <f t="shared" si="90"/>
        <v>30747121.978204571</v>
      </c>
      <c r="U68" s="495">
        <f t="shared" si="90"/>
        <v>30077910.32995997</v>
      </c>
      <c r="V68" s="495">
        <f>($E56/$E32)*V32</f>
        <v>28914128.208145045</v>
      </c>
      <c r="AF68" s="54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2:70" ht="16.5" customHeight="1">
      <c r="B69" s="521" t="str">
        <f t="shared" si="88"/>
        <v>Costos Concesion</v>
      </c>
      <c r="C69" s="497"/>
      <c r="D69" s="498"/>
      <c r="E69" s="495">
        <f t="shared" ref="E69:P69" si="91">($E57/$E33)*E33</f>
        <v>327234.35094305972</v>
      </c>
      <c r="F69" s="495">
        <f t="shared" si="91"/>
        <v>672454.5129253167</v>
      </c>
      <c r="G69" s="495">
        <f t="shared" si="91"/>
        <v>664023.82957840781</v>
      </c>
      <c r="H69" s="495">
        <f t="shared" si="91"/>
        <v>614885.56417579786</v>
      </c>
      <c r="I69" s="495">
        <f t="shared" si="91"/>
        <v>568125.79143709398</v>
      </c>
      <c r="J69" s="495">
        <f t="shared" si="91"/>
        <v>568125.79143709398</v>
      </c>
      <c r="K69" s="495">
        <f t="shared" si="91"/>
        <v>522621.58393363451</v>
      </c>
      <c r="L69" s="495">
        <f t="shared" si="91"/>
        <v>490306.1911029261</v>
      </c>
      <c r="M69" s="495">
        <f t="shared" si="91"/>
        <v>454709.10831608524</v>
      </c>
      <c r="N69" s="495">
        <f t="shared" si="91"/>
        <v>428102.07816571585</v>
      </c>
      <c r="O69" s="495">
        <f t="shared" si="91"/>
        <v>412090.87015585782</v>
      </c>
      <c r="P69" s="495">
        <f t="shared" si="91"/>
        <v>379367.48620636354</v>
      </c>
      <c r="Q69" s="495">
        <f t="shared" ref="Q69:V69" si="92">($E57/$E33)*Q33</f>
        <v>349126.06098193867</v>
      </c>
      <c r="R69" s="495">
        <f t="shared" si="92"/>
        <v>328201.19443455391</v>
      </c>
      <c r="S69" s="495">
        <f t="shared" si="92"/>
        <v>308461.86916743161</v>
      </c>
      <c r="T69" s="495">
        <f t="shared" si="92"/>
        <v>289378.74992669013</v>
      </c>
      <c r="U69" s="495">
        <f t="shared" si="92"/>
        <v>271404.46882587747</v>
      </c>
      <c r="V69" s="495">
        <f t="shared" si="92"/>
        <v>252041.17948008818</v>
      </c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2:70" ht="16.5" customHeight="1">
      <c r="B70" s="521" t="str">
        <f t="shared" si="88"/>
        <v>Otros</v>
      </c>
      <c r="C70" s="497"/>
      <c r="D70" s="498"/>
      <c r="E70" s="495">
        <f t="shared" ref="E70:P70" si="93">($E58/$E34)*E34</f>
        <v>76753.088674660408</v>
      </c>
      <c r="F70" s="495">
        <f t="shared" si="93"/>
        <v>148784.03963772531</v>
      </c>
      <c r="G70" s="495">
        <f t="shared" si="93"/>
        <v>157227.28052202324</v>
      </c>
      <c r="H70" s="495">
        <f t="shared" si="93"/>
        <v>157418.48198985128</v>
      </c>
      <c r="I70" s="495">
        <f t="shared" si="93"/>
        <v>171620.11387626803</v>
      </c>
      <c r="J70" s="495">
        <f t="shared" si="93"/>
        <v>171620.11387626803</v>
      </c>
      <c r="K70" s="495">
        <f t="shared" si="93"/>
        <v>237329.38352112778</v>
      </c>
      <c r="L70" s="495">
        <f t="shared" si="93"/>
        <v>252203.8955927144</v>
      </c>
      <c r="M70" s="495">
        <f t="shared" si="93"/>
        <v>222059.45957669287</v>
      </c>
      <c r="N70" s="495">
        <f t="shared" si="93"/>
        <v>231080.26904360219</v>
      </c>
      <c r="O70" s="495">
        <f t="shared" si="93"/>
        <v>233633.00286333213</v>
      </c>
      <c r="P70" s="495">
        <f t="shared" si="93"/>
        <v>204028.48904695004</v>
      </c>
      <c r="Q70" s="495">
        <f t="shared" ref="Q70:V70" si="94">($E58/$E34)*Q34</f>
        <v>211767.28110924599</v>
      </c>
      <c r="R70" s="495">
        <f t="shared" si="94"/>
        <v>237457.74588044756</v>
      </c>
      <c r="S70" s="495">
        <f t="shared" si="94"/>
        <v>252144.18019171935</v>
      </c>
      <c r="T70" s="495">
        <f t="shared" si="94"/>
        <v>282931.21254732995</v>
      </c>
      <c r="U70" s="495">
        <f t="shared" si="94"/>
        <v>303031.01647164306</v>
      </c>
      <c r="V70" s="495">
        <f t="shared" si="94"/>
        <v>320724.63848199573</v>
      </c>
      <c r="Z70" s="549" t="s">
        <v>249</v>
      </c>
      <c r="AA70" s="550"/>
      <c r="AB70" s="551"/>
      <c r="AC70" s="537">
        <f>+AC75*1000</f>
        <v>0</v>
      </c>
      <c r="AD70" s="537">
        <f>+AD75*1000</f>
        <v>1685000</v>
      </c>
      <c r="AE70" s="537">
        <f>+AE75*1000</f>
        <v>644000</v>
      </c>
      <c r="AF70" s="537">
        <f>+AF75*1000</f>
        <v>2614000</v>
      </c>
      <c r="AG70" s="537">
        <f>+AG75*1000</f>
        <v>1175000</v>
      </c>
      <c r="AH70" s="537">
        <f>+AG70</f>
        <v>1175000</v>
      </c>
      <c r="AI70" s="537">
        <f t="shared" ref="AI70:AT70" si="95">+AH75*1000</f>
        <v>2802000</v>
      </c>
      <c r="AJ70" s="537">
        <f t="shared" si="95"/>
        <v>2886000</v>
      </c>
      <c r="AK70" s="537">
        <f t="shared" si="95"/>
        <v>2738000</v>
      </c>
      <c r="AL70" s="537">
        <f t="shared" si="95"/>
        <v>5036000</v>
      </c>
      <c r="AM70" s="537">
        <f t="shared" si="95"/>
        <v>6662000</v>
      </c>
      <c r="AN70" s="537">
        <f t="shared" si="95"/>
        <v>12479000</v>
      </c>
      <c r="AO70" s="537">
        <f t="shared" si="95"/>
        <v>9216000</v>
      </c>
      <c r="AP70" s="537">
        <f t="shared" si="95"/>
        <v>11298000</v>
      </c>
      <c r="AQ70" s="537">
        <f t="shared" si="95"/>
        <v>13098530</v>
      </c>
      <c r="AR70" s="537">
        <f t="shared" si="95"/>
        <v>15204460</v>
      </c>
      <c r="AS70" s="537">
        <f t="shared" si="95"/>
        <v>18365220</v>
      </c>
      <c r="AT70" s="537">
        <f t="shared" si="95"/>
        <v>18114000</v>
      </c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2:70" ht="16.5" customHeight="1">
      <c r="B71" s="521" t="str">
        <f t="shared" si="88"/>
        <v>Equipos de Seguridad y Rescate</v>
      </c>
      <c r="C71" s="497"/>
      <c r="D71" s="498"/>
      <c r="E71" s="495">
        <v>0</v>
      </c>
      <c r="F71" s="495">
        <f t="shared" ref="F71:P71" si="96">($F59/$F35)*F35</f>
        <v>520848.87839705066</v>
      </c>
      <c r="G71" s="495">
        <f t="shared" si="96"/>
        <v>978926.89133064286</v>
      </c>
      <c r="H71" s="495">
        <f t="shared" si="96"/>
        <v>850374.78056928352</v>
      </c>
      <c r="I71" s="495">
        <f t="shared" si="96"/>
        <v>708926.14303921117</v>
      </c>
      <c r="J71" s="495">
        <f t="shared" si="96"/>
        <v>708926.14303921117</v>
      </c>
      <c r="K71" s="495">
        <f t="shared" si="96"/>
        <v>603495.63268193218</v>
      </c>
      <c r="L71" s="495">
        <f t="shared" si="96"/>
        <v>517207.09130132879</v>
      </c>
      <c r="M71" s="495">
        <f t="shared" si="96"/>
        <v>352995.52114128746</v>
      </c>
      <c r="N71" s="495">
        <f t="shared" si="96"/>
        <v>230696.61992492047</v>
      </c>
      <c r="O71" s="495">
        <f t="shared" si="96"/>
        <v>185929.44821579667</v>
      </c>
      <c r="P71" s="495">
        <f t="shared" si="96"/>
        <v>136673.09469732046</v>
      </c>
      <c r="Q71" s="495">
        <f t="shared" ref="Q71:V71" si="97">($F59/$F35)*Q35</f>
        <v>81932.048279792944</v>
      </c>
      <c r="R71" s="495">
        <f t="shared" si="97"/>
        <v>49360.212313265663</v>
      </c>
      <c r="S71" s="495">
        <f t="shared" si="97"/>
        <v>93688.45246395655</v>
      </c>
      <c r="T71" s="495">
        <f t="shared" si="97"/>
        <v>163027.47550041226</v>
      </c>
      <c r="U71" s="495">
        <f t="shared" si="97"/>
        <v>459471.24741809705</v>
      </c>
      <c r="V71" s="495">
        <f t="shared" si="97"/>
        <v>685565.83286641189</v>
      </c>
      <c r="Z71" s="398" t="s">
        <v>535</v>
      </c>
      <c r="AD71" s="537">
        <f>+AD76*1000</f>
        <v>403000</v>
      </c>
      <c r="AE71" s="537">
        <f>+AE76*1000</f>
        <v>154000</v>
      </c>
      <c r="AF71" s="537">
        <f>+AF76*1000</f>
        <v>625000</v>
      </c>
      <c r="AG71" s="537">
        <f>+AG76*1000</f>
        <v>281000</v>
      </c>
      <c r="AH71" s="537">
        <f>+AG71:AG71</f>
        <v>281000</v>
      </c>
      <c r="AI71" s="537">
        <f t="shared" ref="AI71:AT71" si="98">+AH76*1000</f>
        <v>670000</v>
      </c>
      <c r="AJ71" s="537">
        <f t="shared" si="98"/>
        <v>691000</v>
      </c>
      <c r="AK71" s="537">
        <f t="shared" si="98"/>
        <v>654908</v>
      </c>
      <c r="AL71" s="537">
        <f t="shared" si="98"/>
        <v>1204862</v>
      </c>
      <c r="AM71" s="537">
        <f t="shared" si="98"/>
        <v>1593143.8</v>
      </c>
      <c r="AN71" s="537">
        <f t="shared" si="98"/>
        <v>0</v>
      </c>
      <c r="AO71" s="537">
        <f t="shared" si="98"/>
        <v>0</v>
      </c>
      <c r="AP71" s="537">
        <f t="shared" si="98"/>
        <v>0</v>
      </c>
      <c r="AQ71" s="537">
        <f t="shared" si="98"/>
        <v>0</v>
      </c>
      <c r="AR71" s="537">
        <f t="shared" si="98"/>
        <v>0</v>
      </c>
      <c r="AS71" s="537">
        <f t="shared" si="98"/>
        <v>0</v>
      </c>
      <c r="AT71" s="537">
        <f t="shared" si="98"/>
        <v>0</v>
      </c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</row>
    <row r="72" spans="2:70" ht="16.5" customHeight="1">
      <c r="B72" s="521" t="str">
        <f t="shared" si="88"/>
        <v>Equipos de Computo</v>
      </c>
      <c r="C72" s="497"/>
      <c r="D72" s="498"/>
      <c r="E72" s="495">
        <f t="shared" ref="E72:P72" si="99">($E60/$E36)*E36</f>
        <v>75299.677277017487</v>
      </c>
      <c r="F72" s="495">
        <f t="shared" si="99"/>
        <v>168664.18500606509</v>
      </c>
      <c r="G72" s="495">
        <f t="shared" si="99"/>
        <v>180073.10875982323</v>
      </c>
      <c r="H72" s="495">
        <f t="shared" si="99"/>
        <v>184427.81526056831</v>
      </c>
      <c r="I72" s="495">
        <f t="shared" si="99"/>
        <v>161239.80276948799</v>
      </c>
      <c r="J72" s="495">
        <f t="shared" si="99"/>
        <v>161239.80276948799</v>
      </c>
      <c r="K72" s="495">
        <f t="shared" si="99"/>
        <v>112379.4817406698</v>
      </c>
      <c r="L72" s="495">
        <f t="shared" si="99"/>
        <v>87273.824204363569</v>
      </c>
      <c r="M72" s="495">
        <f t="shared" si="99"/>
        <v>88796.84851692646</v>
      </c>
      <c r="N72" s="495">
        <f t="shared" si="99"/>
        <v>105304.26811577821</v>
      </c>
      <c r="O72" s="495">
        <f t="shared" si="99"/>
        <v>119090.46856281821</v>
      </c>
      <c r="P72" s="495">
        <f t="shared" si="99"/>
        <v>119150.67127385965</v>
      </c>
      <c r="Q72" s="495">
        <f t="shared" ref="Q72:V72" si="100">($E60/$E36)*Q36</f>
        <v>102878.45042997223</v>
      </c>
      <c r="R72" s="495">
        <f t="shared" si="100"/>
        <v>83667.884669205043</v>
      </c>
      <c r="S72" s="495">
        <f t="shared" si="100"/>
        <v>83706.623723405806</v>
      </c>
      <c r="T72" s="495">
        <f t="shared" si="100"/>
        <v>86171.412344818498</v>
      </c>
      <c r="U72" s="495">
        <f t="shared" si="100"/>
        <v>126741.57001937978</v>
      </c>
      <c r="V72" s="495">
        <f t="shared" si="100"/>
        <v>168491.21667292598</v>
      </c>
      <c r="Z72" s="552" t="str">
        <f>+Z65</f>
        <v>Impuesto a la Renta mas participacion trabajadores</v>
      </c>
      <c r="AA72" s="553"/>
      <c r="AB72" s="554"/>
      <c r="AC72" s="555">
        <f>+AC70+AC69</f>
        <v>0</v>
      </c>
      <c r="AD72" s="555">
        <f>+AD70+AD71</f>
        <v>2088000</v>
      </c>
      <c r="AE72" s="555">
        <f t="shared" ref="AE72:AO72" si="101">+AE70+AE71</f>
        <v>798000</v>
      </c>
      <c r="AF72" s="555">
        <f t="shared" si="101"/>
        <v>3239000</v>
      </c>
      <c r="AG72" s="555">
        <f t="shared" si="101"/>
        <v>1456000</v>
      </c>
      <c r="AH72" s="555">
        <f t="shared" si="101"/>
        <v>1456000</v>
      </c>
      <c r="AI72" s="555">
        <f t="shared" si="101"/>
        <v>3472000</v>
      </c>
      <c r="AJ72" s="555">
        <f t="shared" si="101"/>
        <v>3577000</v>
      </c>
      <c r="AK72" s="555">
        <f t="shared" si="101"/>
        <v>3392908</v>
      </c>
      <c r="AL72" s="555">
        <f t="shared" si="101"/>
        <v>6240862</v>
      </c>
      <c r="AM72" s="555">
        <f t="shared" si="101"/>
        <v>8255143.7999999998</v>
      </c>
      <c r="AN72" s="555">
        <f t="shared" si="101"/>
        <v>12479000</v>
      </c>
      <c r="AO72" s="555">
        <f t="shared" si="101"/>
        <v>9216000</v>
      </c>
      <c r="AP72" s="555">
        <f t="shared" ref="AP72:AT72" si="102">+AP70+AP71</f>
        <v>11298000</v>
      </c>
      <c r="AQ72" s="555">
        <f t="shared" si="102"/>
        <v>13098530</v>
      </c>
      <c r="AR72" s="555">
        <f t="shared" si="102"/>
        <v>15204460</v>
      </c>
      <c r="AS72" s="555">
        <f t="shared" si="102"/>
        <v>18365220</v>
      </c>
      <c r="AT72" s="555">
        <f t="shared" si="102"/>
        <v>18114000</v>
      </c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</row>
    <row r="73" spans="2:70" ht="16.5" customHeight="1">
      <c r="B73" s="521" t="str">
        <f t="shared" si="88"/>
        <v>Equipos Diversos</v>
      </c>
      <c r="C73" s="497"/>
      <c r="D73" s="498"/>
      <c r="E73" s="495">
        <f t="shared" ref="E73:P73" si="103">($E61/$E37)*E37</f>
        <v>45088.968834993975</v>
      </c>
      <c r="F73" s="495">
        <f t="shared" si="103"/>
        <v>104575.61301899566</v>
      </c>
      <c r="G73" s="495">
        <f t="shared" si="103"/>
        <v>127212.45871087856</v>
      </c>
      <c r="H73" s="495">
        <f t="shared" si="103"/>
        <v>131976.28684572596</v>
      </c>
      <c r="I73" s="495">
        <f t="shared" si="103"/>
        <v>116358.56342816309</v>
      </c>
      <c r="J73" s="495">
        <f t="shared" si="103"/>
        <v>116358.56342816309</v>
      </c>
      <c r="K73" s="495">
        <f t="shared" si="103"/>
        <v>199701.5482605086</v>
      </c>
      <c r="L73" s="495">
        <f t="shared" si="103"/>
        <v>282759.27624906524</v>
      </c>
      <c r="M73" s="495">
        <f t="shared" si="103"/>
        <v>274957.63597990928</v>
      </c>
      <c r="N73" s="495">
        <f t="shared" si="103"/>
        <v>282213.43901209143</v>
      </c>
      <c r="O73" s="495">
        <f t="shared" si="103"/>
        <v>271604.10565205949</v>
      </c>
      <c r="P73" s="495">
        <f t="shared" si="103"/>
        <v>235940.4238890642</v>
      </c>
      <c r="Q73" s="495">
        <f t="shared" ref="Q73:V73" si="104">($E61/$E37)*Q37</f>
        <v>276625.15270742372</v>
      </c>
      <c r="R73" s="495">
        <f t="shared" si="104"/>
        <v>331831.19920133345</v>
      </c>
      <c r="S73" s="495">
        <f t="shared" si="104"/>
        <v>321606.02416873834</v>
      </c>
      <c r="T73" s="495">
        <f t="shared" si="104"/>
        <v>433207.47596991737</v>
      </c>
      <c r="U73" s="495">
        <f t="shared" si="104"/>
        <v>558152.59745196986</v>
      </c>
      <c r="V73" s="495">
        <f t="shared" si="104"/>
        <v>598415.40112781245</v>
      </c>
    </row>
    <row r="74" spans="2:70" ht="16.5" customHeight="1">
      <c r="B74" s="521" t="str">
        <f t="shared" si="88"/>
        <v>Unidades de Transporte</v>
      </c>
      <c r="C74" s="497"/>
      <c r="D74" s="498"/>
      <c r="E74" s="495">
        <f t="shared" ref="E74:P74" si="105">($E62/$E38)*E38</f>
        <v>179910.46526832721</v>
      </c>
      <c r="F74" s="495">
        <f t="shared" si="105"/>
        <v>203614.86313499691</v>
      </c>
      <c r="G74" s="495">
        <f t="shared" si="105"/>
        <v>162084.54731163176</v>
      </c>
      <c r="H74" s="495">
        <f t="shared" si="105"/>
        <v>114309.03267396349</v>
      </c>
      <c r="I74" s="495">
        <f t="shared" si="105"/>
        <v>68502.970108063033</v>
      </c>
      <c r="J74" s="495">
        <f t="shared" si="105"/>
        <v>68502.970108063033</v>
      </c>
      <c r="K74" s="495">
        <f t="shared" si="105"/>
        <v>46593.562549000679</v>
      </c>
      <c r="L74" s="495">
        <f t="shared" si="105"/>
        <v>55144.224217677234</v>
      </c>
      <c r="M74" s="495">
        <f t="shared" si="105"/>
        <v>49785.521903545021</v>
      </c>
      <c r="N74" s="495">
        <f t="shared" si="105"/>
        <v>36219.618819711774</v>
      </c>
      <c r="O74" s="495">
        <f t="shared" si="105"/>
        <v>31082.157973210378</v>
      </c>
      <c r="P74" s="495">
        <f t="shared" si="105"/>
        <v>24018.927132191988</v>
      </c>
      <c r="Q74" s="495">
        <f t="shared" ref="Q74:V74" si="106">($E62/$E38)*Q38</f>
        <v>16926.509262945176</v>
      </c>
      <c r="R74" s="495">
        <f t="shared" si="106"/>
        <v>173214.46852100891</v>
      </c>
      <c r="S74" s="495">
        <f t="shared" si="106"/>
        <v>314660.88440668455</v>
      </c>
      <c r="T74" s="495">
        <f t="shared" si="106"/>
        <v>277661.1479679654</v>
      </c>
      <c r="U74" s="495">
        <f t="shared" si="106"/>
        <v>298606.04727627797</v>
      </c>
      <c r="V74" s="495">
        <f t="shared" si="106"/>
        <v>277612.19185822993</v>
      </c>
      <c r="Z74" s="556"/>
      <c r="AA74" s="556"/>
      <c r="AB74" s="556"/>
      <c r="AC74" s="557">
        <v>2001</v>
      </c>
      <c r="AD74" s="557">
        <v>2002</v>
      </c>
      <c r="AE74" s="557">
        <v>2003</v>
      </c>
      <c r="AF74" s="557">
        <v>2004</v>
      </c>
      <c r="AG74" s="557">
        <v>2005</v>
      </c>
      <c r="AH74" s="557">
        <v>2006</v>
      </c>
      <c r="AI74" s="557">
        <v>2007</v>
      </c>
      <c r="AJ74" s="557">
        <v>2008</v>
      </c>
      <c r="AK74" s="557">
        <v>2009</v>
      </c>
      <c r="AL74" s="557">
        <v>2010</v>
      </c>
      <c r="AM74" s="557">
        <v>2011</v>
      </c>
      <c r="AN74" s="557">
        <v>2012</v>
      </c>
      <c r="AO74" s="557">
        <v>2013</v>
      </c>
      <c r="AP74" s="557">
        <v>2014</v>
      </c>
      <c r="AQ74" s="557">
        <v>2015</v>
      </c>
      <c r="AR74" s="557">
        <v>2016</v>
      </c>
      <c r="AS74" s="557">
        <v>2017</v>
      </c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2:70" ht="16.5" customHeight="1" thickBot="1">
      <c r="B75" s="559" t="str">
        <f t="shared" si="88"/>
        <v>Muebles y Enseres</v>
      </c>
      <c r="C75" s="500"/>
      <c r="D75" s="501"/>
      <c r="E75" s="560">
        <f t="shared" ref="E75:P75" si="107">($E63/$E39)*E39</f>
        <v>94373.725686869788</v>
      </c>
      <c r="F75" s="560">
        <f t="shared" si="107"/>
        <v>89659.58862998226</v>
      </c>
      <c r="G75" s="560">
        <f t="shared" si="107"/>
        <v>84415.992652757894</v>
      </c>
      <c r="H75" s="560">
        <f t="shared" si="107"/>
        <v>73310.962113588626</v>
      </c>
      <c r="I75" s="560">
        <f t="shared" si="107"/>
        <v>61543.544774916882</v>
      </c>
      <c r="J75" s="560">
        <f t="shared" si="107"/>
        <v>61543.544774916882</v>
      </c>
      <c r="K75" s="560">
        <f t="shared" si="107"/>
        <v>149453.10409664718</v>
      </c>
      <c r="L75" s="560">
        <f t="shared" si="107"/>
        <v>225186.5216936128</v>
      </c>
      <c r="M75" s="560">
        <f t="shared" si="107"/>
        <v>190940.97078954559</v>
      </c>
      <c r="N75" s="560">
        <f t="shared" si="107"/>
        <v>177594.20532750475</v>
      </c>
      <c r="O75" s="560">
        <f t="shared" si="107"/>
        <v>161613.42730490561</v>
      </c>
      <c r="P75" s="560">
        <f t="shared" si="107"/>
        <v>133358.37142004367</v>
      </c>
      <c r="Q75" s="560">
        <f t="shared" ref="Q75:V75" si="108">($E63/$E39)*Q39</f>
        <v>121718.14494714577</v>
      </c>
      <c r="R75" s="560">
        <f t="shared" si="108"/>
        <v>113831.56190672673</v>
      </c>
      <c r="S75" s="560">
        <f t="shared" si="108"/>
        <v>149419.59283492484</v>
      </c>
      <c r="T75" s="560">
        <f t="shared" si="108"/>
        <v>189002.71943139995</v>
      </c>
      <c r="U75" s="560">
        <f t="shared" si="108"/>
        <v>182271.22444094432</v>
      </c>
      <c r="V75" s="560">
        <f t="shared" si="108"/>
        <v>172124.71106280189</v>
      </c>
      <c r="Z75" s="422" t="s">
        <v>227</v>
      </c>
      <c r="AA75" s="422"/>
      <c r="AB75" s="422"/>
      <c r="AC75" s="558">
        <v>0</v>
      </c>
      <c r="AD75" s="558">
        <v>1685</v>
      </c>
      <c r="AE75" s="558">
        <v>644</v>
      </c>
      <c r="AF75" s="558">
        <v>2614</v>
      </c>
      <c r="AG75" s="558">
        <v>1175</v>
      </c>
      <c r="AH75" s="558">
        <v>2802</v>
      </c>
      <c r="AI75" s="558">
        <v>2886</v>
      </c>
      <c r="AJ75" s="558">
        <v>2738</v>
      </c>
      <c r="AK75" s="558">
        <v>5036</v>
      </c>
      <c r="AL75" s="558">
        <v>6662</v>
      </c>
      <c r="AM75" s="558">
        <v>12479</v>
      </c>
      <c r="AN75" s="625">
        <v>9216</v>
      </c>
      <c r="AO75" s="537">
        <v>11298</v>
      </c>
      <c r="AP75" s="537">
        <v>13098.53</v>
      </c>
      <c r="AQ75" s="537">
        <v>15204.46</v>
      </c>
      <c r="AR75" s="537">
        <v>18365.22</v>
      </c>
      <c r="AS75" s="537">
        <v>18114</v>
      </c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2:70" ht="16.5" customHeight="1">
      <c r="B76" s="561"/>
      <c r="E76" s="507"/>
      <c r="F76" s="507"/>
      <c r="G76" s="509"/>
      <c r="Z76" s="422" t="s">
        <v>536</v>
      </c>
      <c r="AA76" s="422"/>
      <c r="AB76" s="422"/>
      <c r="AC76" s="558">
        <v>0</v>
      </c>
      <c r="AD76" s="558">
        <v>403</v>
      </c>
      <c r="AE76" s="558">
        <v>154</v>
      </c>
      <c r="AF76" s="558">
        <v>625</v>
      </c>
      <c r="AG76" s="558">
        <v>281</v>
      </c>
      <c r="AH76" s="558">
        <v>670</v>
      </c>
      <c r="AI76" s="558">
        <v>691</v>
      </c>
      <c r="AJ76" s="558">
        <v>654.90800000000002</v>
      </c>
      <c r="AK76" s="558">
        <v>1204.8620000000001</v>
      </c>
      <c r="AL76" s="558">
        <v>1593.1438000000001</v>
      </c>
      <c r="AM76" s="558"/>
      <c r="AN76" s="558"/>
      <c r="AO76" s="537"/>
      <c r="AP76" s="537"/>
      <c r="AQ76" s="537"/>
      <c r="AR76" s="537"/>
      <c r="AS76" s="537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2:70" ht="16.5" customHeight="1" thickBot="1">
      <c r="E77" s="486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507"/>
      <c r="T77" s="507"/>
      <c r="U77" s="507"/>
      <c r="V77" s="507"/>
      <c r="AC77" s="562"/>
      <c r="AD77" s="562"/>
      <c r="AE77" s="562"/>
      <c r="AF77" s="562"/>
      <c r="AG77" s="562"/>
      <c r="AH77" s="562"/>
      <c r="AI77" s="562"/>
      <c r="AJ77" s="562"/>
      <c r="AK77" s="562"/>
      <c r="AL77" s="582"/>
      <c r="AM77" s="562"/>
      <c r="AN77" s="562"/>
    </row>
    <row r="78" spans="2:70" ht="30.75" customHeight="1" thickBot="1">
      <c r="B78" s="830" t="s">
        <v>290</v>
      </c>
      <c r="C78" s="824"/>
      <c r="D78" s="824"/>
      <c r="E78" s="458">
        <v>2001</v>
      </c>
      <c r="F78" s="458">
        <v>2002</v>
      </c>
      <c r="G78" s="458">
        <v>2003</v>
      </c>
      <c r="H78" s="458">
        <v>2004</v>
      </c>
      <c r="I78" s="459">
        <v>2005</v>
      </c>
      <c r="J78" s="458">
        <v>2005</v>
      </c>
      <c r="K78" s="458">
        <v>2006</v>
      </c>
      <c r="L78" s="456">
        <v>2007</v>
      </c>
      <c r="M78" s="458">
        <v>2008</v>
      </c>
      <c r="N78" s="456">
        <v>2009</v>
      </c>
      <c r="O78" s="458">
        <v>2010</v>
      </c>
      <c r="P78" s="456">
        <v>2011</v>
      </c>
      <c r="Q78" s="458">
        <v>2012</v>
      </c>
      <c r="R78" s="456">
        <v>2013</v>
      </c>
      <c r="S78" s="458">
        <v>2014</v>
      </c>
      <c r="T78" s="456">
        <v>2015</v>
      </c>
      <c r="U78" s="458">
        <v>2016</v>
      </c>
      <c r="V78" s="456">
        <v>2017</v>
      </c>
      <c r="AL78" s="582"/>
    </row>
    <row r="79" spans="2:70" ht="16.5" customHeight="1">
      <c r="B79" s="521" t="str">
        <f t="shared" ref="B79:B86" si="109">+B5</f>
        <v>Mejoras Aeropuerto</v>
      </c>
      <c r="C79" s="497"/>
      <c r="D79" s="498"/>
      <c r="E79" s="563">
        <f t="shared" ref="E79:P79" si="110">E56/E68</f>
        <v>1</v>
      </c>
      <c r="F79" s="563">
        <f t="shared" si="110"/>
        <v>1.3410063069051066</v>
      </c>
      <c r="G79" s="563">
        <f t="shared" si="110"/>
        <v>0.82008784805583002</v>
      </c>
      <c r="H79" s="563">
        <f t="shared" si="110"/>
        <v>0.81799432824302787</v>
      </c>
      <c r="I79" s="563">
        <f t="shared" si="110"/>
        <v>0.56957272460215302</v>
      </c>
      <c r="J79" s="563">
        <f t="shared" si="110"/>
        <v>0.56590940469781836</v>
      </c>
      <c r="K79" s="563">
        <f t="shared" si="110"/>
        <v>0.71102469442883631</v>
      </c>
      <c r="L79" s="563">
        <f t="shared" si="110"/>
        <v>0.92961444091657541</v>
      </c>
      <c r="M79" s="563">
        <f>M56/M68</f>
        <v>0.51818797795293581</v>
      </c>
      <c r="N79" s="563">
        <f t="shared" si="110"/>
        <v>1.4347172998392437</v>
      </c>
      <c r="O79" s="563">
        <f t="shared" si="110"/>
        <v>1.0000713246884669</v>
      </c>
      <c r="P79" s="563">
        <f t="shared" si="110"/>
        <v>0.95494238800682885</v>
      </c>
      <c r="Q79" s="563">
        <f t="shared" ref="Q79:U79" si="111">Q56/Q68</f>
        <v>1.1303277908022442</v>
      </c>
      <c r="R79" s="563">
        <f t="shared" si="111"/>
        <v>1.3351129160024728</v>
      </c>
      <c r="S79" s="563">
        <f>S56/S68</f>
        <v>1.3633321753110323</v>
      </c>
      <c r="T79" s="563">
        <f t="shared" si="111"/>
        <v>1.5441166581970214</v>
      </c>
      <c r="U79" s="563">
        <f t="shared" si="111"/>
        <v>1.6100052010173695</v>
      </c>
      <c r="V79" s="563">
        <f>V56/V68</f>
        <v>1.5443134357265986</v>
      </c>
      <c r="Z79" s="398" t="s">
        <v>523</v>
      </c>
      <c r="AC79" s="578">
        <f>+AC67</f>
        <v>0</v>
      </c>
      <c r="AD79" s="578">
        <f t="shared" ref="AD79:AN79" si="112">+AD67</f>
        <v>0.18259329752312911</v>
      </c>
      <c r="AE79" s="578">
        <f t="shared" si="112"/>
        <v>0.11067146494142903</v>
      </c>
      <c r="AF79" s="578">
        <f t="shared" si="112"/>
        <v>0.46338052506898803</v>
      </c>
      <c r="AG79" s="578">
        <f t="shared" si="112"/>
        <v>0.13789779178245945</v>
      </c>
      <c r="AH79" s="578">
        <f t="shared" si="112"/>
        <v>0.13231711729160051</v>
      </c>
      <c r="AI79" s="578">
        <f t="shared" si="112"/>
        <v>0.15982805228873764</v>
      </c>
      <c r="AJ79" s="578">
        <f t="shared" si="112"/>
        <v>0.12733815320486994</v>
      </c>
      <c r="AK79" s="578">
        <f t="shared" si="112"/>
        <v>0.23046243904299138</v>
      </c>
      <c r="AL79" s="578">
        <f t="shared" si="112"/>
        <v>0.14034527106819791</v>
      </c>
      <c r="AM79" s="578">
        <f t="shared" si="112"/>
        <v>0.24518194799285464</v>
      </c>
      <c r="AN79" s="578">
        <f t="shared" si="112"/>
        <v>0.40734353617393249</v>
      </c>
      <c r="AO79" s="578">
        <f>+AO67</f>
        <v>0.25776279496119908</v>
      </c>
      <c r="AP79" s="578">
        <f t="shared" ref="AP79:BN79" si="113">+AP67</f>
        <v>0.2559160887768997</v>
      </c>
      <c r="AQ79" s="578">
        <f t="shared" si="113"/>
        <v>0.28835362894210875</v>
      </c>
      <c r="AR79" s="578">
        <f t="shared" si="113"/>
        <v>0.29282536009345833</v>
      </c>
      <c r="AS79" s="578">
        <f t="shared" si="113"/>
        <v>0.34573107092846794</v>
      </c>
      <c r="AT79" s="578">
        <f t="shared" si="113"/>
        <v>0.37596409654114155</v>
      </c>
      <c r="AU79" s="578">
        <f t="shared" si="113"/>
        <v>0</v>
      </c>
      <c r="AV79" s="578">
        <f t="shared" si="113"/>
        <v>0</v>
      </c>
      <c r="AW79" s="578">
        <f t="shared" si="113"/>
        <v>0</v>
      </c>
      <c r="AX79" s="578">
        <f t="shared" si="113"/>
        <v>0</v>
      </c>
      <c r="AY79" s="578">
        <f t="shared" si="113"/>
        <v>0</v>
      </c>
      <c r="AZ79" s="578">
        <f t="shared" si="113"/>
        <v>0</v>
      </c>
      <c r="BA79" s="578">
        <f t="shared" si="113"/>
        <v>0</v>
      </c>
      <c r="BB79" s="578">
        <f t="shared" si="113"/>
        <v>0</v>
      </c>
      <c r="BC79" s="578">
        <f t="shared" si="113"/>
        <v>0</v>
      </c>
      <c r="BD79" s="578">
        <f t="shared" si="113"/>
        <v>0</v>
      </c>
      <c r="BE79" s="578">
        <f t="shared" si="113"/>
        <v>0</v>
      </c>
      <c r="BF79" s="578">
        <f t="shared" si="113"/>
        <v>0</v>
      </c>
      <c r="BG79" s="578">
        <f t="shared" si="113"/>
        <v>0</v>
      </c>
      <c r="BH79" s="578">
        <f t="shared" si="113"/>
        <v>0</v>
      </c>
      <c r="BI79" s="578">
        <f t="shared" si="113"/>
        <v>0</v>
      </c>
      <c r="BJ79" s="578">
        <f t="shared" si="113"/>
        <v>0</v>
      </c>
      <c r="BK79" s="578">
        <f t="shared" si="113"/>
        <v>0</v>
      </c>
      <c r="BL79" s="578">
        <f t="shared" si="113"/>
        <v>0</v>
      </c>
      <c r="BM79" s="578">
        <f t="shared" si="113"/>
        <v>0</v>
      </c>
      <c r="BN79" s="578">
        <f t="shared" si="113"/>
        <v>0</v>
      </c>
      <c r="BO79" s="578">
        <f>+BO67</f>
        <v>0</v>
      </c>
      <c r="BP79" s="578">
        <f>+BP67</f>
        <v>0</v>
      </c>
      <c r="BQ79" s="578">
        <f>+BQ67</f>
        <v>0</v>
      </c>
      <c r="BR79" s="578">
        <f>+BR67</f>
        <v>0</v>
      </c>
    </row>
    <row r="80" spans="2:70" ht="16.5" customHeight="1">
      <c r="B80" s="521" t="str">
        <f t="shared" si="109"/>
        <v>Costos Concesion</v>
      </c>
      <c r="C80" s="497"/>
      <c r="D80" s="498"/>
      <c r="E80" s="563">
        <f t="shared" ref="E80:P80" si="114">E57/E69</f>
        <v>1</v>
      </c>
      <c r="F80" s="563">
        <f t="shared" si="114"/>
        <v>1.3418121331085349</v>
      </c>
      <c r="G80" s="563">
        <f t="shared" si="114"/>
        <v>0.81783491682782739</v>
      </c>
      <c r="H80" s="563">
        <f t="shared" si="114"/>
        <v>0.80998837972976412</v>
      </c>
      <c r="I80" s="563">
        <f t="shared" si="114"/>
        <v>0.56458871967442603</v>
      </c>
      <c r="J80" s="563">
        <f t="shared" si="114"/>
        <v>0.56095745538593522</v>
      </c>
      <c r="K80" s="563">
        <f t="shared" si="114"/>
        <v>0.70635541723965067</v>
      </c>
      <c r="L80" s="563">
        <f t="shared" si="114"/>
        <v>0.9267213768556759</v>
      </c>
      <c r="M80" s="563">
        <f t="shared" si="114"/>
        <v>0.51062191026209414</v>
      </c>
      <c r="N80" s="563">
        <f t="shared" si="114"/>
        <v>1.434766109887486</v>
      </c>
      <c r="O80" s="563">
        <f t="shared" si="114"/>
        <v>0.99565281066299627</v>
      </c>
      <c r="P80" s="563">
        <f t="shared" si="114"/>
        <v>0.94647335493863449</v>
      </c>
      <c r="Q80" s="563">
        <f t="shared" ref="Q80:V80" si="115">Q57/Q69</f>
        <v>1.1258306690611071</v>
      </c>
      <c r="R80" s="563">
        <f t="shared" si="115"/>
        <v>1.3319808023638313</v>
      </c>
      <c r="S80" s="563">
        <f t="shared" si="115"/>
        <v>1.3596989813309126</v>
      </c>
      <c r="T80" s="563">
        <f t="shared" si="115"/>
        <v>1.5416203473362156</v>
      </c>
      <c r="U80" s="563">
        <f t="shared" si="115"/>
        <v>1.6068455302294686</v>
      </c>
      <c r="V80" s="563">
        <f t="shared" si="115"/>
        <v>1.5398856206074116</v>
      </c>
      <c r="AC80" s="562"/>
      <c r="AD80" s="562"/>
      <c r="AE80" s="562"/>
      <c r="AF80" s="562"/>
      <c r="AG80" s="562"/>
      <c r="AH80" s="562"/>
      <c r="AI80" s="562"/>
      <c r="AJ80" s="562"/>
      <c r="AK80" s="562"/>
      <c r="AL80" s="562"/>
      <c r="AM80" s="562"/>
      <c r="AN80" s="562"/>
    </row>
    <row r="81" spans="2:123" ht="16.5" customHeight="1">
      <c r="B81" s="521" t="str">
        <f t="shared" si="109"/>
        <v>Otros</v>
      </c>
      <c r="C81" s="497"/>
      <c r="D81" s="498"/>
      <c r="E81" s="563">
        <f t="shared" ref="E81:P81" si="116">E58/E70</f>
        <v>1</v>
      </c>
      <c r="F81" s="563">
        <f t="shared" si="116"/>
        <v>1.2883107696373952</v>
      </c>
      <c r="G81" s="563">
        <f t="shared" si="116"/>
        <v>0.84121904726491603</v>
      </c>
      <c r="H81" s="563">
        <f t="shared" si="116"/>
        <v>0.9852601510936887</v>
      </c>
      <c r="I81" s="563">
        <f t="shared" si="116"/>
        <v>0.59982177017623506</v>
      </c>
      <c r="J81" s="563">
        <f t="shared" si="116"/>
        <v>0.59596389753797829</v>
      </c>
      <c r="K81" s="563">
        <f t="shared" si="116"/>
        <v>0.90023679984915361</v>
      </c>
      <c r="L81" s="563">
        <f t="shared" si="116"/>
        <v>0.84627136865871255</v>
      </c>
      <c r="M81" s="563">
        <f t="shared" si="116"/>
        <v>0.43462347515461147</v>
      </c>
      <c r="N81" s="563">
        <f t="shared" si="116"/>
        <v>1.8562520476586859</v>
      </c>
      <c r="O81" s="563">
        <f t="shared" si="116"/>
        <v>0.87343843169549185</v>
      </c>
      <c r="P81" s="563">
        <f t="shared" si="116"/>
        <v>1.3165285445970569</v>
      </c>
      <c r="Q81" s="563">
        <f t="shared" ref="Q81:V81" si="117">Q58/Q70</f>
        <v>1.261237356881687</v>
      </c>
      <c r="R81" s="563">
        <f t="shared" si="117"/>
        <v>2.1100157682558383</v>
      </c>
      <c r="S81" s="563">
        <f t="shared" si="117"/>
        <v>2.3535236501157466</v>
      </c>
      <c r="T81" s="563">
        <f t="shared" si="117"/>
        <v>2.9329495961963148</v>
      </c>
      <c r="U81" s="563">
        <f t="shared" si="117"/>
        <v>2.346126364015336</v>
      </c>
      <c r="V81" s="563">
        <f t="shared" si="117"/>
        <v>1.4526849250699867</v>
      </c>
      <c r="AC81" s="562"/>
      <c r="AD81" s="562"/>
      <c r="AE81" s="562"/>
      <c r="AF81" s="562"/>
      <c r="AG81" s="562"/>
      <c r="AH81" s="562"/>
      <c r="AI81" s="562"/>
      <c r="AJ81" s="562"/>
      <c r="AK81" s="562"/>
      <c r="AL81" s="562"/>
      <c r="AM81" s="562"/>
      <c r="AN81" s="562"/>
      <c r="CF81" s="453"/>
      <c r="CG81" s="453"/>
    </row>
    <row r="82" spans="2:123" s="453" customFormat="1" ht="16.5" customHeight="1">
      <c r="B82" s="521" t="str">
        <f t="shared" si="109"/>
        <v>Equipos de Seguridad y Rescate</v>
      </c>
      <c r="C82" s="497"/>
      <c r="D82" s="498"/>
      <c r="E82" s="563">
        <v>0</v>
      </c>
      <c r="F82" s="563">
        <f t="shared" ref="F82:P82" si="118">F59/F71</f>
        <v>1</v>
      </c>
      <c r="G82" s="563">
        <f t="shared" si="118"/>
        <v>0.65296283093378416</v>
      </c>
      <c r="H82" s="563">
        <f t="shared" si="118"/>
        <v>0.76476900939902681</v>
      </c>
      <c r="I82" s="563">
        <f t="shared" si="118"/>
        <v>0.46558779474075135</v>
      </c>
      <c r="J82" s="563">
        <f t="shared" si="118"/>
        <v>0.46259327452934107</v>
      </c>
      <c r="K82" s="563">
        <f t="shared" si="118"/>
        <v>0.69877301429571381</v>
      </c>
      <c r="L82" s="563">
        <f t="shared" si="118"/>
        <v>0.6568844944895571</v>
      </c>
      <c r="M82" s="563">
        <f t="shared" si="118"/>
        <v>0.33735918801403753</v>
      </c>
      <c r="N82" s="563">
        <f t="shared" si="118"/>
        <v>1.4408418305632436</v>
      </c>
      <c r="O82" s="563">
        <f t="shared" si="118"/>
        <v>0.67797184676281763</v>
      </c>
      <c r="P82" s="563">
        <f t="shared" si="118"/>
        <v>1.021902925617554</v>
      </c>
      <c r="Q82" s="563">
        <f t="shared" ref="Q82:V82" si="119">Q59/Q71</f>
        <v>0.97898534003303528</v>
      </c>
      <c r="R82" s="563">
        <f t="shared" si="119"/>
        <v>1.6378158267276752</v>
      </c>
      <c r="S82" s="563">
        <f t="shared" si="119"/>
        <v>1.8268291359375683</v>
      </c>
      <c r="T82" s="563">
        <f t="shared" si="119"/>
        <v>2.2765854833471706</v>
      </c>
      <c r="U82" s="563">
        <f t="shared" si="119"/>
        <v>1.8210872867853698</v>
      </c>
      <c r="V82" s="563">
        <f t="shared" si="119"/>
        <v>1.1275889011459987</v>
      </c>
      <c r="AC82" s="562"/>
      <c r="AD82" s="562"/>
      <c r="AE82" s="562"/>
      <c r="AF82" s="562"/>
      <c r="AG82" s="562"/>
      <c r="AH82" s="562"/>
      <c r="AI82" s="562"/>
      <c r="AJ82" s="562"/>
      <c r="AK82" s="562"/>
      <c r="AL82" s="562"/>
      <c r="AM82" s="562"/>
      <c r="AN82" s="562"/>
      <c r="AO82" s="398"/>
      <c r="AP82" s="398"/>
      <c r="AQ82" s="398"/>
      <c r="AR82" s="398"/>
      <c r="AS82" s="398"/>
      <c r="AT82" s="398"/>
      <c r="AU82" s="398"/>
      <c r="AV82" s="398"/>
      <c r="AW82" s="398"/>
      <c r="AX82" s="398"/>
      <c r="AY82" s="398"/>
      <c r="AZ82" s="398"/>
      <c r="BA82" s="398"/>
      <c r="BB82" s="398"/>
      <c r="BC82" s="398"/>
      <c r="BD82" s="398"/>
      <c r="BE82" s="398"/>
      <c r="BF82" s="398"/>
      <c r="BG82" s="398"/>
      <c r="BH82" s="398"/>
      <c r="BI82" s="398"/>
      <c r="BJ82" s="398"/>
      <c r="BK82" s="398"/>
      <c r="BL82" s="398"/>
      <c r="BM82" s="398"/>
      <c r="BN82" s="398"/>
      <c r="BO82" s="398"/>
      <c r="BP82" s="398"/>
      <c r="BQ82" s="398"/>
      <c r="BR82" s="398"/>
      <c r="BS82" s="398"/>
      <c r="BT82" s="398"/>
      <c r="BU82" s="398"/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398"/>
      <c r="CG82" s="398"/>
      <c r="CH82" s="398"/>
      <c r="CI82" s="398"/>
      <c r="CJ82" s="398"/>
      <c r="CK82" s="398"/>
      <c r="CL82" s="398"/>
      <c r="CM82" s="398"/>
      <c r="CN82" s="398"/>
      <c r="CO82" s="398"/>
      <c r="CP82" s="398"/>
      <c r="CQ82" s="398"/>
      <c r="CR82" s="398"/>
      <c r="CS82" s="398"/>
      <c r="CT82" s="398"/>
      <c r="CU82" s="398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</row>
    <row r="83" spans="2:123" ht="16.5" customHeight="1">
      <c r="B83" s="521" t="str">
        <f t="shared" si="109"/>
        <v>Equipos de Computo</v>
      </c>
      <c r="C83" s="497"/>
      <c r="D83" s="498"/>
      <c r="E83" s="563">
        <f>E60/E72</f>
        <v>1</v>
      </c>
      <c r="F83" s="563">
        <f t="shared" ref="F83:P83" si="120">F60/F72</f>
        <v>1.2611868540591717</v>
      </c>
      <c r="G83" s="563">
        <f t="shared" si="120"/>
        <v>0.96512295460129094</v>
      </c>
      <c r="H83" s="563">
        <f t="shared" si="120"/>
        <v>1.3987392992963785</v>
      </c>
      <c r="I83" s="563">
        <f t="shared" si="120"/>
        <v>0.90418305393717646</v>
      </c>
      <c r="J83" s="563">
        <f t="shared" si="120"/>
        <v>0.89836762135837112</v>
      </c>
      <c r="K83" s="563">
        <f t="shared" si="120"/>
        <v>1.132448240908368</v>
      </c>
      <c r="L83" s="563">
        <f t="shared" si="120"/>
        <v>1.1053986792400707</v>
      </c>
      <c r="M83" s="563">
        <f t="shared" si="120"/>
        <v>1.0220397892722335</v>
      </c>
      <c r="N83" s="563">
        <f t="shared" si="120"/>
        <v>1.7826202117005856</v>
      </c>
      <c r="O83" s="563">
        <f t="shared" si="120"/>
        <v>1.3255868615516557</v>
      </c>
      <c r="P83" s="563">
        <f t="shared" si="120"/>
        <v>1.8924769805484236</v>
      </c>
      <c r="Q83" s="563">
        <f t="shared" ref="Q83:V83" si="121">Q60/Q72</f>
        <v>1.6935698692834913</v>
      </c>
      <c r="R83" s="563">
        <f t="shared" si="121"/>
        <v>2.1982585189664068</v>
      </c>
      <c r="S83" s="563">
        <f t="shared" si="121"/>
        <v>2.3549653504198216</v>
      </c>
      <c r="T83" s="563">
        <f t="shared" si="121"/>
        <v>2.6212060903801793</v>
      </c>
      <c r="U83" s="563">
        <f t="shared" si="121"/>
        <v>2.2771258471844509</v>
      </c>
      <c r="V83" s="563">
        <f t="shared" si="121"/>
        <v>1.8028294203698616</v>
      </c>
      <c r="W83" s="564"/>
      <c r="X83" s="564"/>
      <c r="Y83" s="564"/>
      <c r="AO83" s="453"/>
      <c r="AP83" s="453"/>
      <c r="AQ83" s="453"/>
      <c r="AR83" s="453"/>
      <c r="AS83" s="453"/>
      <c r="AT83" s="453"/>
      <c r="AU83" s="453"/>
      <c r="AV83" s="453"/>
      <c r="AW83" s="453"/>
      <c r="AX83" s="453"/>
      <c r="AY83" s="453"/>
      <c r="AZ83" s="453"/>
      <c r="BA83" s="453"/>
      <c r="BB83" s="453"/>
      <c r="BC83" s="453"/>
      <c r="BD83" s="453"/>
      <c r="BE83" s="453"/>
      <c r="BF83" s="453"/>
      <c r="BG83" s="453"/>
      <c r="BH83" s="453"/>
      <c r="BI83" s="453"/>
      <c r="BJ83" s="453"/>
      <c r="BK83" s="453"/>
      <c r="BL83" s="453"/>
      <c r="BM83" s="453"/>
      <c r="BN83" s="453"/>
      <c r="BO83" s="453"/>
      <c r="BP83" s="453"/>
      <c r="BQ83" s="453"/>
      <c r="BR83" s="453"/>
      <c r="BS83" s="453"/>
      <c r="BT83" s="453"/>
      <c r="BU83" s="453"/>
      <c r="BV83" s="453"/>
      <c r="BW83" s="453"/>
      <c r="BX83" s="453"/>
      <c r="BY83" s="453"/>
      <c r="BZ83" s="453"/>
      <c r="CA83" s="453"/>
      <c r="CB83" s="453"/>
      <c r="CC83" s="453"/>
      <c r="CD83" s="453"/>
      <c r="CE83" s="453"/>
    </row>
    <row r="84" spans="2:123" ht="16.5" customHeight="1">
      <c r="B84" s="521" t="str">
        <f t="shared" si="109"/>
        <v>Equipos Diversos</v>
      </c>
      <c r="C84" s="497"/>
      <c r="D84" s="498"/>
      <c r="E84" s="563">
        <f>E61/E73</f>
        <v>1</v>
      </c>
      <c r="F84" s="563">
        <f t="shared" ref="F84:P84" si="122">F61/F73</f>
        <v>1.2883107696373952</v>
      </c>
      <c r="G84" s="563">
        <f t="shared" si="122"/>
        <v>0.84121904726491592</v>
      </c>
      <c r="H84" s="563">
        <f t="shared" si="122"/>
        <v>0.98526015109368847</v>
      </c>
      <c r="I84" s="563">
        <f t="shared" si="122"/>
        <v>0.59982177017623495</v>
      </c>
      <c r="J84" s="563">
        <f t="shared" si="122"/>
        <v>0.59596389753797829</v>
      </c>
      <c r="K84" s="563">
        <f t="shared" si="122"/>
        <v>0.90023679984915361</v>
      </c>
      <c r="L84" s="563">
        <f t="shared" si="122"/>
        <v>0.84627136865871266</v>
      </c>
      <c r="M84" s="563">
        <f t="shared" si="122"/>
        <v>0.43462347515461142</v>
      </c>
      <c r="N84" s="563">
        <f t="shared" si="122"/>
        <v>1.8562520476586859</v>
      </c>
      <c r="O84" s="563">
        <f t="shared" si="122"/>
        <v>0.87343843169549173</v>
      </c>
      <c r="P84" s="563">
        <f t="shared" si="122"/>
        <v>1.3165285445970571</v>
      </c>
      <c r="Q84" s="563">
        <f t="shared" ref="Q84:V84" si="123">Q61/Q73</f>
        <v>1.2612373568816868</v>
      </c>
      <c r="R84" s="563">
        <f t="shared" si="123"/>
        <v>2.1100157682558378</v>
      </c>
      <c r="S84" s="563">
        <f t="shared" si="123"/>
        <v>2.3535236501157466</v>
      </c>
      <c r="T84" s="563">
        <f t="shared" si="123"/>
        <v>2.9329495961963148</v>
      </c>
      <c r="U84" s="563">
        <f t="shared" si="123"/>
        <v>2.3461263640153356</v>
      </c>
      <c r="V84" s="563">
        <f t="shared" si="123"/>
        <v>1.4526849250699867</v>
      </c>
      <c r="W84" s="564"/>
      <c r="X84" s="564"/>
      <c r="Y84" s="564"/>
    </row>
    <row r="85" spans="2:123" ht="16.5" customHeight="1">
      <c r="B85" s="521" t="str">
        <f t="shared" si="109"/>
        <v>Unidades de Transporte</v>
      </c>
      <c r="C85" s="497"/>
      <c r="D85" s="498"/>
      <c r="E85" s="563">
        <f>E62/E74</f>
        <v>1</v>
      </c>
      <c r="F85" s="563">
        <f t="shared" ref="F85:P85" si="124">F62/F74</f>
        <v>1.2676068269834584</v>
      </c>
      <c r="G85" s="563">
        <f t="shared" si="124"/>
        <v>0.93579607780804863</v>
      </c>
      <c r="H85" s="563">
        <f t="shared" si="124"/>
        <v>1.3008727162596123</v>
      </c>
      <c r="I85" s="563">
        <f t="shared" si="124"/>
        <v>0.83214363192558505</v>
      </c>
      <c r="J85" s="563">
        <f t="shared" si="124"/>
        <v>0.82679153517230775</v>
      </c>
      <c r="K85" s="563">
        <f t="shared" si="124"/>
        <v>1.0774860006665252</v>
      </c>
      <c r="L85" s="563">
        <f t="shared" si="124"/>
        <v>1.0440657085973217</v>
      </c>
      <c r="M85" s="563">
        <f t="shared" si="124"/>
        <v>0.88300393285085454</v>
      </c>
      <c r="N85" s="563">
        <f t="shared" si="124"/>
        <v>1.8000481671833863</v>
      </c>
      <c r="O85" s="563">
        <f t="shared" si="124"/>
        <v>1.2185676272134591</v>
      </c>
      <c r="P85" s="563">
        <f t="shared" si="124"/>
        <v>1.7561554618528812</v>
      </c>
      <c r="Q85" s="563">
        <f t="shared" ref="Q85:V85" si="125">Q62/Q74</f>
        <v>1.5912408741978097</v>
      </c>
      <c r="R85" s="563">
        <f t="shared" si="125"/>
        <v>2.1773722988816755</v>
      </c>
      <c r="S85" s="563">
        <f t="shared" si="125"/>
        <v>2.3546241136654746</v>
      </c>
      <c r="T85" s="563">
        <f t="shared" si="125"/>
        <v>2.6949928141623705</v>
      </c>
      <c r="U85" s="563">
        <f t="shared" si="125"/>
        <v>2.2934576134642333</v>
      </c>
      <c r="V85" s="563">
        <f t="shared" si="125"/>
        <v>1.7199535474919054</v>
      </c>
    </row>
    <row r="86" spans="2:123" ht="16.5" customHeight="1" thickBot="1">
      <c r="B86" s="559" t="str">
        <f t="shared" si="109"/>
        <v>Muebles y Enseres</v>
      </c>
      <c r="C86" s="500"/>
      <c r="D86" s="501"/>
      <c r="E86" s="565">
        <f>E63/E75</f>
        <v>1</v>
      </c>
      <c r="F86" s="565">
        <f t="shared" ref="F86:P86" si="126">F63/F75</f>
        <v>1.2883107696373952</v>
      </c>
      <c r="G86" s="565">
        <f t="shared" si="126"/>
        <v>0.84121904726491592</v>
      </c>
      <c r="H86" s="565">
        <f t="shared" si="126"/>
        <v>0.9852601510936887</v>
      </c>
      <c r="I86" s="565">
        <f t="shared" si="126"/>
        <v>0.59982177017623484</v>
      </c>
      <c r="J86" s="565">
        <f t="shared" si="126"/>
        <v>0.59596389753797829</v>
      </c>
      <c r="K86" s="565">
        <f t="shared" si="126"/>
        <v>0.9002367998491535</v>
      </c>
      <c r="L86" s="565">
        <f t="shared" si="126"/>
        <v>0.84627136865871244</v>
      </c>
      <c r="M86" s="565">
        <f t="shared" si="126"/>
        <v>0.43462347515461136</v>
      </c>
      <c r="N86" s="565">
        <f t="shared" si="126"/>
        <v>1.8562520476586857</v>
      </c>
      <c r="O86" s="565">
        <f t="shared" si="126"/>
        <v>0.87343843169549185</v>
      </c>
      <c r="P86" s="565">
        <f t="shared" si="126"/>
        <v>1.3165285445970567</v>
      </c>
      <c r="Q86" s="565">
        <f t="shared" ref="Q86:V86" si="127">Q63/Q75</f>
        <v>1.2612373568816866</v>
      </c>
      <c r="R86" s="565">
        <f t="shared" si="127"/>
        <v>2.1100157682558383</v>
      </c>
      <c r="S86" s="565">
        <f t="shared" si="127"/>
        <v>2.3535236501157462</v>
      </c>
      <c r="T86" s="565">
        <f t="shared" si="127"/>
        <v>2.9329495961963143</v>
      </c>
      <c r="U86" s="565">
        <f t="shared" si="127"/>
        <v>2.3461263640153356</v>
      </c>
      <c r="V86" s="565">
        <f t="shared" si="127"/>
        <v>1.4526849250699867</v>
      </c>
    </row>
    <row r="87" spans="2:123">
      <c r="B87" s="438"/>
      <c r="C87" s="438"/>
      <c r="D87" s="438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11"/>
      <c r="X87" s="511"/>
      <c r="Y87" s="511"/>
    </row>
    <row r="88" spans="2:123">
      <c r="B88" s="567"/>
      <c r="C88" s="511"/>
      <c r="D88" s="511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11"/>
      <c r="X88" s="511"/>
      <c r="Y88" s="511"/>
    </row>
    <row r="89" spans="2:123" ht="15.75" thickBot="1">
      <c r="B89" s="561"/>
    </row>
    <row r="90" spans="2:123" ht="18.75" customHeight="1">
      <c r="B90" s="839" t="s">
        <v>69</v>
      </c>
      <c r="C90" s="840"/>
      <c r="D90" s="840"/>
      <c r="E90" s="568">
        <v>2001</v>
      </c>
      <c r="F90" s="569">
        <f>E90+1</f>
        <v>2002</v>
      </c>
      <c r="G90" s="569">
        <f>F90+1</f>
        <v>2003</v>
      </c>
      <c r="H90" s="569">
        <f>G90+1</f>
        <v>2004</v>
      </c>
      <c r="I90" s="570">
        <f>H90+1</f>
        <v>2005</v>
      </c>
      <c r="J90" s="569">
        <f>H90+1</f>
        <v>2005</v>
      </c>
      <c r="K90" s="569">
        <f t="shared" ref="K90:Q90" si="128">J90+1</f>
        <v>2006</v>
      </c>
      <c r="L90" s="569">
        <f t="shared" si="128"/>
        <v>2007</v>
      </c>
      <c r="M90" s="569">
        <f t="shared" si="128"/>
        <v>2008</v>
      </c>
      <c r="N90" s="569">
        <f t="shared" si="128"/>
        <v>2009</v>
      </c>
      <c r="O90" s="569">
        <f t="shared" si="128"/>
        <v>2010</v>
      </c>
      <c r="P90" s="569">
        <f t="shared" si="128"/>
        <v>2011</v>
      </c>
      <c r="Q90" s="569">
        <f t="shared" si="128"/>
        <v>2012</v>
      </c>
      <c r="R90" s="569">
        <f t="shared" ref="R90:V90" si="129">Q90+1</f>
        <v>2013</v>
      </c>
      <c r="S90" s="569">
        <f t="shared" si="129"/>
        <v>2014</v>
      </c>
      <c r="T90" s="569">
        <f t="shared" si="129"/>
        <v>2015</v>
      </c>
      <c r="U90" s="569">
        <f t="shared" si="129"/>
        <v>2016</v>
      </c>
      <c r="V90" s="569">
        <f t="shared" si="129"/>
        <v>2017</v>
      </c>
    </row>
    <row r="91" spans="2:123" ht="17.25" customHeight="1">
      <c r="B91" s="841" t="s">
        <v>74</v>
      </c>
      <c r="C91" s="841"/>
      <c r="D91" s="841"/>
      <c r="E91" s="571"/>
      <c r="F91" s="572">
        <f>SUMPRODUCT(E79:E86,F68:F75)</f>
        <v>8173222.3366906531</v>
      </c>
      <c r="G91" s="572">
        <f>SUMPRODUCT(F79:F86,G68:G75)</f>
        <v>11595506.463205362</v>
      </c>
      <c r="H91" s="572">
        <f>SUMPRODUCT(G79:G86,H68:H75)</f>
        <v>6738731.1580922762</v>
      </c>
      <c r="I91" s="572">
        <f>SUMPRODUCT(H79:H86,I68:I75)</f>
        <v>15298035.625922967</v>
      </c>
      <c r="J91" s="572"/>
      <c r="K91" s="572">
        <f t="shared" ref="K91:Q91" si="130">SUMPRODUCT(J79:J86,K68:K75)</f>
        <v>17160185.238730669</v>
      </c>
      <c r="L91" s="572">
        <f t="shared" si="130"/>
        <v>21818399.715870012</v>
      </c>
      <c r="M91" s="572">
        <f t="shared" si="130"/>
        <v>26388512.982386578</v>
      </c>
      <c r="N91" s="572">
        <f t="shared" si="130"/>
        <v>15900688.837814795</v>
      </c>
      <c r="O91" s="572">
        <f t="shared" si="130"/>
        <v>48782075.838545337</v>
      </c>
      <c r="P91" s="572">
        <f t="shared" si="130"/>
        <v>31648104.94461659</v>
      </c>
      <c r="Q91" s="572">
        <f t="shared" si="130"/>
        <v>30428054.89336437</v>
      </c>
      <c r="R91" s="572">
        <f>SUMPRODUCT(Q79:Q86,R68:R75)</f>
        <v>36938641.677266859</v>
      </c>
      <c r="S91" s="572">
        <f t="shared" ref="S91:U91" si="131">SUMPRODUCT(R79:R86,S68:S75)</f>
        <v>44280607.044106834</v>
      </c>
      <c r="T91" s="572">
        <f t="shared" si="131"/>
        <v>45596822.05980432</v>
      </c>
      <c r="U91" s="572">
        <f t="shared" si="131"/>
        <v>52105587.981379434</v>
      </c>
      <c r="V91" s="572">
        <f>SUMPRODUCT(U79:U86,V68:V75)</f>
        <v>51785975.764356203</v>
      </c>
    </row>
    <row r="92" spans="2:123" ht="17.25" customHeight="1">
      <c r="B92" s="841" t="s">
        <v>75</v>
      </c>
      <c r="C92" s="841"/>
      <c r="D92" s="841"/>
      <c r="E92" s="571"/>
      <c r="F92" s="572">
        <f>SUMPRODUCT(E79:E86,E68:E75)</f>
        <v>7496371.7693639724</v>
      </c>
      <c r="G92" s="572">
        <f>SUMPRODUCT(F79:F86,F68:F75)</f>
        <v>11435249.969870955</v>
      </c>
      <c r="H92" s="572">
        <f>SUMPRODUCT(G79:G86,G68:G75)</f>
        <v>7210530.7399909068</v>
      </c>
      <c r="I92" s="572">
        <f>SUMPRODUCT(H79:H86,H68:H75)</f>
        <v>6989935.5384384729</v>
      </c>
      <c r="J92" s="572"/>
      <c r="K92" s="572">
        <f t="shared" ref="K92:Q92" si="132">SUMPRODUCT(J79:J86,J68:J75)</f>
        <v>11003867.298523949</v>
      </c>
      <c r="L92" s="572">
        <f t="shared" si="132"/>
        <v>21723345.497119941</v>
      </c>
      <c r="M92" s="572">
        <f t="shared" si="132"/>
        <v>28090559.741706707</v>
      </c>
      <c r="N92" s="572">
        <f t="shared" si="132"/>
        <v>14722173.44435495</v>
      </c>
      <c r="O92" s="572">
        <f t="shared" si="132"/>
        <v>44467917.960466109</v>
      </c>
      <c r="P92" s="572">
        <f t="shared" si="132"/>
        <v>33669460.038063578</v>
      </c>
      <c r="Q92" s="572">
        <f t="shared" si="132"/>
        <v>30635075.536516104</v>
      </c>
      <c r="R92" s="572">
        <f t="shared" ref="R92:V92" si="133">SUMPRODUCT(Q79:Q86,Q68:Q75)</f>
        <v>35753802.256013252</v>
      </c>
      <c r="S92" s="572">
        <f t="shared" si="133"/>
        <v>44147283.01763501</v>
      </c>
      <c r="T92" s="572">
        <f t="shared" si="133"/>
        <v>45425230.291205108</v>
      </c>
      <c r="U92" s="572">
        <f t="shared" si="133"/>
        <v>51923303.347590305</v>
      </c>
      <c r="V92" s="572">
        <f t="shared" si="133"/>
        <v>53119958.095405854</v>
      </c>
    </row>
    <row r="93" spans="2:123" ht="6.75" customHeight="1" thickBot="1">
      <c r="B93" s="630"/>
      <c r="C93" s="604"/>
      <c r="D93" s="604"/>
      <c r="E93" s="630"/>
      <c r="F93" s="630"/>
      <c r="G93" s="630"/>
      <c r="H93" s="630"/>
      <c r="I93" s="630"/>
      <c r="J93" s="630"/>
      <c r="K93" s="630"/>
      <c r="L93" s="630"/>
      <c r="M93" s="630"/>
      <c r="N93" s="630"/>
      <c r="O93" s="630"/>
      <c r="P93" s="630"/>
      <c r="Q93" s="630"/>
      <c r="R93" s="630"/>
      <c r="S93" s="630"/>
      <c r="T93" s="630"/>
      <c r="U93" s="630"/>
      <c r="V93" s="630"/>
    </row>
    <row r="94" spans="2:123" ht="18" customHeight="1">
      <c r="B94" s="839" t="s">
        <v>70</v>
      </c>
      <c r="C94" s="840"/>
      <c r="D94" s="840"/>
      <c r="E94" s="568">
        <v>2001</v>
      </c>
      <c r="F94" s="569">
        <f>E94+1</f>
        <v>2002</v>
      </c>
      <c r="G94" s="569">
        <f>F94+1</f>
        <v>2003</v>
      </c>
      <c r="H94" s="569">
        <f>G94+1</f>
        <v>2004</v>
      </c>
      <c r="I94" s="570">
        <f>H94+1</f>
        <v>2005</v>
      </c>
      <c r="J94" s="569">
        <f>H94+1</f>
        <v>2005</v>
      </c>
      <c r="K94" s="569">
        <f t="shared" ref="K94:Q94" si="134">J94+1</f>
        <v>2006</v>
      </c>
      <c r="L94" s="569">
        <f t="shared" si="134"/>
        <v>2007</v>
      </c>
      <c r="M94" s="569">
        <f t="shared" si="134"/>
        <v>2008</v>
      </c>
      <c r="N94" s="569">
        <f t="shared" si="134"/>
        <v>2009</v>
      </c>
      <c r="O94" s="569">
        <f t="shared" si="134"/>
        <v>2010</v>
      </c>
      <c r="P94" s="569">
        <f t="shared" si="134"/>
        <v>2011</v>
      </c>
      <c r="Q94" s="569">
        <f t="shared" si="134"/>
        <v>2012</v>
      </c>
      <c r="R94" s="569">
        <f t="shared" ref="R94:V94" si="135">Q94+1</f>
        <v>2013</v>
      </c>
      <c r="S94" s="569">
        <f t="shared" si="135"/>
        <v>2014</v>
      </c>
      <c r="T94" s="569">
        <f t="shared" si="135"/>
        <v>2015</v>
      </c>
      <c r="U94" s="569">
        <f t="shared" si="135"/>
        <v>2016</v>
      </c>
      <c r="V94" s="569">
        <f t="shared" si="135"/>
        <v>2017</v>
      </c>
    </row>
    <row r="95" spans="2:123" ht="17.25" customHeight="1">
      <c r="B95" s="841" t="s">
        <v>74</v>
      </c>
      <c r="C95" s="841"/>
      <c r="D95" s="841"/>
      <c r="E95" s="571"/>
      <c r="F95" s="572">
        <f>SUMPRODUCT(F79:F86,F68:F75)</f>
        <v>11435249.969870955</v>
      </c>
      <c r="G95" s="572">
        <f>SUMPRODUCT(G79:G86,G68:G75)</f>
        <v>7210530.7399909068</v>
      </c>
      <c r="H95" s="572">
        <f>SUMPRODUCT(H79:H86,H68:H75)</f>
        <v>6989935.5384384729</v>
      </c>
      <c r="I95" s="572">
        <f>SUMPRODUCT(I79:I86,I68:I75)</f>
        <v>10558544.710396176</v>
      </c>
      <c r="J95" s="572"/>
      <c r="K95" s="572">
        <f t="shared" ref="K95:P95" si="136">SUMPRODUCT(K79:K86,K68:K75)</f>
        <v>21723345.497119941</v>
      </c>
      <c r="L95" s="572">
        <f t="shared" si="136"/>
        <v>28090559.741706707</v>
      </c>
      <c r="M95" s="572">
        <f t="shared" si="136"/>
        <v>14722173.44435495</v>
      </c>
      <c r="N95" s="572">
        <f t="shared" si="136"/>
        <v>44467917.960466109</v>
      </c>
      <c r="O95" s="572">
        <f t="shared" si="136"/>
        <v>33669460.038063578</v>
      </c>
      <c r="P95" s="572">
        <f t="shared" si="136"/>
        <v>30635075.536516104</v>
      </c>
      <c r="Q95" s="572">
        <f t="shared" ref="Q95:V95" si="137">SUMPRODUCT(Q79:Q86,Q68:Q75)</f>
        <v>35753802.256013252</v>
      </c>
      <c r="R95" s="572">
        <f t="shared" si="137"/>
        <v>44147283.01763501</v>
      </c>
      <c r="S95" s="572">
        <f t="shared" si="137"/>
        <v>45425230.291205108</v>
      </c>
      <c r="T95" s="572">
        <f t="shared" si="137"/>
        <v>51923303.347590305</v>
      </c>
      <c r="U95" s="572">
        <f t="shared" si="137"/>
        <v>53119958.095405854</v>
      </c>
      <c r="V95" s="572">
        <f t="shared" si="137"/>
        <v>48180132.535655022</v>
      </c>
    </row>
    <row r="96" spans="2:123" ht="17.25" customHeight="1">
      <c r="B96" s="841" t="s">
        <v>75</v>
      </c>
      <c r="C96" s="841"/>
      <c r="D96" s="841"/>
      <c r="E96" s="571"/>
      <c r="F96" s="572">
        <f>SUMPRODUCT(F79:F86,E68:E75)</f>
        <v>10022336.195152948</v>
      </c>
      <c r="G96" s="572">
        <f>SUMPRODUCT(G79:G86,F68:F75)</f>
        <v>7096610.8334612511</v>
      </c>
      <c r="H96" s="572">
        <f>SUMPRODUCT(H79:H86,G68:G75)</f>
        <v>7491390.8504428538</v>
      </c>
      <c r="I96" s="572">
        <f>SUMPRODUCT(I79:I86,H68:H75)</f>
        <v>4758014.27287177</v>
      </c>
      <c r="J96" s="572"/>
      <c r="K96" s="572">
        <f t="shared" ref="K96:Q96" si="138">SUMPRODUCT(K79:K86,J68:J75)</f>
        <v>13965977.983178975</v>
      </c>
      <c r="L96" s="572">
        <f t="shared" si="138"/>
        <v>27995369.679875657</v>
      </c>
      <c r="M96" s="572">
        <f t="shared" si="138"/>
        <v>15664306.939687314</v>
      </c>
      <c r="N96" s="572">
        <f t="shared" si="138"/>
        <v>41274103.333912745</v>
      </c>
      <c r="O96" s="572">
        <f t="shared" si="138"/>
        <v>30636152.495408788</v>
      </c>
      <c r="P96" s="572">
        <f t="shared" si="138"/>
        <v>32632797.375755668</v>
      </c>
      <c r="Q96" s="572">
        <f t="shared" si="138"/>
        <v>35984966.401135199</v>
      </c>
      <c r="R96" s="572">
        <f t="shared" ref="R96:V96" si="139">SUMPRODUCT(R79:R86,Q68:Q75)</f>
        <v>42675475.908895299</v>
      </c>
      <c r="S96" s="572">
        <f t="shared" si="139"/>
        <v>45255703.063997887</v>
      </c>
      <c r="T96" s="572">
        <f t="shared" si="139"/>
        <v>51667106.669465564</v>
      </c>
      <c r="U96" s="572">
        <f t="shared" si="139"/>
        <v>53221503.859577842</v>
      </c>
      <c r="V96" s="572">
        <f t="shared" si="139"/>
        <v>49643640.634248644</v>
      </c>
    </row>
    <row r="97" spans="2:22" ht="6.75" customHeight="1" thickBot="1">
      <c r="B97" s="630"/>
      <c r="C97" s="604"/>
      <c r="D97" s="604"/>
      <c r="E97" s="630"/>
      <c r="F97" s="630"/>
      <c r="G97" s="630"/>
      <c r="H97" s="630"/>
      <c r="I97" s="630"/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630"/>
      <c r="U97" s="630"/>
      <c r="V97" s="630"/>
    </row>
    <row r="98" spans="2:22" ht="18.75" customHeight="1" thickBot="1">
      <c r="E98" s="568">
        <v>2001</v>
      </c>
      <c r="F98" s="569">
        <f>E98+1</f>
        <v>2002</v>
      </c>
      <c r="G98" s="569">
        <f>F98+1</f>
        <v>2003</v>
      </c>
      <c r="H98" s="569">
        <f>G98+1</f>
        <v>2004</v>
      </c>
      <c r="I98" s="570">
        <f>H98+1</f>
        <v>2005</v>
      </c>
      <c r="J98" s="569">
        <f>H98+1</f>
        <v>2005</v>
      </c>
      <c r="K98" s="569">
        <f t="shared" ref="K98:Q98" si="140">J98+1</f>
        <v>2006</v>
      </c>
      <c r="L98" s="569">
        <f t="shared" si="140"/>
        <v>2007</v>
      </c>
      <c r="M98" s="569">
        <f t="shared" si="140"/>
        <v>2008</v>
      </c>
      <c r="N98" s="569">
        <f t="shared" si="140"/>
        <v>2009</v>
      </c>
      <c r="O98" s="569">
        <f t="shared" si="140"/>
        <v>2010</v>
      </c>
      <c r="P98" s="569">
        <f t="shared" si="140"/>
        <v>2011</v>
      </c>
      <c r="Q98" s="569">
        <f t="shared" si="140"/>
        <v>2012</v>
      </c>
      <c r="R98" s="569">
        <f t="shared" ref="R98:V98" si="141">Q98+1</f>
        <v>2013</v>
      </c>
      <c r="S98" s="569">
        <f t="shared" si="141"/>
        <v>2014</v>
      </c>
      <c r="T98" s="569">
        <f t="shared" si="141"/>
        <v>2015</v>
      </c>
      <c r="U98" s="569">
        <f t="shared" si="141"/>
        <v>2016</v>
      </c>
      <c r="V98" s="569">
        <f t="shared" si="141"/>
        <v>2017</v>
      </c>
    </row>
    <row r="99" spans="2:22" ht="15.75" customHeight="1" thickBot="1">
      <c r="B99" s="842" t="s">
        <v>68</v>
      </c>
      <c r="C99" s="843"/>
      <c r="D99" s="843"/>
      <c r="E99" s="574"/>
      <c r="F99" s="575">
        <f>((F91/F92)*(F95/F96))^0.5</f>
        <v>1.1153455688205662</v>
      </c>
      <c r="G99" s="575">
        <f>((G91/G92)*(G95/G96))^0.5</f>
        <v>1.0150329750777907</v>
      </c>
      <c r="H99" s="575">
        <f>((H91/H92)*(H95/H96))^0.5</f>
        <v>0.93381491477549661</v>
      </c>
      <c r="I99" s="575">
        <f>((I91/I92)*(I95/I96))^0.5</f>
        <v>2.2037910249790036</v>
      </c>
      <c r="J99" s="575"/>
      <c r="K99" s="575">
        <f t="shared" ref="K99:V99" si="142">((K91/K92)*(K95/K96))^0.5</f>
        <v>1.5574567375256145</v>
      </c>
      <c r="L99" s="575">
        <f t="shared" si="142"/>
        <v>1.0038878208301385</v>
      </c>
      <c r="M99" s="575">
        <f t="shared" si="142"/>
        <v>0.93963164624006168</v>
      </c>
      <c r="N99" s="575">
        <f t="shared" si="142"/>
        <v>1.0787146546881017</v>
      </c>
      <c r="O99" s="575">
        <f t="shared" si="142"/>
        <v>1.0980135641363518</v>
      </c>
      <c r="P99" s="575">
        <f t="shared" si="142"/>
        <v>0.9393730681673641</v>
      </c>
      <c r="Q99" s="575">
        <f t="shared" si="142"/>
        <v>0.99340921430060114</v>
      </c>
      <c r="R99" s="575">
        <f t="shared" si="142"/>
        <v>1.0338133774494176</v>
      </c>
      <c r="S99" s="575">
        <f t="shared" si="142"/>
        <v>1.0033829186042003</v>
      </c>
      <c r="T99" s="575">
        <f t="shared" si="142"/>
        <v>1.0043678555053579</v>
      </c>
      <c r="U99" s="575">
        <f t="shared" si="142"/>
        <v>1.0007976667149197</v>
      </c>
      <c r="V99" s="575">
        <f t="shared" si="142"/>
        <v>0.97270109235389746</v>
      </c>
    </row>
    <row r="100" spans="2:22" ht="6" customHeight="1" thickBot="1">
      <c r="B100" s="604"/>
      <c r="C100" s="604"/>
      <c r="D100" s="604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</row>
    <row r="101" spans="2:22" ht="15.75" hidden="1" thickBot="1"/>
    <row r="102" spans="2:22" ht="18.75" customHeight="1" thickBot="1">
      <c r="B102" s="842" t="s">
        <v>218</v>
      </c>
      <c r="C102" s="843"/>
      <c r="D102" s="843"/>
      <c r="E102" s="576"/>
      <c r="F102" s="576">
        <f>+F98</f>
        <v>2002</v>
      </c>
      <c r="G102" s="576">
        <f>F102+1</f>
        <v>2003</v>
      </c>
      <c r="H102" s="576">
        <f>G102+1</f>
        <v>2004</v>
      </c>
      <c r="I102" s="462">
        <f>H102+1</f>
        <v>2005</v>
      </c>
      <c r="J102" s="576">
        <f>H102+1</f>
        <v>2005</v>
      </c>
      <c r="K102" s="576">
        <f t="shared" ref="K102:Q102" si="143">J102+1</f>
        <v>2006</v>
      </c>
      <c r="L102" s="576">
        <f t="shared" si="143"/>
        <v>2007</v>
      </c>
      <c r="M102" s="576">
        <f t="shared" si="143"/>
        <v>2008</v>
      </c>
      <c r="N102" s="576">
        <f t="shared" si="143"/>
        <v>2009</v>
      </c>
      <c r="O102" s="576">
        <f t="shared" si="143"/>
        <v>2010</v>
      </c>
      <c r="P102" s="576">
        <f t="shared" si="143"/>
        <v>2011</v>
      </c>
      <c r="Q102" s="576">
        <f t="shared" si="143"/>
        <v>2012</v>
      </c>
      <c r="R102" s="576">
        <f t="shared" ref="R102:V102" si="144">Q102+1</f>
        <v>2013</v>
      </c>
      <c r="S102" s="576">
        <f t="shared" si="144"/>
        <v>2014</v>
      </c>
      <c r="T102" s="576">
        <f t="shared" si="144"/>
        <v>2015</v>
      </c>
      <c r="U102" s="576">
        <f t="shared" si="144"/>
        <v>2016</v>
      </c>
      <c r="V102" s="576">
        <f t="shared" si="144"/>
        <v>2017</v>
      </c>
    </row>
    <row r="103" spans="2:22" ht="15.75" thickBot="1">
      <c r="B103" s="600"/>
      <c r="C103" s="601"/>
      <c r="D103" s="601"/>
      <c r="E103" s="602"/>
      <c r="F103" s="607">
        <f>LN(F99)</f>
        <v>0.10916428408790348</v>
      </c>
      <c r="G103" s="607">
        <f>LN(G99)</f>
        <v>1.492109972740488E-2</v>
      </c>
      <c r="H103" s="607">
        <f>LN(H99)</f>
        <v>-6.8477024442315279E-2</v>
      </c>
      <c r="I103" s="607">
        <f>LN(I99)</f>
        <v>0.79017907054260228</v>
      </c>
      <c r="J103" s="607"/>
      <c r="K103" s="607">
        <f t="shared" ref="K103:U103" si="145">LN(K99)</f>
        <v>0.44305419442409738</v>
      </c>
      <c r="L103" s="607">
        <f t="shared" si="145"/>
        <v>3.880282786127719E-3</v>
      </c>
      <c r="M103" s="607">
        <f t="shared" si="145"/>
        <v>-6.2267346219577774E-2</v>
      </c>
      <c r="N103" s="607">
        <f t="shared" si="145"/>
        <v>7.5770197815540827E-2</v>
      </c>
      <c r="O103" s="607">
        <f t="shared" si="145"/>
        <v>9.3502696504980248E-2</v>
      </c>
      <c r="P103" s="607">
        <f t="shared" si="145"/>
        <v>-6.2542574985474109E-2</v>
      </c>
      <c r="Q103" s="607">
        <f t="shared" si="145"/>
        <v>-6.6126008328775635E-3</v>
      </c>
      <c r="R103" s="607">
        <f t="shared" si="145"/>
        <v>3.3254273770966271E-2</v>
      </c>
      <c r="S103" s="607">
        <f t="shared" si="145"/>
        <v>3.377209407267991E-3</v>
      </c>
      <c r="T103" s="607">
        <f t="shared" si="145"/>
        <v>4.3583441107073583E-3</v>
      </c>
      <c r="U103" s="607">
        <f t="shared" si="145"/>
        <v>7.973487479021776E-4</v>
      </c>
      <c r="V103" s="607">
        <f>LN(V99)</f>
        <v>-2.7678446095244412E-2</v>
      </c>
    </row>
    <row r="104" spans="2:22">
      <c r="B104" s="604"/>
      <c r="C104" s="604"/>
      <c r="D104" s="604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76"/>
      <c r="S104" s="676"/>
      <c r="T104" s="676"/>
      <c r="U104" s="676"/>
      <c r="V104" s="608">
        <f>+AVERAGE($F$103:V103)</f>
        <v>8.4042563084375729E-2</v>
      </c>
    </row>
    <row r="106" spans="2:22" ht="15.75" thickBot="1"/>
    <row r="107" spans="2:22" ht="17.25" customHeight="1">
      <c r="B107" s="848" t="s">
        <v>80</v>
      </c>
      <c r="C107" s="849"/>
      <c r="D107" s="850"/>
      <c r="E107" s="568">
        <v>2001</v>
      </c>
      <c r="F107" s="569">
        <f>E107+1</f>
        <v>2002</v>
      </c>
      <c r="G107" s="569">
        <f>F107+1</f>
        <v>2003</v>
      </c>
      <c r="H107" s="569">
        <f>G107+1</f>
        <v>2004</v>
      </c>
      <c r="I107" s="570">
        <f>H107+1</f>
        <v>2005</v>
      </c>
      <c r="J107" s="569">
        <f>H107+1</f>
        <v>2005</v>
      </c>
      <c r="K107" s="569">
        <f t="shared" ref="K107:Q107" si="146">J107+1</f>
        <v>2006</v>
      </c>
      <c r="L107" s="569">
        <f t="shared" si="146"/>
        <v>2007</v>
      </c>
      <c r="M107" s="569">
        <f t="shared" si="146"/>
        <v>2008</v>
      </c>
      <c r="N107" s="569">
        <f t="shared" si="146"/>
        <v>2009</v>
      </c>
      <c r="O107" s="569">
        <f t="shared" si="146"/>
        <v>2010</v>
      </c>
      <c r="P107" s="569">
        <f t="shared" si="146"/>
        <v>2011</v>
      </c>
      <c r="Q107" s="569">
        <f t="shared" si="146"/>
        <v>2012</v>
      </c>
      <c r="R107" s="569">
        <f t="shared" ref="R107:V107" si="147">Q107+1</f>
        <v>2013</v>
      </c>
      <c r="S107" s="569">
        <f t="shared" si="147"/>
        <v>2014</v>
      </c>
      <c r="T107" s="569">
        <f t="shared" si="147"/>
        <v>2015</v>
      </c>
      <c r="U107" s="569">
        <f t="shared" si="147"/>
        <v>2016</v>
      </c>
      <c r="V107" s="569">
        <f t="shared" si="147"/>
        <v>2017</v>
      </c>
    </row>
    <row r="108" spans="2:22" ht="17.25" customHeight="1">
      <c r="B108" s="844" t="s">
        <v>74</v>
      </c>
      <c r="C108" s="845"/>
      <c r="D108" s="846"/>
      <c r="E108" s="571"/>
      <c r="F108" s="572">
        <f>SUMPRODUCT(E68:E75,F79:F86)</f>
        <v>10022336.195152948</v>
      </c>
      <c r="G108" s="572">
        <f>SUMPRODUCT(F68:F75,G79:G86)</f>
        <v>7096610.8334612511</v>
      </c>
      <c r="H108" s="572">
        <f>SUMPRODUCT(G68:G75,H79:H86)</f>
        <v>7491390.8504428538</v>
      </c>
      <c r="I108" s="572">
        <f>SUMPRODUCT(H68:H75,I79:I86)</f>
        <v>4758014.27287177</v>
      </c>
      <c r="J108" s="572"/>
      <c r="K108" s="572">
        <f t="shared" ref="K108:Q108" si="148">SUMPRODUCT(J68:J75,K79:K86)</f>
        <v>13965977.983178975</v>
      </c>
      <c r="L108" s="572">
        <f t="shared" si="148"/>
        <v>27995369.679875657</v>
      </c>
      <c r="M108" s="572">
        <f>SUMPRODUCT(L68:L75,M79:M86)</f>
        <v>15664306.939687314</v>
      </c>
      <c r="N108" s="572">
        <f t="shared" si="148"/>
        <v>41274103.333912745</v>
      </c>
      <c r="O108" s="572">
        <f t="shared" si="148"/>
        <v>30636152.495408788</v>
      </c>
      <c r="P108" s="572">
        <f t="shared" si="148"/>
        <v>32632797.375755668</v>
      </c>
      <c r="Q108" s="572">
        <f t="shared" si="148"/>
        <v>35984966.401135199</v>
      </c>
      <c r="R108" s="572">
        <f t="shared" ref="R108:V108" si="149">SUMPRODUCT(Q68:Q75,R79:R86)</f>
        <v>42675475.908895299</v>
      </c>
      <c r="S108" s="572">
        <f>SUMPRODUCT(R68:R75,S79:S86)</f>
        <v>45255703.063997887</v>
      </c>
      <c r="T108" s="572">
        <f t="shared" si="149"/>
        <v>51667106.669465564</v>
      </c>
      <c r="U108" s="572">
        <f t="shared" si="149"/>
        <v>53221503.859577842</v>
      </c>
      <c r="V108" s="572">
        <f t="shared" si="149"/>
        <v>49643640.634248644</v>
      </c>
    </row>
    <row r="109" spans="2:22" ht="21" customHeight="1">
      <c r="B109" s="844" t="s">
        <v>75</v>
      </c>
      <c r="C109" s="845"/>
      <c r="D109" s="846"/>
      <c r="E109" s="571"/>
      <c r="F109" s="572">
        <f>SUMPRODUCT(E68:E75,E79:E86)</f>
        <v>7496371.7693639724</v>
      </c>
      <c r="G109" s="572">
        <f>SUMPRODUCT(F68:F75,F79:F86)</f>
        <v>11435249.969870955</v>
      </c>
      <c r="H109" s="572">
        <f>SUMPRODUCT(G68:G75,G79:G86)</f>
        <v>7210530.7399909068</v>
      </c>
      <c r="I109" s="572">
        <f>SUMPRODUCT(H68:H75,H79:H86)</f>
        <v>6989935.5384384729</v>
      </c>
      <c r="J109" s="572"/>
      <c r="K109" s="572">
        <f t="shared" ref="K109:Q109" si="150">SUMPRODUCT(J68:J75,J79:J86)</f>
        <v>11003867.298523949</v>
      </c>
      <c r="L109" s="572">
        <f t="shared" si="150"/>
        <v>21723345.497119941</v>
      </c>
      <c r="M109" s="572">
        <f t="shared" si="150"/>
        <v>28090559.741706707</v>
      </c>
      <c r="N109" s="572">
        <f t="shared" si="150"/>
        <v>14722173.44435495</v>
      </c>
      <c r="O109" s="572">
        <f t="shared" si="150"/>
        <v>44467917.960466109</v>
      </c>
      <c r="P109" s="572">
        <f t="shared" si="150"/>
        <v>33669460.038063578</v>
      </c>
      <c r="Q109" s="572">
        <f t="shared" si="150"/>
        <v>30635075.536516104</v>
      </c>
      <c r="R109" s="572">
        <f t="shared" ref="R109:V109" si="151">SUMPRODUCT(Q68:Q75,Q79:Q86)</f>
        <v>35753802.256013252</v>
      </c>
      <c r="S109" s="572">
        <f>SUMPRODUCT(R68:R75,R79:R86)</f>
        <v>44147283.01763501</v>
      </c>
      <c r="T109" s="572">
        <f t="shared" si="151"/>
        <v>45425230.291205108</v>
      </c>
      <c r="U109" s="572">
        <f t="shared" si="151"/>
        <v>51923303.347590305</v>
      </c>
      <c r="V109" s="572">
        <f t="shared" si="151"/>
        <v>53119958.095405854</v>
      </c>
    </row>
    <row r="110" spans="2:22" ht="21" customHeight="1" thickBot="1">
      <c r="B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</row>
    <row r="111" spans="2:22" ht="18" customHeight="1">
      <c r="B111" s="848" t="s">
        <v>81</v>
      </c>
      <c r="C111" s="849"/>
      <c r="D111" s="850"/>
      <c r="E111" s="568">
        <v>2001</v>
      </c>
      <c r="F111" s="569">
        <f>E111+1</f>
        <v>2002</v>
      </c>
      <c r="G111" s="569">
        <f>F111+1</f>
        <v>2003</v>
      </c>
      <c r="H111" s="569">
        <f>G111+1</f>
        <v>2004</v>
      </c>
      <c r="I111" s="570">
        <f>H111+1</f>
        <v>2005</v>
      </c>
      <c r="J111" s="569">
        <f>H111+1</f>
        <v>2005</v>
      </c>
      <c r="K111" s="569">
        <f t="shared" ref="K111:Q111" si="152">J111+1</f>
        <v>2006</v>
      </c>
      <c r="L111" s="569">
        <f t="shared" si="152"/>
        <v>2007</v>
      </c>
      <c r="M111" s="569">
        <f t="shared" si="152"/>
        <v>2008</v>
      </c>
      <c r="N111" s="569">
        <f t="shared" si="152"/>
        <v>2009</v>
      </c>
      <c r="O111" s="569">
        <f t="shared" si="152"/>
        <v>2010</v>
      </c>
      <c r="P111" s="569">
        <f t="shared" si="152"/>
        <v>2011</v>
      </c>
      <c r="Q111" s="569">
        <f t="shared" si="152"/>
        <v>2012</v>
      </c>
      <c r="R111" s="569">
        <f t="shared" ref="R111:V111" si="153">Q111+1</f>
        <v>2013</v>
      </c>
      <c r="S111" s="569">
        <f t="shared" si="153"/>
        <v>2014</v>
      </c>
      <c r="T111" s="569">
        <f t="shared" si="153"/>
        <v>2015</v>
      </c>
      <c r="U111" s="569">
        <f t="shared" si="153"/>
        <v>2016</v>
      </c>
      <c r="V111" s="569">
        <f t="shared" si="153"/>
        <v>2017</v>
      </c>
    </row>
    <row r="112" spans="2:22">
      <c r="B112" s="844" t="s">
        <v>74</v>
      </c>
      <c r="C112" s="845"/>
      <c r="D112" s="846"/>
      <c r="E112" s="571"/>
      <c r="F112" s="572">
        <f>SUMPRODUCT(F68:F75,F79:F86)</f>
        <v>11435249.969870955</v>
      </c>
      <c r="G112" s="572">
        <f>SUMPRODUCT(G68:G75,G79:G86)</f>
        <v>7210530.7399909068</v>
      </c>
      <c r="H112" s="572">
        <f>SUMPRODUCT(H68:H75,H79:H86)</f>
        <v>6989935.5384384729</v>
      </c>
      <c r="I112" s="572">
        <f>SUMPRODUCT(I68:I75,I79:I86)</f>
        <v>10558544.710396176</v>
      </c>
      <c r="J112" s="572"/>
      <c r="K112" s="572">
        <f t="shared" ref="K112:P112" si="154">SUMPRODUCT(K68:K75,K79:K86)</f>
        <v>21723345.497119941</v>
      </c>
      <c r="L112" s="572">
        <f t="shared" si="154"/>
        <v>28090559.741706707</v>
      </c>
      <c r="M112" s="572">
        <f t="shared" si="154"/>
        <v>14722173.44435495</v>
      </c>
      <c r="N112" s="572">
        <f t="shared" si="154"/>
        <v>44467917.960466109</v>
      </c>
      <c r="O112" s="572">
        <f t="shared" si="154"/>
        <v>33669460.038063578</v>
      </c>
      <c r="P112" s="572">
        <f t="shared" si="154"/>
        <v>30635075.536516104</v>
      </c>
      <c r="Q112" s="572">
        <f t="shared" ref="Q112:V112" si="155">SUMPRODUCT(Q68:Q75,Q79:Q86)</f>
        <v>35753802.256013252</v>
      </c>
      <c r="R112" s="572">
        <f t="shared" si="155"/>
        <v>44147283.01763501</v>
      </c>
      <c r="S112" s="572">
        <f t="shared" si="155"/>
        <v>45425230.291205108</v>
      </c>
      <c r="T112" s="572">
        <f t="shared" si="155"/>
        <v>51923303.347590305</v>
      </c>
      <c r="U112" s="572">
        <f t="shared" si="155"/>
        <v>53119958.095405854</v>
      </c>
      <c r="V112" s="572">
        <f t="shared" si="155"/>
        <v>48180132.535655022</v>
      </c>
    </row>
    <row r="113" spans="2:22">
      <c r="B113" s="844" t="s">
        <v>75</v>
      </c>
      <c r="C113" s="845"/>
      <c r="D113" s="846"/>
      <c r="E113" s="571"/>
      <c r="F113" s="572">
        <f>SUMPRODUCT(F68:F75,E79:E86)</f>
        <v>8173222.3366906531</v>
      </c>
      <c r="G113" s="572">
        <f>SUMPRODUCT(G68:G75,F79:F86)</f>
        <v>11595506.463205362</v>
      </c>
      <c r="H113" s="572">
        <f>SUMPRODUCT(H68:H75,G79:G86)</f>
        <v>6738731.1580922762</v>
      </c>
      <c r="I113" s="572">
        <f>SUMPRODUCT(I68:I75,H79:H86)</f>
        <v>15298035.625922967</v>
      </c>
      <c r="J113" s="572"/>
      <c r="K113" s="572">
        <f t="shared" ref="K113:Q113" si="156">SUMPRODUCT(K68:K75,J79:J86)</f>
        <v>17160185.238730669</v>
      </c>
      <c r="L113" s="572">
        <f t="shared" si="156"/>
        <v>21818399.715870012</v>
      </c>
      <c r="M113" s="572">
        <f t="shared" si="156"/>
        <v>26388512.982386578</v>
      </c>
      <c r="N113" s="572">
        <f t="shared" si="156"/>
        <v>15900688.837814795</v>
      </c>
      <c r="O113" s="572">
        <f t="shared" si="156"/>
        <v>48782075.838545337</v>
      </c>
      <c r="P113" s="572">
        <f t="shared" si="156"/>
        <v>31648104.94461659</v>
      </c>
      <c r="Q113" s="572">
        <f t="shared" si="156"/>
        <v>30428054.89336437</v>
      </c>
      <c r="R113" s="572">
        <f t="shared" ref="R113:V113" si="157">SUMPRODUCT(R68:R75,Q79:Q86)</f>
        <v>36938641.677266859</v>
      </c>
      <c r="S113" s="572">
        <f t="shared" si="157"/>
        <v>44280607.044106834</v>
      </c>
      <c r="T113" s="572">
        <f t="shared" si="157"/>
        <v>45596822.05980432</v>
      </c>
      <c r="U113" s="572">
        <f t="shared" si="157"/>
        <v>52105587.981379434</v>
      </c>
      <c r="V113" s="572">
        <f t="shared" si="157"/>
        <v>51785975.764356203</v>
      </c>
    </row>
    <row r="114" spans="2:22" ht="15.75" thickBot="1">
      <c r="B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</row>
    <row r="115" spans="2:22" ht="18" customHeight="1" thickBot="1">
      <c r="E115" s="568">
        <v>2001</v>
      </c>
      <c r="F115" s="569">
        <f>E115+1</f>
        <v>2002</v>
      </c>
      <c r="G115" s="569">
        <f>F115+1</f>
        <v>2003</v>
      </c>
      <c r="H115" s="569">
        <f>G115+1</f>
        <v>2004</v>
      </c>
      <c r="I115" s="570">
        <f>H115+1</f>
        <v>2005</v>
      </c>
      <c r="J115" s="569">
        <f>H115+1</f>
        <v>2005</v>
      </c>
      <c r="K115" s="569">
        <f t="shared" ref="K115:Q115" si="158">J115+1</f>
        <v>2006</v>
      </c>
      <c r="L115" s="569">
        <f t="shared" si="158"/>
        <v>2007</v>
      </c>
      <c r="M115" s="569">
        <f t="shared" si="158"/>
        <v>2008</v>
      </c>
      <c r="N115" s="569">
        <f t="shared" si="158"/>
        <v>2009</v>
      </c>
      <c r="O115" s="569">
        <f t="shared" si="158"/>
        <v>2010</v>
      </c>
      <c r="P115" s="569">
        <f t="shared" si="158"/>
        <v>2011</v>
      </c>
      <c r="Q115" s="569">
        <f t="shared" si="158"/>
        <v>2012</v>
      </c>
      <c r="R115" s="569">
        <f t="shared" ref="R115:V115" si="159">Q115+1</f>
        <v>2013</v>
      </c>
      <c r="S115" s="569">
        <f t="shared" si="159"/>
        <v>2014</v>
      </c>
      <c r="T115" s="569">
        <f t="shared" si="159"/>
        <v>2015</v>
      </c>
      <c r="U115" s="569">
        <f t="shared" si="159"/>
        <v>2016</v>
      </c>
      <c r="V115" s="569">
        <f t="shared" si="159"/>
        <v>2017</v>
      </c>
    </row>
    <row r="116" spans="2:22" ht="15.75" thickBot="1">
      <c r="B116" s="842" t="s">
        <v>82</v>
      </c>
      <c r="C116" s="843"/>
      <c r="D116" s="847"/>
      <c r="E116" s="574"/>
      <c r="F116" s="575">
        <f>((F108/F109)*(F112/F113))^0.5</f>
        <v>1.3676819012144905</v>
      </c>
      <c r="G116" s="575">
        <f>((G108/G109)*(G112/G113))^0.5</f>
        <v>0.62121426348342845</v>
      </c>
      <c r="H116" s="575">
        <f>((H108/H109)*(H112/H113))^0.5</f>
        <v>1.0381142004983419</v>
      </c>
      <c r="I116" s="575">
        <f>((I108/I109)*(I112/I113))^0.5</f>
        <v>0.68542585516721743</v>
      </c>
      <c r="J116" s="575"/>
      <c r="K116" s="575">
        <f t="shared" ref="K116:V116" si="160">((K108/K109)*(K112/K113))^0.5</f>
        <v>1.2675507987491532</v>
      </c>
      <c r="L116" s="575">
        <f t="shared" si="160"/>
        <v>1.2880967911144461</v>
      </c>
      <c r="M116" s="575">
        <f>((M108/M109)*(M112/M113))^0.5</f>
        <v>0.55776839440601367</v>
      </c>
      <c r="N116" s="575">
        <f t="shared" si="160"/>
        <v>2.800066121633598</v>
      </c>
      <c r="O116" s="575">
        <f t="shared" si="160"/>
        <v>0.6895752264467736</v>
      </c>
      <c r="P116" s="575">
        <f t="shared" si="160"/>
        <v>0.96860052276090181</v>
      </c>
      <c r="Q116" s="575">
        <f t="shared" si="160"/>
        <v>1.1748301797293321</v>
      </c>
      <c r="R116" s="575">
        <f t="shared" si="160"/>
        <v>1.194371960644891</v>
      </c>
      <c r="S116" s="575">
        <f t="shared" si="160"/>
        <v>1.0254782500747708</v>
      </c>
      <c r="T116" s="575">
        <f t="shared" si="160"/>
        <v>1.1380789007118888</v>
      </c>
      <c r="U116" s="575">
        <f t="shared" si="160"/>
        <v>1.0222311837409668</v>
      </c>
      <c r="V116" s="575">
        <f t="shared" si="160"/>
        <v>0.93246140022709489</v>
      </c>
    </row>
    <row r="118" spans="2:22" ht="15.75" thickBot="1"/>
    <row r="119" spans="2:22" ht="15.75" thickBot="1">
      <c r="B119" s="842" t="s">
        <v>218</v>
      </c>
      <c r="C119" s="843"/>
      <c r="D119" s="843"/>
      <c r="E119" s="576"/>
      <c r="F119" s="576">
        <f>+F115</f>
        <v>2002</v>
      </c>
      <c r="G119" s="576">
        <f>F119+1</f>
        <v>2003</v>
      </c>
      <c r="H119" s="576">
        <f>G119+1</f>
        <v>2004</v>
      </c>
      <c r="I119" s="462">
        <f>H119+1</f>
        <v>2005</v>
      </c>
      <c r="J119" s="576">
        <f>H119+1</f>
        <v>2005</v>
      </c>
      <c r="K119" s="576">
        <f t="shared" ref="K119:Q119" si="161">J119+1</f>
        <v>2006</v>
      </c>
      <c r="L119" s="576">
        <f t="shared" si="161"/>
        <v>2007</v>
      </c>
      <c r="M119" s="576">
        <f t="shared" si="161"/>
        <v>2008</v>
      </c>
      <c r="N119" s="576">
        <f t="shared" si="161"/>
        <v>2009</v>
      </c>
      <c r="O119" s="576">
        <f t="shared" si="161"/>
        <v>2010</v>
      </c>
      <c r="P119" s="576">
        <f t="shared" si="161"/>
        <v>2011</v>
      </c>
      <c r="Q119" s="576">
        <f t="shared" si="161"/>
        <v>2012</v>
      </c>
      <c r="R119" s="576">
        <f t="shared" ref="R119:V119" si="162">Q119+1</f>
        <v>2013</v>
      </c>
      <c r="S119" s="576">
        <f t="shared" si="162"/>
        <v>2014</v>
      </c>
      <c r="T119" s="576">
        <f t="shared" si="162"/>
        <v>2015</v>
      </c>
      <c r="U119" s="576">
        <f t="shared" si="162"/>
        <v>2016</v>
      </c>
      <c r="V119" s="576">
        <f t="shared" si="162"/>
        <v>2017</v>
      </c>
    </row>
    <row r="120" spans="2:22" ht="15.75" thickBot="1">
      <c r="B120" s="600"/>
      <c r="C120" s="601"/>
      <c r="D120" s="601"/>
      <c r="E120" s="602"/>
      <c r="F120" s="603">
        <f>LN(F116)</f>
        <v>0.31311726380946925</v>
      </c>
      <c r="G120" s="603">
        <f>LN(G116)</f>
        <v>-0.47607922679376447</v>
      </c>
      <c r="H120" s="603">
        <f>LN(H116)</f>
        <v>3.7405798439889212E-2</v>
      </c>
      <c r="I120" s="603">
        <f>LN(I116)</f>
        <v>-0.37771494751133122</v>
      </c>
      <c r="J120" s="603"/>
      <c r="K120" s="603">
        <f t="shared" ref="K120:V120" si="163">LN(K116)</f>
        <v>0.23708653358870541</v>
      </c>
      <c r="L120" s="603">
        <f t="shared" si="163"/>
        <v>0.25316577323944489</v>
      </c>
      <c r="M120" s="603">
        <f>LN(M116)</f>
        <v>-0.58381146655214922</v>
      </c>
      <c r="N120" s="603">
        <f t="shared" si="163"/>
        <v>1.0296430317714738</v>
      </c>
      <c r="O120" s="603">
        <f t="shared" si="163"/>
        <v>-0.37167948480409529</v>
      </c>
      <c r="P120" s="603">
        <f t="shared" si="163"/>
        <v>-3.1903009305429587E-2</v>
      </c>
      <c r="Q120" s="603">
        <f t="shared" si="163"/>
        <v>0.16112360926103028</v>
      </c>
      <c r="R120" s="603">
        <f t="shared" si="163"/>
        <v>0.17762049128484322</v>
      </c>
      <c r="S120" s="603">
        <f t="shared" si="163"/>
        <v>2.5159089212033425E-2</v>
      </c>
      <c r="T120" s="603">
        <f t="shared" si="163"/>
        <v>0.12934166608798106</v>
      </c>
      <c r="U120" s="603">
        <f t="shared" si="163"/>
        <v>2.1987673383467597E-2</v>
      </c>
      <c r="V120" s="603">
        <f t="shared" si="163"/>
        <v>-6.9927522179259113E-2</v>
      </c>
    </row>
    <row r="121" spans="2:22">
      <c r="B121" s="604"/>
      <c r="C121" s="604"/>
      <c r="D121" s="604"/>
      <c r="E121" s="605"/>
      <c r="F121" s="606"/>
      <c r="G121" s="606"/>
      <c r="H121" s="606"/>
      <c r="I121" s="606"/>
      <c r="J121" s="606"/>
      <c r="K121" s="606"/>
      <c r="L121" s="606"/>
      <c r="M121" s="606"/>
      <c r="N121" s="606"/>
      <c r="O121" s="606"/>
      <c r="P121" s="606"/>
      <c r="Q121" s="606"/>
      <c r="R121" s="676"/>
      <c r="S121" s="676"/>
      <c r="T121" s="676"/>
      <c r="U121" s="676"/>
      <c r="V121" s="608">
        <f>+AVERAGE($F$120:V120)</f>
        <v>2.9658454558269334E-2</v>
      </c>
    </row>
    <row r="122" spans="2:22">
      <c r="F122" s="577"/>
      <c r="G122" s="577"/>
      <c r="H122" s="577"/>
      <c r="I122" s="577"/>
      <c r="J122" s="577"/>
      <c r="K122" s="577"/>
      <c r="L122" s="577"/>
      <c r="M122" s="577"/>
      <c r="N122" s="577"/>
      <c r="O122" s="577"/>
      <c r="P122" s="577"/>
      <c r="Q122" s="577"/>
      <c r="R122" s="577"/>
      <c r="S122" s="577"/>
      <c r="T122" s="577"/>
      <c r="U122" s="577"/>
      <c r="V122" s="577"/>
    </row>
    <row r="123" spans="2:22">
      <c r="F123" s="577"/>
      <c r="G123" s="577"/>
      <c r="H123" s="577"/>
      <c r="I123" s="577"/>
      <c r="J123" s="577"/>
      <c r="K123" s="577"/>
      <c r="L123" s="577"/>
      <c r="M123" s="577"/>
      <c r="N123" s="577"/>
      <c r="O123" s="577"/>
      <c r="P123" s="577"/>
      <c r="Q123" s="577"/>
      <c r="R123" s="577"/>
      <c r="S123" s="577"/>
      <c r="T123" s="577"/>
      <c r="U123" s="577"/>
      <c r="V123" s="577"/>
    </row>
    <row r="124" spans="2:22">
      <c r="F124" s="577"/>
      <c r="G124" s="577"/>
      <c r="H124" s="577"/>
      <c r="I124" s="577"/>
      <c r="J124" s="577"/>
      <c r="K124" s="577"/>
      <c r="L124" s="577"/>
      <c r="M124" s="577"/>
      <c r="N124" s="577"/>
      <c r="O124" s="577"/>
      <c r="P124" s="577"/>
      <c r="Q124" s="577"/>
      <c r="R124" s="577"/>
      <c r="S124" s="577"/>
      <c r="T124" s="577"/>
      <c r="U124" s="577"/>
      <c r="V124" s="577"/>
    </row>
  </sheetData>
  <mergeCells count="30">
    <mergeCell ref="B112:D112"/>
    <mergeCell ref="B113:D113"/>
    <mergeCell ref="B116:D116"/>
    <mergeCell ref="B119:D119"/>
    <mergeCell ref="B102:D102"/>
    <mergeCell ref="B107:D107"/>
    <mergeCell ref="B108:D108"/>
    <mergeCell ref="B109:D109"/>
    <mergeCell ref="B111:D111"/>
    <mergeCell ref="B92:D92"/>
    <mergeCell ref="B94:D94"/>
    <mergeCell ref="B95:D95"/>
    <mergeCell ref="B96:D96"/>
    <mergeCell ref="B99:D99"/>
    <mergeCell ref="Z64:AB64"/>
    <mergeCell ref="B67:D67"/>
    <mergeCell ref="B78:D78"/>
    <mergeCell ref="B90:D90"/>
    <mergeCell ref="B91:D91"/>
    <mergeCell ref="B29:D29"/>
    <mergeCell ref="B31:D31"/>
    <mergeCell ref="B44:D44"/>
    <mergeCell ref="Z44:AB44"/>
    <mergeCell ref="B55:D55"/>
    <mergeCell ref="Z55:AB55"/>
    <mergeCell ref="B4:C4"/>
    <mergeCell ref="B15:C15"/>
    <mergeCell ref="B16:C16"/>
    <mergeCell ref="B17:C17"/>
    <mergeCell ref="B28:D28"/>
  </mergeCells>
  <pageMargins left="0.75" right="0.75" top="1" bottom="1" header="0" footer="0"/>
  <pageSetup paperSize="9" scale="11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C353"/>
  <sheetViews>
    <sheetView showGridLines="0" topLeftCell="B1" zoomScale="85" zoomScaleNormal="85" workbookViewId="0">
      <pane xSplit="1" topLeftCell="C1" activePane="topRight" state="frozen"/>
      <selection activeCell="D59" sqref="D59"/>
      <selection pane="topRight" activeCell="C15" sqref="C15"/>
    </sheetView>
  </sheetViews>
  <sheetFormatPr baseColWidth="10" defaultColWidth="11.42578125" defaultRowHeight="15"/>
  <cols>
    <col min="1" max="1" width="16" style="1" customWidth="1"/>
    <col min="2" max="2" width="35" style="1" customWidth="1"/>
    <col min="3" max="21" width="13.7109375" style="1" customWidth="1"/>
    <col min="22" max="23" width="14" style="238" customWidth="1"/>
    <col min="24" max="24" width="16.7109375" style="238" customWidth="1"/>
    <col min="25" max="25" width="19.28515625" style="1" bestFit="1" customWidth="1"/>
    <col min="26" max="26" width="17" style="1" customWidth="1"/>
    <col min="27" max="39" width="14.140625" style="1" customWidth="1"/>
    <col min="40" max="40" width="15.7109375" style="1" bestFit="1" customWidth="1"/>
    <col min="41" max="41" width="16.7109375" style="1" bestFit="1" customWidth="1"/>
    <col min="42" max="43" width="15.7109375" style="1" bestFit="1" customWidth="1"/>
    <col min="44" max="44" width="16.7109375" style="1" bestFit="1" customWidth="1"/>
    <col min="45" max="45" width="14.5703125" style="1" bestFit="1" customWidth="1"/>
    <col min="46" max="47" width="15.7109375" style="1" bestFit="1" customWidth="1"/>
    <col min="48" max="48" width="16.7109375" style="1" bestFit="1" customWidth="1"/>
    <col min="49" max="49" width="11.5703125" style="1" bestFit="1" customWidth="1"/>
    <col min="50" max="52" width="22.28515625" style="1" bestFit="1" customWidth="1"/>
    <col min="53" max="53" width="23.5703125" style="1" bestFit="1" customWidth="1"/>
    <col min="54" max="16384" width="11.42578125" style="1"/>
  </cols>
  <sheetData>
    <row r="1" spans="2:24">
      <c r="I1" s="694"/>
      <c r="V1" s="1"/>
      <c r="W1" s="1"/>
      <c r="X1" s="1"/>
    </row>
    <row r="2" spans="2:24" ht="15.75" thickBot="1">
      <c r="V2" s="1"/>
      <c r="W2" s="1"/>
      <c r="X2" s="1"/>
    </row>
    <row r="3" spans="2:24" ht="15.75" thickBot="1">
      <c r="B3" s="361"/>
      <c r="C3" s="121" t="s">
        <v>370</v>
      </c>
      <c r="D3" s="121">
        <v>2001</v>
      </c>
      <c r="E3" s="362">
        <v>2002</v>
      </c>
      <c r="F3" s="362">
        <v>2003</v>
      </c>
      <c r="G3" s="121">
        <v>2004</v>
      </c>
      <c r="H3" s="200">
        <v>2005</v>
      </c>
      <c r="I3" s="362">
        <v>2005</v>
      </c>
      <c r="J3" s="121">
        <v>2006</v>
      </c>
      <c r="K3" s="123">
        <v>2007</v>
      </c>
      <c r="L3" s="121">
        <v>2008</v>
      </c>
      <c r="M3" s="123">
        <v>2009</v>
      </c>
      <c r="N3" s="121">
        <v>2010</v>
      </c>
      <c r="O3" s="123">
        <v>2011</v>
      </c>
      <c r="P3" s="121">
        <v>2012</v>
      </c>
      <c r="Q3" s="121">
        <v>2013</v>
      </c>
      <c r="R3" s="121">
        <v>2014</v>
      </c>
      <c r="S3" s="121">
        <v>2015</v>
      </c>
      <c r="T3" s="121">
        <v>2016</v>
      </c>
      <c r="U3" s="121">
        <v>2017</v>
      </c>
      <c r="V3" s="1"/>
      <c r="W3" s="1"/>
      <c r="X3" s="1"/>
    </row>
    <row r="4" spans="2:24">
      <c r="B4" s="215" t="s">
        <v>374</v>
      </c>
      <c r="C4" s="216">
        <f>+C6+C18+C28+C29</f>
        <v>42415.783000000003</v>
      </c>
      <c r="D4" s="216"/>
      <c r="E4" s="217">
        <f>+E6+E18+E28+E29</f>
        <v>52657</v>
      </c>
      <c r="F4" s="217">
        <f>+F6+F18+F28+F29</f>
        <v>58001</v>
      </c>
      <c r="G4" s="216">
        <f>+G6+G18+G28+G29</f>
        <v>61478</v>
      </c>
      <c r="H4" s="216"/>
      <c r="I4" s="217">
        <f t="shared" ref="I4:P4" si="0">+I6+I18+I28+I29</f>
        <v>74318</v>
      </c>
      <c r="J4" s="217">
        <f t="shared" si="0"/>
        <v>84657</v>
      </c>
      <c r="K4" s="218">
        <f t="shared" si="0"/>
        <v>98901</v>
      </c>
      <c r="L4" s="217">
        <f t="shared" si="0"/>
        <v>109262</v>
      </c>
      <c r="M4" s="217">
        <f t="shared" si="0"/>
        <v>121303</v>
      </c>
      <c r="N4" s="217">
        <f t="shared" si="0"/>
        <v>132776</v>
      </c>
      <c r="O4" s="217">
        <f t="shared" si="0"/>
        <v>152172</v>
      </c>
      <c r="P4" s="218">
        <f t="shared" si="0"/>
        <v>175395.89746000001</v>
      </c>
      <c r="Q4" s="218">
        <f t="shared" ref="Q4:U4" si="1">+Q6+Q18+Q28+Q29</f>
        <v>192744</v>
      </c>
      <c r="R4" s="218">
        <f t="shared" si="1"/>
        <v>201919</v>
      </c>
      <c r="S4" s="218">
        <f t="shared" si="1"/>
        <v>212442.99518999999</v>
      </c>
      <c r="T4" s="218">
        <f t="shared" si="1"/>
        <v>225624.34255999999</v>
      </c>
      <c r="U4" s="218">
        <f t="shared" si="1"/>
        <v>242540</v>
      </c>
      <c r="V4" s="1"/>
      <c r="W4" s="1"/>
      <c r="X4" s="1"/>
    </row>
    <row r="5" spans="2:24">
      <c r="B5" s="219"/>
      <c r="C5" s="220"/>
      <c r="D5" s="220"/>
      <c r="E5" s="221"/>
      <c r="F5" s="221"/>
      <c r="G5" s="220"/>
      <c r="H5" s="220"/>
      <c r="I5" s="221"/>
      <c r="J5" s="220"/>
      <c r="K5" s="222"/>
      <c r="L5" s="220"/>
      <c r="M5" s="220"/>
      <c r="N5" s="220"/>
      <c r="O5" s="220"/>
      <c r="P5" s="222"/>
      <c r="Q5" s="222"/>
      <c r="R5" s="222"/>
      <c r="S5" s="222"/>
      <c r="T5" s="222"/>
      <c r="U5" s="222"/>
      <c r="V5" s="1"/>
      <c r="W5" s="1"/>
      <c r="X5" s="1"/>
    </row>
    <row r="6" spans="2:24">
      <c r="B6" s="223" t="s">
        <v>375</v>
      </c>
      <c r="C6" s="224">
        <f>SUM(C7:C16)</f>
        <v>10187.154999999999</v>
      </c>
      <c r="D6" s="224"/>
      <c r="E6" s="225">
        <f>SUM(E7:E16)</f>
        <v>12049</v>
      </c>
      <c r="F6" s="225">
        <f>SUM(F7:F16)</f>
        <v>13697</v>
      </c>
      <c r="G6" s="224">
        <f>SUM(G7:G16)</f>
        <v>13193</v>
      </c>
      <c r="H6" s="224"/>
      <c r="I6" s="225">
        <f t="shared" ref="I6:P6" si="2">SUM(I7:I16)</f>
        <v>18107</v>
      </c>
      <c r="J6" s="225">
        <f t="shared" si="2"/>
        <v>22480</v>
      </c>
      <c r="K6" s="226">
        <f t="shared" si="2"/>
        <v>25505</v>
      </c>
      <c r="L6" s="225">
        <f t="shared" si="2"/>
        <v>27030</v>
      </c>
      <c r="M6" s="225">
        <f t="shared" si="2"/>
        <v>30865</v>
      </c>
      <c r="N6" s="225">
        <f t="shared" si="2"/>
        <v>31615</v>
      </c>
      <c r="O6" s="225">
        <f t="shared" si="2"/>
        <v>34204</v>
      </c>
      <c r="P6" s="226">
        <f t="shared" si="2"/>
        <v>42900.821639999995</v>
      </c>
      <c r="Q6" s="226">
        <f t="shared" ref="Q6:U6" si="3">SUM(Q7:Q16)</f>
        <v>45261</v>
      </c>
      <c r="R6" s="226">
        <f t="shared" si="3"/>
        <v>47936</v>
      </c>
      <c r="S6" s="226">
        <f t="shared" si="3"/>
        <v>47461.560660000003</v>
      </c>
      <c r="T6" s="226">
        <f t="shared" si="3"/>
        <v>47020.342559999997</v>
      </c>
      <c r="U6" s="226">
        <f t="shared" si="3"/>
        <v>49257</v>
      </c>
      <c r="V6" s="1"/>
      <c r="W6" s="1"/>
      <c r="X6" s="1"/>
    </row>
    <row r="7" spans="2:24">
      <c r="B7" s="584" t="s">
        <v>376</v>
      </c>
      <c r="C7" s="227">
        <v>3663</v>
      </c>
      <c r="D7" s="227"/>
      <c r="E7" s="228">
        <v>4971</v>
      </c>
      <c r="F7" s="228">
        <v>5404</v>
      </c>
      <c r="G7" s="227">
        <v>5405</v>
      </c>
      <c r="H7" s="227"/>
      <c r="I7" s="228">
        <v>6023</v>
      </c>
      <c r="J7" s="227">
        <v>5952</v>
      </c>
      <c r="K7" s="229">
        <v>7707</v>
      </c>
      <c r="L7" s="227">
        <v>8752</v>
      </c>
      <c r="M7" s="227">
        <v>9114</v>
      </c>
      <c r="N7" s="227">
        <v>10208</v>
      </c>
      <c r="O7" s="227">
        <v>11790</v>
      </c>
      <c r="P7" s="229">
        <v>15638.298919999999</v>
      </c>
      <c r="Q7" s="229">
        <v>16050</v>
      </c>
      <c r="R7" s="229">
        <v>15227</v>
      </c>
      <c r="S7" s="229">
        <v>15082.440430000001</v>
      </c>
      <c r="T7" s="229">
        <v>15945</v>
      </c>
      <c r="U7" s="229">
        <v>16353</v>
      </c>
      <c r="V7" s="1"/>
      <c r="W7" s="1"/>
      <c r="X7" s="1"/>
    </row>
    <row r="8" spans="2:24">
      <c r="B8" s="585" t="s">
        <v>377</v>
      </c>
      <c r="C8" s="227">
        <v>2628</v>
      </c>
      <c r="D8" s="227"/>
      <c r="E8" s="228">
        <v>1692</v>
      </c>
      <c r="F8" s="228">
        <v>1984</v>
      </c>
      <c r="G8" s="227">
        <v>1752</v>
      </c>
      <c r="H8" s="227"/>
      <c r="I8" s="228">
        <v>1902</v>
      </c>
      <c r="J8" s="227">
        <v>1565</v>
      </c>
      <c r="K8" s="229">
        <v>1412</v>
      </c>
      <c r="L8" s="227">
        <v>1419</v>
      </c>
      <c r="M8" s="227">
        <v>1279</v>
      </c>
      <c r="N8" s="227">
        <v>1290</v>
      </c>
      <c r="O8" s="227">
        <v>1616</v>
      </c>
      <c r="P8" s="229">
        <v>2002.3171299999999</v>
      </c>
      <c r="Q8" s="229">
        <v>1874</v>
      </c>
      <c r="R8" s="229">
        <v>2461</v>
      </c>
      <c r="S8" s="229">
        <v>2580</v>
      </c>
      <c r="T8" s="229">
        <v>1869</v>
      </c>
      <c r="U8" s="229">
        <v>2109</v>
      </c>
      <c r="V8" s="1"/>
      <c r="W8" s="1"/>
      <c r="X8" s="1"/>
    </row>
    <row r="9" spans="2:24">
      <c r="B9" s="584" t="s">
        <v>378</v>
      </c>
      <c r="C9" s="227">
        <v>109</v>
      </c>
      <c r="D9" s="227"/>
      <c r="E9" s="228">
        <v>306</v>
      </c>
      <c r="F9" s="228">
        <v>680</v>
      </c>
      <c r="G9" s="227">
        <v>745</v>
      </c>
      <c r="H9" s="227"/>
      <c r="I9" s="228">
        <v>684</v>
      </c>
      <c r="J9" s="227">
        <v>1033</v>
      </c>
      <c r="K9" s="229">
        <v>1098</v>
      </c>
      <c r="L9" s="227">
        <v>803</v>
      </c>
      <c r="M9" s="227">
        <v>880</v>
      </c>
      <c r="N9" s="227">
        <v>927</v>
      </c>
      <c r="O9" s="227">
        <v>941</v>
      </c>
      <c r="P9" s="229">
        <v>902</v>
      </c>
      <c r="Q9" s="229">
        <v>844</v>
      </c>
      <c r="R9" s="229">
        <v>991</v>
      </c>
      <c r="S9" s="229">
        <v>1113</v>
      </c>
      <c r="T9" s="229">
        <v>1454</v>
      </c>
      <c r="U9" s="229">
        <v>1557</v>
      </c>
      <c r="V9" s="1"/>
      <c r="W9" s="1"/>
      <c r="X9" s="1"/>
    </row>
    <row r="10" spans="2:24">
      <c r="B10" s="584" t="s">
        <v>379</v>
      </c>
      <c r="C10" s="227">
        <v>232.155</v>
      </c>
      <c r="D10" s="227"/>
      <c r="E10" s="228">
        <v>551</v>
      </c>
      <c r="F10" s="228">
        <v>1086</v>
      </c>
      <c r="G10" s="227">
        <v>987</v>
      </c>
      <c r="H10" s="227"/>
      <c r="I10" s="228">
        <v>4271</v>
      </c>
      <c r="J10" s="227">
        <v>7218</v>
      </c>
      <c r="K10" s="229">
        <v>8360</v>
      </c>
      <c r="L10" s="227">
        <v>8137</v>
      </c>
      <c r="M10" s="227">
        <v>10435</v>
      </c>
      <c r="N10" s="227">
        <v>9611</v>
      </c>
      <c r="O10" s="227">
        <v>8978</v>
      </c>
      <c r="P10" s="229">
        <v>11147</v>
      </c>
      <c r="Q10" s="229">
        <v>12579</v>
      </c>
      <c r="R10" s="229">
        <v>14129</v>
      </c>
      <c r="S10" s="229">
        <v>13712</v>
      </c>
      <c r="T10" s="229">
        <v>13298</v>
      </c>
      <c r="U10" s="229">
        <v>12239</v>
      </c>
      <c r="V10" s="1"/>
      <c r="W10" s="1"/>
      <c r="X10" s="1"/>
    </row>
    <row r="11" spans="2:24">
      <c r="B11" s="219" t="s">
        <v>380</v>
      </c>
      <c r="C11" s="227">
        <v>545</v>
      </c>
      <c r="D11" s="227"/>
      <c r="E11" s="228">
        <v>542</v>
      </c>
      <c r="F11" s="228">
        <v>467</v>
      </c>
      <c r="G11" s="227">
        <v>378</v>
      </c>
      <c r="H11" s="227"/>
      <c r="I11" s="228">
        <v>428</v>
      </c>
      <c r="J11" s="227">
        <v>629</v>
      </c>
      <c r="K11" s="229">
        <v>647</v>
      </c>
      <c r="L11" s="227">
        <v>875</v>
      </c>
      <c r="M11" s="227">
        <v>880</v>
      </c>
      <c r="N11" s="227">
        <v>966</v>
      </c>
      <c r="O11" s="227">
        <v>1295</v>
      </c>
      <c r="P11" s="229">
        <v>1477.5187700000001</v>
      </c>
      <c r="Q11" s="229">
        <v>1506</v>
      </c>
      <c r="R11" s="229">
        <v>1593</v>
      </c>
      <c r="S11" s="229">
        <v>1412</v>
      </c>
      <c r="T11" s="229">
        <v>1639.6133500000001</v>
      </c>
      <c r="U11" s="229">
        <v>1800</v>
      </c>
      <c r="V11" s="1"/>
      <c r="W11" s="1"/>
      <c r="X11" s="1"/>
    </row>
    <row r="12" spans="2:24">
      <c r="B12" s="219" t="s">
        <v>381</v>
      </c>
      <c r="C12" s="227">
        <v>1344</v>
      </c>
      <c r="D12" s="227"/>
      <c r="E12" s="228">
        <v>2006</v>
      </c>
      <c r="F12" s="228">
        <v>2056</v>
      </c>
      <c r="G12" s="227">
        <v>1956</v>
      </c>
      <c r="H12" s="227"/>
      <c r="I12" s="228">
        <v>1676</v>
      </c>
      <c r="J12" s="227">
        <v>2030</v>
      </c>
      <c r="K12" s="229">
        <v>1927</v>
      </c>
      <c r="L12" s="227">
        <v>2342</v>
      </c>
      <c r="M12" s="227">
        <v>2455</v>
      </c>
      <c r="N12" s="227">
        <v>2299</v>
      </c>
      <c r="O12" s="227">
        <v>2505</v>
      </c>
      <c r="P12" s="229">
        <v>3254.2</v>
      </c>
      <c r="Q12" s="229">
        <v>4283</v>
      </c>
      <c r="R12" s="229">
        <v>5446</v>
      </c>
      <c r="S12" s="229">
        <f>637+4918</f>
        <v>5555</v>
      </c>
      <c r="T12" s="229">
        <v>4882.7090699999999</v>
      </c>
      <c r="U12" s="229">
        <v>5299</v>
      </c>
      <c r="V12" s="1"/>
      <c r="W12" s="1"/>
      <c r="X12" s="1"/>
    </row>
    <row r="13" spans="2:24">
      <c r="B13" s="219" t="s">
        <v>382</v>
      </c>
      <c r="C13" s="227">
        <v>36</v>
      </c>
      <c r="D13" s="227"/>
      <c r="E13" s="228">
        <v>56</v>
      </c>
      <c r="F13" s="228">
        <v>61</v>
      </c>
      <c r="G13" s="227">
        <v>79</v>
      </c>
      <c r="H13" s="227"/>
      <c r="I13" s="228">
        <v>83</v>
      </c>
      <c r="J13" s="227">
        <f>116+80</f>
        <v>196</v>
      </c>
      <c r="K13" s="229">
        <v>250</v>
      </c>
      <c r="L13" s="227">
        <v>267</v>
      </c>
      <c r="M13" s="227">
        <v>326</v>
      </c>
      <c r="N13" s="227">
        <v>348</v>
      </c>
      <c r="O13" s="227">
        <v>460</v>
      </c>
      <c r="P13" s="229">
        <v>496.74200000000002</v>
      </c>
      <c r="Q13" s="229">
        <v>573</v>
      </c>
      <c r="R13" s="229">
        <v>639</v>
      </c>
      <c r="S13" s="229">
        <v>618</v>
      </c>
      <c r="T13" s="229">
        <v>671</v>
      </c>
      <c r="U13" s="229">
        <v>561</v>
      </c>
      <c r="V13" s="1"/>
      <c r="W13" s="1"/>
      <c r="X13" s="1"/>
    </row>
    <row r="14" spans="2:24">
      <c r="B14" s="219" t="s">
        <v>259</v>
      </c>
      <c r="C14" s="227">
        <v>1154</v>
      </c>
      <c r="D14" s="227"/>
      <c r="E14" s="228">
        <v>1212</v>
      </c>
      <c r="F14" s="228">
        <v>1282</v>
      </c>
      <c r="G14" s="227">
        <v>1138</v>
      </c>
      <c r="H14" s="227"/>
      <c r="I14" s="228">
        <v>1630</v>
      </c>
      <c r="J14" s="227">
        <v>1730</v>
      </c>
      <c r="K14" s="229">
        <v>1830</v>
      </c>
      <c r="L14" s="227">
        <v>1880</v>
      </c>
      <c r="M14" s="227">
        <v>2565</v>
      </c>
      <c r="N14" s="227">
        <v>2704</v>
      </c>
      <c r="O14" s="227">
        <v>3039</v>
      </c>
      <c r="P14" s="229">
        <v>3726.5566899999999</v>
      </c>
      <c r="Q14" s="229">
        <v>3726</v>
      </c>
      <c r="R14" s="229">
        <v>3546</v>
      </c>
      <c r="S14" s="229">
        <v>3503.7547400000003</v>
      </c>
      <c r="T14" s="229">
        <v>2699.1185500000001</v>
      </c>
      <c r="U14" s="229">
        <v>3555</v>
      </c>
      <c r="V14" s="1"/>
      <c r="W14" s="1"/>
      <c r="X14" s="1"/>
    </row>
    <row r="15" spans="2:24">
      <c r="B15" s="219" t="s">
        <v>260</v>
      </c>
      <c r="C15" s="227">
        <v>159</v>
      </c>
      <c r="D15" s="227"/>
      <c r="E15" s="228">
        <v>320</v>
      </c>
      <c r="F15" s="228">
        <v>277</v>
      </c>
      <c r="G15" s="227">
        <v>400</v>
      </c>
      <c r="H15" s="227"/>
      <c r="I15" s="228">
        <v>1015</v>
      </c>
      <c r="J15" s="227">
        <v>1620</v>
      </c>
      <c r="K15" s="229">
        <v>1684</v>
      </c>
      <c r="L15" s="227">
        <v>1821</v>
      </c>
      <c r="M15" s="227">
        <v>2148</v>
      </c>
      <c r="N15" s="227">
        <v>2693</v>
      </c>
      <c r="O15" s="227">
        <v>2625</v>
      </c>
      <c r="P15" s="229">
        <v>3063.23</v>
      </c>
      <c r="Q15" s="229">
        <v>2883</v>
      </c>
      <c r="R15" s="229">
        <v>3090</v>
      </c>
      <c r="S15" s="229">
        <v>3045.5199400000001</v>
      </c>
      <c r="T15" s="229">
        <v>3461</v>
      </c>
      <c r="U15" s="229">
        <v>4548</v>
      </c>
      <c r="V15" s="1"/>
      <c r="W15" s="1"/>
      <c r="X15" s="1"/>
    </row>
    <row r="16" spans="2:24">
      <c r="B16" s="219" t="s">
        <v>248</v>
      </c>
      <c r="C16" s="227">
        <v>317</v>
      </c>
      <c r="D16" s="227"/>
      <c r="E16" s="228">
        <v>393</v>
      </c>
      <c r="F16" s="228">
        <v>400</v>
      </c>
      <c r="G16" s="227">
        <v>353</v>
      </c>
      <c r="H16" s="227"/>
      <c r="I16" s="228">
        <v>395</v>
      </c>
      <c r="J16" s="227">
        <v>507</v>
      </c>
      <c r="K16" s="229">
        <v>590</v>
      </c>
      <c r="L16" s="227">
        <v>734</v>
      </c>
      <c r="M16" s="227">
        <v>783</v>
      </c>
      <c r="N16" s="227">
        <v>569</v>
      </c>
      <c r="O16" s="227">
        <v>955</v>
      </c>
      <c r="P16" s="229">
        <v>1192.95813</v>
      </c>
      <c r="Q16" s="229">
        <v>943</v>
      </c>
      <c r="R16" s="229">
        <v>814</v>
      </c>
      <c r="S16" s="229">
        <v>839.84554999999989</v>
      </c>
      <c r="T16" s="229">
        <v>1100.9015899999999</v>
      </c>
      <c r="U16" s="229">
        <v>1236</v>
      </c>
      <c r="V16" s="1"/>
      <c r="W16" s="1"/>
      <c r="X16" s="1"/>
    </row>
    <row r="17" spans="1:24">
      <c r="B17" s="219"/>
      <c r="C17" s="227"/>
      <c r="D17" s="227"/>
      <c r="E17" s="228"/>
      <c r="F17" s="228"/>
      <c r="G17" s="227"/>
      <c r="H17" s="227"/>
      <c r="I17" s="228"/>
      <c r="J17" s="227"/>
      <c r="K17" s="229"/>
      <c r="L17" s="227"/>
      <c r="M17" s="227"/>
      <c r="N17" s="227"/>
      <c r="O17" s="227"/>
      <c r="P17" s="229"/>
      <c r="Q17" s="229"/>
      <c r="R17" s="229"/>
      <c r="S17" s="229"/>
      <c r="T17" s="229"/>
      <c r="U17" s="229"/>
      <c r="V17" s="1"/>
      <c r="W17" s="1"/>
      <c r="X17" s="1"/>
    </row>
    <row r="18" spans="1:24">
      <c r="B18" s="223" t="s">
        <v>383</v>
      </c>
      <c r="C18" s="230">
        <f>SUM(C19:C26)</f>
        <v>3729</v>
      </c>
      <c r="D18" s="230"/>
      <c r="E18" s="231">
        <f>SUM(E19:E26)</f>
        <v>5132</v>
      </c>
      <c r="F18" s="231">
        <f>SUM(F19:F26)</f>
        <v>6089</v>
      </c>
      <c r="G18" s="230">
        <f>SUM(G19:G26)</f>
        <v>6890</v>
      </c>
      <c r="H18" s="230"/>
      <c r="I18" s="231">
        <f t="shared" ref="I18:P18" si="4">SUM(I19:I26)</f>
        <v>6864</v>
      </c>
      <c r="J18" s="231">
        <f t="shared" si="4"/>
        <v>7134</v>
      </c>
      <c r="K18" s="232">
        <f t="shared" si="4"/>
        <v>7336</v>
      </c>
      <c r="L18" s="231">
        <f t="shared" si="4"/>
        <v>7698</v>
      </c>
      <c r="M18" s="231">
        <f t="shared" si="4"/>
        <v>7665</v>
      </c>
      <c r="N18" s="231">
        <f t="shared" si="4"/>
        <v>8166</v>
      </c>
      <c r="O18" s="231">
        <f t="shared" si="4"/>
        <v>9649</v>
      </c>
      <c r="P18" s="232">
        <f t="shared" si="4"/>
        <v>9953.07582</v>
      </c>
      <c r="Q18" s="232">
        <f t="shared" ref="Q18:U18" si="5">SUM(Q19:Q26)</f>
        <v>11158</v>
      </c>
      <c r="R18" s="232">
        <f t="shared" si="5"/>
        <v>11019</v>
      </c>
      <c r="S18" s="232">
        <f t="shared" si="5"/>
        <v>11171.434529999999</v>
      </c>
      <c r="T18" s="232">
        <f t="shared" si="5"/>
        <v>11854</v>
      </c>
      <c r="U18" s="232">
        <f t="shared" si="5"/>
        <v>11617</v>
      </c>
      <c r="V18" s="1"/>
      <c r="W18" s="1"/>
      <c r="X18" s="1"/>
    </row>
    <row r="19" spans="1:24">
      <c r="B19" s="219" t="s">
        <v>384</v>
      </c>
      <c r="C19" s="227">
        <v>164</v>
      </c>
      <c r="D19" s="227"/>
      <c r="E19" s="228">
        <v>1014</v>
      </c>
      <c r="F19" s="228">
        <v>1159</v>
      </c>
      <c r="G19" s="227">
        <v>1291</v>
      </c>
      <c r="H19" s="227"/>
      <c r="I19" s="228">
        <v>1642</v>
      </c>
      <c r="J19" s="227">
        <v>1811</v>
      </c>
      <c r="K19" s="229">
        <v>1227</v>
      </c>
      <c r="L19" s="227">
        <v>1312</v>
      </c>
      <c r="M19" s="227">
        <v>1437</v>
      </c>
      <c r="N19" s="227">
        <v>1449</v>
      </c>
      <c r="O19" s="227">
        <v>1438</v>
      </c>
      <c r="P19" s="229">
        <v>1658.32122</v>
      </c>
      <c r="Q19" s="229">
        <v>1809</v>
      </c>
      <c r="R19" s="229">
        <v>1378</v>
      </c>
      <c r="S19" s="229">
        <v>1816</v>
      </c>
      <c r="T19" s="229">
        <v>1522</v>
      </c>
      <c r="U19" s="229">
        <v>1146</v>
      </c>
      <c r="V19" s="1"/>
      <c r="W19" s="1"/>
      <c r="X19" s="1"/>
    </row>
    <row r="20" spans="1:24">
      <c r="B20" s="219" t="s">
        <v>385</v>
      </c>
      <c r="C20" s="227">
        <v>323</v>
      </c>
      <c r="D20" s="227"/>
      <c r="E20" s="228">
        <v>959</v>
      </c>
      <c r="F20" s="228">
        <v>1512</v>
      </c>
      <c r="G20" s="227">
        <v>1398</v>
      </c>
      <c r="H20" s="227"/>
      <c r="I20" s="228">
        <v>1500</v>
      </c>
      <c r="J20" s="227">
        <v>1552</v>
      </c>
      <c r="K20" s="229">
        <v>1397</v>
      </c>
      <c r="L20" s="227">
        <v>1369</v>
      </c>
      <c r="M20" s="227">
        <v>1468</v>
      </c>
      <c r="N20" s="227">
        <v>1457</v>
      </c>
      <c r="O20" s="227">
        <v>1492</v>
      </c>
      <c r="P20" s="229">
        <v>1714.0081499999999</v>
      </c>
      <c r="Q20" s="229">
        <v>1844</v>
      </c>
      <c r="R20" s="229">
        <v>1901</v>
      </c>
      <c r="S20" s="229">
        <v>1923.4177799999998</v>
      </c>
      <c r="T20" s="229">
        <v>1723</v>
      </c>
      <c r="U20" s="229">
        <v>1597</v>
      </c>
      <c r="V20" s="1"/>
      <c r="W20" s="1"/>
      <c r="X20" s="1"/>
    </row>
    <row r="21" spans="1:24">
      <c r="B21" s="219" t="s">
        <v>386</v>
      </c>
      <c r="C21" s="227">
        <v>1232</v>
      </c>
      <c r="D21" s="227"/>
      <c r="E21" s="228">
        <v>396</v>
      </c>
      <c r="F21" s="228">
        <v>583</v>
      </c>
      <c r="G21" s="227">
        <v>938</v>
      </c>
      <c r="H21" s="227"/>
      <c r="I21" s="228">
        <v>879</v>
      </c>
      <c r="J21" s="227">
        <v>717</v>
      </c>
      <c r="K21" s="229">
        <v>608</v>
      </c>
      <c r="L21" s="227">
        <v>618</v>
      </c>
      <c r="M21" s="227">
        <v>785</v>
      </c>
      <c r="N21" s="227">
        <v>663</v>
      </c>
      <c r="O21" s="227">
        <v>551</v>
      </c>
      <c r="P21" s="229">
        <v>884.62</v>
      </c>
      <c r="Q21" s="229">
        <v>1338</v>
      </c>
      <c r="R21" s="229">
        <v>1244</v>
      </c>
      <c r="S21" s="229">
        <v>1306</v>
      </c>
      <c r="T21" s="229">
        <v>1342</v>
      </c>
      <c r="U21" s="229">
        <v>1259</v>
      </c>
      <c r="V21" s="1"/>
      <c r="W21" s="1"/>
      <c r="X21" s="1"/>
    </row>
    <row r="22" spans="1:24">
      <c r="B22" s="219" t="s">
        <v>387</v>
      </c>
      <c r="C22" s="227">
        <v>1290</v>
      </c>
      <c r="D22" s="227"/>
      <c r="E22" s="228">
        <v>1283</v>
      </c>
      <c r="F22" s="228">
        <v>1345</v>
      </c>
      <c r="G22" s="227">
        <v>1339</v>
      </c>
      <c r="H22" s="227"/>
      <c r="I22" s="228">
        <v>1110</v>
      </c>
      <c r="J22" s="227">
        <v>1312</v>
      </c>
      <c r="K22" s="229">
        <v>2152</v>
      </c>
      <c r="L22" s="227">
        <v>2186</v>
      </c>
      <c r="M22" s="227">
        <v>1783</v>
      </c>
      <c r="N22" s="227">
        <v>2185</v>
      </c>
      <c r="O22" s="227">
        <v>3253</v>
      </c>
      <c r="P22" s="229">
        <v>2203.8049999999998</v>
      </c>
      <c r="Q22" s="229">
        <f>978+1029</f>
        <v>2007</v>
      </c>
      <c r="R22" s="229">
        <f>268+329+437+1235</f>
        <v>2269</v>
      </c>
      <c r="S22" s="229">
        <f>1120+371+319+121</f>
        <v>1931</v>
      </c>
      <c r="T22" s="229">
        <f>493+406+326+470+941+46+317</f>
        <v>2999</v>
      </c>
      <c r="U22" s="229">
        <f>978+470+293+449+418</f>
        <v>2608</v>
      </c>
      <c r="V22" s="1"/>
      <c r="W22" s="1"/>
      <c r="X22" s="1"/>
    </row>
    <row r="23" spans="1:24">
      <c r="B23" s="584" t="s">
        <v>388</v>
      </c>
      <c r="C23" s="227">
        <v>492</v>
      </c>
      <c r="D23" s="227">
        <v>562.28571428571433</v>
      </c>
      <c r="E23" s="228">
        <v>644</v>
      </c>
      <c r="F23" s="228">
        <v>692</v>
      </c>
      <c r="G23" s="227">
        <v>774</v>
      </c>
      <c r="H23" s="227">
        <v>893.681693</v>
      </c>
      <c r="I23" s="228">
        <v>912</v>
      </c>
      <c r="J23" s="227">
        <v>998</v>
      </c>
      <c r="K23" s="229">
        <v>1204</v>
      </c>
      <c r="L23" s="227">
        <v>1373</v>
      </c>
      <c r="M23" s="227">
        <v>1543</v>
      </c>
      <c r="N23" s="227">
        <v>1746</v>
      </c>
      <c r="O23" s="227">
        <v>2032</v>
      </c>
      <c r="P23" s="229">
        <v>2312.18111</v>
      </c>
      <c r="Q23" s="229">
        <v>2583</v>
      </c>
      <c r="R23" s="229">
        <v>2743</v>
      </c>
      <c r="S23" s="229">
        <v>2909.22858</v>
      </c>
      <c r="T23" s="229">
        <v>3131</v>
      </c>
      <c r="U23" s="229">
        <v>3492</v>
      </c>
      <c r="V23" s="1"/>
      <c r="W23" s="1"/>
      <c r="X23" s="1"/>
    </row>
    <row r="24" spans="1:24">
      <c r="B24" s="219" t="s">
        <v>389</v>
      </c>
      <c r="C24" s="227">
        <v>0</v>
      </c>
      <c r="D24" s="227"/>
      <c r="E24" s="228">
        <v>319</v>
      </c>
      <c r="F24" s="228">
        <v>640</v>
      </c>
      <c r="G24" s="227">
        <v>1036</v>
      </c>
      <c r="H24" s="227"/>
      <c r="I24" s="228">
        <v>705</v>
      </c>
      <c r="J24" s="227">
        <v>545</v>
      </c>
      <c r="K24" s="229">
        <v>563</v>
      </c>
      <c r="L24" s="227">
        <v>557</v>
      </c>
      <c r="M24" s="227">
        <v>393</v>
      </c>
      <c r="N24" s="227">
        <v>417</v>
      </c>
      <c r="O24" s="227">
        <v>525</v>
      </c>
      <c r="P24" s="229">
        <v>759.66333999999995</v>
      </c>
      <c r="Q24" s="229">
        <v>1242</v>
      </c>
      <c r="R24" s="229">
        <v>1168</v>
      </c>
      <c r="S24" s="229">
        <v>1063.7881699999998</v>
      </c>
      <c r="T24" s="229">
        <v>1090</v>
      </c>
      <c r="U24" s="229">
        <v>1313</v>
      </c>
      <c r="V24" s="1"/>
      <c r="W24" s="1"/>
      <c r="X24" s="1"/>
    </row>
    <row r="25" spans="1:24">
      <c r="B25" s="219" t="s">
        <v>390</v>
      </c>
      <c r="C25" s="227">
        <v>228</v>
      </c>
      <c r="D25" s="227"/>
      <c r="E25" s="228">
        <v>517</v>
      </c>
      <c r="F25" s="228">
        <v>158</v>
      </c>
      <c r="G25" s="227">
        <v>114</v>
      </c>
      <c r="H25" s="227"/>
      <c r="I25" s="228">
        <v>116</v>
      </c>
      <c r="J25" s="227">
        <v>199</v>
      </c>
      <c r="K25" s="229">
        <v>185</v>
      </c>
      <c r="L25" s="227">
        <v>283</v>
      </c>
      <c r="M25" s="227">
        <v>256</v>
      </c>
      <c r="N25" s="227">
        <v>249</v>
      </c>
      <c r="O25" s="227">
        <v>358</v>
      </c>
      <c r="P25" s="229">
        <v>420.47699999999998</v>
      </c>
      <c r="Q25" s="229">
        <v>335</v>
      </c>
      <c r="R25" s="229">
        <v>311</v>
      </c>
      <c r="S25" s="229">
        <v>222</v>
      </c>
      <c r="T25" s="229">
        <v>47</v>
      </c>
      <c r="U25" s="229">
        <v>112</v>
      </c>
      <c r="V25" s="1"/>
      <c r="W25" s="1"/>
      <c r="X25" s="1"/>
    </row>
    <row r="26" spans="1:24">
      <c r="B26" s="219" t="s">
        <v>391</v>
      </c>
      <c r="C26" s="227"/>
      <c r="D26" s="227"/>
      <c r="E26" s="228"/>
      <c r="F26" s="228"/>
      <c r="G26" s="227"/>
      <c r="H26" s="227"/>
      <c r="I26" s="228"/>
      <c r="J26" s="227"/>
      <c r="K26" s="229"/>
      <c r="L26" s="227"/>
      <c r="M26" s="227"/>
      <c r="N26" s="227"/>
      <c r="O26" s="227"/>
      <c r="P26" s="229"/>
      <c r="Q26" s="229"/>
      <c r="R26" s="229">
        <v>5</v>
      </c>
      <c r="S26" s="229"/>
      <c r="T26" s="229"/>
      <c r="U26" s="229">
        <v>90</v>
      </c>
      <c r="V26" s="1"/>
      <c r="W26" s="1"/>
      <c r="X26" s="1"/>
    </row>
    <row r="27" spans="1:24">
      <c r="B27" s="219"/>
      <c r="C27" s="227"/>
      <c r="D27" s="227"/>
      <c r="E27" s="221"/>
      <c r="F27" s="221"/>
      <c r="G27" s="220"/>
      <c r="H27" s="227"/>
      <c r="I27" s="221"/>
      <c r="J27" s="220"/>
      <c r="K27" s="222"/>
      <c r="L27" s="220"/>
      <c r="M27" s="220"/>
      <c r="N27" s="220"/>
      <c r="O27" s="220"/>
      <c r="P27" s="222"/>
      <c r="Q27" s="222"/>
      <c r="R27" s="222"/>
      <c r="S27" s="222"/>
      <c r="T27" s="222"/>
      <c r="U27" s="222"/>
      <c r="V27" s="1"/>
      <c r="W27" s="1"/>
      <c r="X27" s="1"/>
    </row>
    <row r="28" spans="1:24">
      <c r="B28" s="586" t="s">
        <v>213</v>
      </c>
      <c r="C28" s="230">
        <v>19156.189999999999</v>
      </c>
      <c r="D28" s="230">
        <v>21600.706044731793</v>
      </c>
      <c r="E28" s="225">
        <v>24543</v>
      </c>
      <c r="F28" s="224">
        <v>26559</v>
      </c>
      <c r="G28" s="224">
        <v>28506</v>
      </c>
      <c r="H28" s="230">
        <v>33509.997223122999</v>
      </c>
      <c r="I28" s="225">
        <v>34362</v>
      </c>
      <c r="J28" s="224">
        <v>38751</v>
      </c>
      <c r="K28" s="226">
        <v>47311</v>
      </c>
      <c r="L28" s="224">
        <v>54038</v>
      </c>
      <c r="M28" s="224">
        <v>60760</v>
      </c>
      <c r="N28" s="224">
        <v>68911</v>
      </c>
      <c r="O28" s="224">
        <v>81807</v>
      </c>
      <c r="P28" s="226">
        <v>93671</v>
      </c>
      <c r="Q28" s="226">
        <v>104460</v>
      </c>
      <c r="R28" s="226">
        <v>110786</v>
      </c>
      <c r="S28" s="226">
        <v>119266</v>
      </c>
      <c r="T28" s="226">
        <v>129279</v>
      </c>
      <c r="U28" s="226">
        <v>142175</v>
      </c>
      <c r="V28" s="1"/>
      <c r="W28" s="1"/>
      <c r="X28" s="1"/>
    </row>
    <row r="29" spans="1:24" ht="15.75" thickBot="1">
      <c r="B29" s="587" t="s">
        <v>355</v>
      </c>
      <c r="C29" s="233">
        <v>9343.4380000000001</v>
      </c>
      <c r="D29" s="233">
        <v>10591.007000540716</v>
      </c>
      <c r="E29" s="234">
        <v>10933</v>
      </c>
      <c r="F29" s="234">
        <v>11656</v>
      </c>
      <c r="G29" s="235">
        <v>12889</v>
      </c>
      <c r="H29" s="233">
        <v>14985</v>
      </c>
      <c r="I29" s="234">
        <v>14985</v>
      </c>
      <c r="J29" s="235">
        <v>16292</v>
      </c>
      <c r="K29" s="236">
        <v>18749</v>
      </c>
      <c r="L29" s="235">
        <v>20496</v>
      </c>
      <c r="M29" s="235">
        <v>22013</v>
      </c>
      <c r="N29" s="235">
        <v>24084</v>
      </c>
      <c r="O29" s="235">
        <v>26512</v>
      </c>
      <c r="P29" s="236">
        <v>28871</v>
      </c>
      <c r="Q29" s="236">
        <v>31865</v>
      </c>
      <c r="R29" s="236">
        <v>32178</v>
      </c>
      <c r="S29" s="236">
        <v>34544</v>
      </c>
      <c r="T29" s="236">
        <v>37471</v>
      </c>
      <c r="U29" s="236">
        <v>39491</v>
      </c>
      <c r="V29" s="1"/>
      <c r="W29" s="1"/>
      <c r="X29" s="1"/>
    </row>
    <row r="30" spans="1:24">
      <c r="A30" s="258"/>
      <c r="H30" s="66"/>
      <c r="I30" s="367">
        <f>+I28-H28</f>
        <v>852.00277687700145</v>
      </c>
      <c r="V30" s="1"/>
      <c r="W30" s="1"/>
      <c r="X30" s="1"/>
    </row>
    <row r="31" spans="1:24"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1"/>
      <c r="W31" s="1"/>
      <c r="X31" s="1"/>
    </row>
    <row r="32" spans="1:24"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"/>
      <c r="W32" s="1"/>
      <c r="X32" s="1"/>
    </row>
    <row r="33" spans="2:29"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"/>
      <c r="W33" s="1"/>
      <c r="X33" s="1"/>
    </row>
    <row r="34" spans="2:29"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"/>
      <c r="W34" s="1"/>
      <c r="X34" s="1"/>
    </row>
    <row r="35" spans="2:29"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"/>
      <c r="W35" s="1"/>
      <c r="X35" s="1"/>
    </row>
    <row r="36" spans="2:29" ht="15.75" thickBot="1">
      <c r="C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"/>
      <c r="W36" s="1"/>
      <c r="X36" s="1"/>
    </row>
    <row r="37" spans="2:29" ht="15.75" thickBot="1">
      <c r="B37" s="197" t="s">
        <v>17</v>
      </c>
      <c r="C37" s="185" t="s">
        <v>370</v>
      </c>
      <c r="D37" s="185">
        <v>2001</v>
      </c>
      <c r="E37" s="198">
        <v>2002</v>
      </c>
      <c r="F37" s="198">
        <f>+E37+1</f>
        <v>2003</v>
      </c>
      <c r="G37" s="185">
        <f>+F37+1</f>
        <v>2004</v>
      </c>
      <c r="H37" s="199">
        <f>+G37+1</f>
        <v>2005</v>
      </c>
      <c r="I37" s="198">
        <f>+G37+1</f>
        <v>2005</v>
      </c>
      <c r="J37" s="185">
        <f t="shared" ref="J37:P37" si="6">+I37+1</f>
        <v>2006</v>
      </c>
      <c r="K37" s="184">
        <f t="shared" si="6"/>
        <v>2007</v>
      </c>
      <c r="L37" s="185">
        <f t="shared" si="6"/>
        <v>2008</v>
      </c>
      <c r="M37" s="184">
        <f t="shared" si="6"/>
        <v>2009</v>
      </c>
      <c r="N37" s="185">
        <f t="shared" si="6"/>
        <v>2010</v>
      </c>
      <c r="O37" s="184">
        <f t="shared" si="6"/>
        <v>2011</v>
      </c>
      <c r="P37" s="185">
        <f t="shared" si="6"/>
        <v>2012</v>
      </c>
      <c r="Q37" s="184">
        <f t="shared" ref="Q37:U37" si="7">+P37+1</f>
        <v>2013</v>
      </c>
      <c r="R37" s="185">
        <f t="shared" si="7"/>
        <v>2014</v>
      </c>
      <c r="S37" s="184">
        <f t="shared" si="7"/>
        <v>2015</v>
      </c>
      <c r="T37" s="185">
        <f t="shared" si="7"/>
        <v>2016</v>
      </c>
      <c r="U37" s="184">
        <f t="shared" si="7"/>
        <v>2017</v>
      </c>
      <c r="V37" s="1"/>
      <c r="W37" s="1"/>
      <c r="X37" s="1"/>
      <c r="Y37" s="200">
        <v>2005</v>
      </c>
      <c r="Z37" s="201" t="s">
        <v>49</v>
      </c>
      <c r="AB37"/>
      <c r="AC37"/>
    </row>
    <row r="38" spans="2:29" ht="15.75" customHeight="1">
      <c r="B38" s="202" t="s">
        <v>255</v>
      </c>
      <c r="C38" s="196"/>
      <c r="D38" s="203"/>
      <c r="E38" s="203"/>
      <c r="F38" s="203"/>
      <c r="G38" s="203"/>
      <c r="H38" s="204"/>
      <c r="I38" s="203"/>
      <c r="J38" s="203"/>
      <c r="K38" s="203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1"/>
      <c r="W38" s="1"/>
      <c r="X38" s="1"/>
      <c r="Y38" s="181"/>
      <c r="Z38" s="181"/>
      <c r="AB38"/>
      <c r="AC38"/>
    </row>
    <row r="39" spans="2:29" ht="15.75" customHeight="1">
      <c r="B39" s="205" t="s">
        <v>256</v>
      </c>
      <c r="C39" s="196">
        <v>1289142.8571428573</v>
      </c>
      <c r="D39" s="204">
        <v>1289142.8571428573</v>
      </c>
      <c r="E39" s="204">
        <v>1192000</v>
      </c>
      <c r="F39" s="204">
        <v>1484000</v>
      </c>
      <c r="G39" s="204">
        <v>1252000</v>
      </c>
      <c r="H39" s="204">
        <v>1401999.982234776</v>
      </c>
      <c r="I39" s="204">
        <v>1401999.982234776</v>
      </c>
      <c r="J39" s="204">
        <v>1164271</v>
      </c>
      <c r="K39" s="204">
        <v>1052255.92</v>
      </c>
      <c r="L39" s="204">
        <v>1106631.8999999999</v>
      </c>
      <c r="M39" s="204">
        <v>966441.12</v>
      </c>
      <c r="N39" s="204">
        <v>969436.08</v>
      </c>
      <c r="O39" s="204">
        <v>1289350.49</v>
      </c>
      <c r="P39" s="204">
        <v>1668087.51</v>
      </c>
      <c r="Q39" s="209">
        <v>1534085.2300000004</v>
      </c>
      <c r="R39" s="209">
        <v>2118160.16</v>
      </c>
      <c r="S39" s="209">
        <v>2232206.3599999985</v>
      </c>
      <c r="T39" s="209">
        <v>1529086.5999999999</v>
      </c>
      <c r="U39" s="209">
        <v>1751457.8200000003</v>
      </c>
      <c r="V39" s="1"/>
      <c r="W39" s="1"/>
      <c r="X39" s="1"/>
      <c r="Y39" s="181"/>
      <c r="Z39" s="181"/>
      <c r="AB39"/>
      <c r="AC39"/>
    </row>
    <row r="40" spans="2:29" ht="15.75" customHeight="1">
      <c r="B40" s="206" t="s">
        <v>257</v>
      </c>
      <c r="C40" s="204">
        <f>+(C11+C12)*1000</f>
        <v>1889000</v>
      </c>
      <c r="D40" s="204">
        <f>+C40*12/10.5</f>
        <v>2158857.1428571427</v>
      </c>
      <c r="E40" s="204">
        <f>+(E11+E12)*1000</f>
        <v>2548000</v>
      </c>
      <c r="F40" s="204">
        <f>+(F11+F12)*1000</f>
        <v>2523000</v>
      </c>
      <c r="G40" s="204">
        <f>+(G11+G12)*1000</f>
        <v>2334000</v>
      </c>
      <c r="H40" s="204">
        <f>+I40-Z40</f>
        <v>2081288</v>
      </c>
      <c r="I40" s="204">
        <f t="shared" ref="I40:O40" si="8">+(I11+I12)*1000</f>
        <v>2104000</v>
      </c>
      <c r="J40" s="204">
        <f t="shared" si="8"/>
        <v>2659000</v>
      </c>
      <c r="K40" s="204">
        <f t="shared" si="8"/>
        <v>2574000</v>
      </c>
      <c r="L40" s="204">
        <f t="shared" si="8"/>
        <v>3217000</v>
      </c>
      <c r="M40" s="204">
        <f t="shared" si="8"/>
        <v>3335000</v>
      </c>
      <c r="N40" s="204">
        <f t="shared" si="8"/>
        <v>3265000</v>
      </c>
      <c r="O40" s="204">
        <f t="shared" si="8"/>
        <v>3800000</v>
      </c>
      <c r="P40" s="204">
        <f>+(P11+P12)*1000</f>
        <v>4731718.7699999996</v>
      </c>
      <c r="Q40" s="204">
        <f>+(Q11+Q12)*1000</f>
        <v>5789000</v>
      </c>
      <c r="R40" s="204">
        <f>+(R11+R12)*1000</f>
        <v>7039000</v>
      </c>
      <c r="S40" s="204">
        <f t="shared" ref="S40:U40" si="9">+(S11+S12)*1000</f>
        <v>6967000</v>
      </c>
      <c r="T40" s="204">
        <f t="shared" si="9"/>
        <v>6522322.4200000009</v>
      </c>
      <c r="U40" s="204">
        <f t="shared" si="9"/>
        <v>7099000</v>
      </c>
      <c r="V40" s="1"/>
      <c r="W40" s="1"/>
      <c r="X40" s="1"/>
      <c r="Y40" s="207" t="s">
        <v>257</v>
      </c>
      <c r="Z40" s="208">
        <v>22712</v>
      </c>
      <c r="AB40"/>
      <c r="AC40"/>
    </row>
    <row r="41" spans="2:29" ht="15.75" customHeight="1">
      <c r="B41" s="206" t="s">
        <v>258</v>
      </c>
      <c r="C41" s="204">
        <f>+C13*1000</f>
        <v>36000</v>
      </c>
      <c r="D41" s="204">
        <f t="shared" ref="D41:D49" si="10">+C41*12/10.5</f>
        <v>41142.857142857145</v>
      </c>
      <c r="E41" s="204">
        <f t="shared" ref="E41:G44" si="11">+E13*1000</f>
        <v>56000</v>
      </c>
      <c r="F41" s="204">
        <f t="shared" si="11"/>
        <v>61000</v>
      </c>
      <c r="G41" s="204">
        <f t="shared" si="11"/>
        <v>79000</v>
      </c>
      <c r="H41" s="204">
        <f>+I41-Z41</f>
        <v>83000</v>
      </c>
      <c r="I41" s="204">
        <f t="shared" ref="I41:P44" si="12">+I13*1000</f>
        <v>83000</v>
      </c>
      <c r="J41" s="209">
        <f t="shared" si="12"/>
        <v>196000</v>
      </c>
      <c r="K41" s="209">
        <f t="shared" si="12"/>
        <v>250000</v>
      </c>
      <c r="L41" s="209">
        <f t="shared" si="12"/>
        <v>267000</v>
      </c>
      <c r="M41" s="209">
        <f t="shared" si="12"/>
        <v>326000</v>
      </c>
      <c r="N41" s="209">
        <f t="shared" si="12"/>
        <v>348000</v>
      </c>
      <c r="O41" s="209">
        <f t="shared" si="12"/>
        <v>460000</v>
      </c>
      <c r="P41" s="209">
        <f t="shared" si="12"/>
        <v>496742</v>
      </c>
      <c r="Q41" s="209">
        <f t="shared" ref="Q41:R44" si="13">+Q13*1000</f>
        <v>573000</v>
      </c>
      <c r="R41" s="209">
        <f t="shared" si="13"/>
        <v>639000</v>
      </c>
      <c r="S41" s="209">
        <f t="shared" ref="S41:U41" si="14">+S13*1000</f>
        <v>618000</v>
      </c>
      <c r="T41" s="209">
        <f t="shared" si="14"/>
        <v>671000</v>
      </c>
      <c r="U41" s="209">
        <f t="shared" si="14"/>
        <v>561000</v>
      </c>
      <c r="V41" s="1"/>
      <c r="W41" s="1"/>
      <c r="X41" s="1"/>
      <c r="Y41" s="181"/>
      <c r="Z41" s="181"/>
      <c r="AB41"/>
      <c r="AC41"/>
    </row>
    <row r="42" spans="2:29" ht="15.75" customHeight="1">
      <c r="B42" s="206" t="s">
        <v>259</v>
      </c>
      <c r="C42" s="204">
        <f>+C14*1000</f>
        <v>1154000</v>
      </c>
      <c r="D42" s="204">
        <f t="shared" si="10"/>
        <v>1318857.142857143</v>
      </c>
      <c r="E42" s="204">
        <f t="shared" si="11"/>
        <v>1212000</v>
      </c>
      <c r="F42" s="204">
        <f t="shared" si="11"/>
        <v>1282000</v>
      </c>
      <c r="G42" s="204">
        <f t="shared" si="11"/>
        <v>1138000</v>
      </c>
      <c r="H42" s="204">
        <f>+I42-Z42</f>
        <v>1615887</v>
      </c>
      <c r="I42" s="204">
        <f t="shared" si="12"/>
        <v>1630000</v>
      </c>
      <c r="J42" s="204">
        <f t="shared" si="12"/>
        <v>1730000</v>
      </c>
      <c r="K42" s="204">
        <f t="shared" si="12"/>
        <v>1830000</v>
      </c>
      <c r="L42" s="204">
        <f t="shared" si="12"/>
        <v>1880000</v>
      </c>
      <c r="M42" s="204">
        <f t="shared" si="12"/>
        <v>2565000</v>
      </c>
      <c r="N42" s="204">
        <f t="shared" si="12"/>
        <v>2704000</v>
      </c>
      <c r="O42" s="204">
        <f t="shared" si="12"/>
        <v>3039000</v>
      </c>
      <c r="P42" s="204">
        <f t="shared" si="12"/>
        <v>3726556.69</v>
      </c>
      <c r="Q42" s="204">
        <f t="shared" si="13"/>
        <v>3726000</v>
      </c>
      <c r="R42" s="204">
        <f t="shared" si="13"/>
        <v>3546000</v>
      </c>
      <c r="S42" s="204">
        <f t="shared" ref="S42:U42" si="15">+S14*1000</f>
        <v>3503754.74</v>
      </c>
      <c r="T42" s="204">
        <f t="shared" si="15"/>
        <v>2699118.5500000003</v>
      </c>
      <c r="U42" s="204">
        <f t="shared" si="15"/>
        <v>3555000</v>
      </c>
      <c r="V42" s="1"/>
      <c r="W42" s="1"/>
      <c r="X42" s="1"/>
      <c r="Y42" s="207" t="s">
        <v>356</v>
      </c>
      <c r="Z42" s="208">
        <v>14113</v>
      </c>
      <c r="AB42"/>
      <c r="AC42"/>
    </row>
    <row r="43" spans="2:29" ht="15.75" customHeight="1">
      <c r="B43" s="206" t="s">
        <v>260</v>
      </c>
      <c r="C43" s="204">
        <f>+C15*1000</f>
        <v>159000</v>
      </c>
      <c r="D43" s="204">
        <f t="shared" si="10"/>
        <v>181714.28571428571</v>
      </c>
      <c r="E43" s="204">
        <f t="shared" si="11"/>
        <v>320000</v>
      </c>
      <c r="F43" s="204">
        <f t="shared" si="11"/>
        <v>277000</v>
      </c>
      <c r="G43" s="204">
        <f t="shared" si="11"/>
        <v>400000</v>
      </c>
      <c r="H43" s="204">
        <f>+I43-Z43</f>
        <v>888176.77</v>
      </c>
      <c r="I43" s="204">
        <f t="shared" si="12"/>
        <v>1015000</v>
      </c>
      <c r="J43" s="204">
        <f t="shared" si="12"/>
        <v>1620000</v>
      </c>
      <c r="K43" s="204">
        <f t="shared" si="12"/>
        <v>1684000</v>
      </c>
      <c r="L43" s="204">
        <f t="shared" si="12"/>
        <v>1821000</v>
      </c>
      <c r="M43" s="204">
        <f t="shared" si="12"/>
        <v>2148000</v>
      </c>
      <c r="N43" s="204">
        <f t="shared" si="12"/>
        <v>2693000</v>
      </c>
      <c r="O43" s="204">
        <f t="shared" si="12"/>
        <v>2625000</v>
      </c>
      <c r="P43" s="204">
        <f t="shared" si="12"/>
        <v>3063230</v>
      </c>
      <c r="Q43" s="204">
        <f t="shared" si="13"/>
        <v>2883000</v>
      </c>
      <c r="R43" s="204">
        <f t="shared" si="13"/>
        <v>3090000</v>
      </c>
      <c r="S43" s="204">
        <f t="shared" ref="S43:U43" si="16">+S15*1000</f>
        <v>3045519.94</v>
      </c>
      <c r="T43" s="204">
        <f t="shared" si="16"/>
        <v>3461000</v>
      </c>
      <c r="U43" s="204">
        <f t="shared" si="16"/>
        <v>4548000</v>
      </c>
      <c r="V43" s="1"/>
      <c r="W43" s="1"/>
      <c r="X43" s="1"/>
      <c r="Y43" s="207" t="s">
        <v>260</v>
      </c>
      <c r="Z43" s="208">
        <v>126823.23</v>
      </c>
      <c r="AB43"/>
      <c r="AC43"/>
    </row>
    <row r="44" spans="2:29" ht="15.75" customHeight="1">
      <c r="B44" s="206" t="s">
        <v>248</v>
      </c>
      <c r="C44" s="204">
        <f>+C16*1000</f>
        <v>317000</v>
      </c>
      <c r="D44" s="204">
        <f t="shared" si="10"/>
        <v>362285.71428571426</v>
      </c>
      <c r="E44" s="204">
        <f t="shared" si="11"/>
        <v>393000</v>
      </c>
      <c r="F44" s="204">
        <f t="shared" si="11"/>
        <v>400000</v>
      </c>
      <c r="G44" s="204">
        <f t="shared" si="11"/>
        <v>353000</v>
      </c>
      <c r="H44" s="204">
        <f>+I44-Z44</f>
        <v>380964.87</v>
      </c>
      <c r="I44" s="204">
        <f t="shared" si="12"/>
        <v>395000</v>
      </c>
      <c r="J44" s="204">
        <f t="shared" si="12"/>
        <v>507000</v>
      </c>
      <c r="K44" s="204">
        <f t="shared" si="12"/>
        <v>590000</v>
      </c>
      <c r="L44" s="204">
        <f t="shared" si="12"/>
        <v>734000</v>
      </c>
      <c r="M44" s="204">
        <f t="shared" si="12"/>
        <v>783000</v>
      </c>
      <c r="N44" s="204">
        <f t="shared" si="12"/>
        <v>569000</v>
      </c>
      <c r="O44" s="204">
        <f t="shared" si="12"/>
        <v>955000</v>
      </c>
      <c r="P44" s="204">
        <f t="shared" si="12"/>
        <v>1192958.1299999999</v>
      </c>
      <c r="Q44" s="204">
        <f t="shared" si="13"/>
        <v>943000</v>
      </c>
      <c r="R44" s="204">
        <f t="shared" si="13"/>
        <v>814000</v>
      </c>
      <c r="S44" s="204">
        <f t="shared" ref="S44:U44" si="17">+S16*1000</f>
        <v>839845.54999999993</v>
      </c>
      <c r="T44" s="204">
        <f t="shared" si="17"/>
        <v>1100901.5899999999</v>
      </c>
      <c r="U44" s="204">
        <f t="shared" si="17"/>
        <v>1236000</v>
      </c>
      <c r="V44" s="1"/>
      <c r="W44" s="1"/>
      <c r="X44" s="1"/>
      <c r="Y44" s="207" t="s">
        <v>248</v>
      </c>
      <c r="Z44" s="208">
        <v>14035.13</v>
      </c>
      <c r="AB44"/>
      <c r="AC44"/>
    </row>
    <row r="45" spans="2:29" ht="15.75" customHeight="1">
      <c r="B45" s="206" t="s">
        <v>261</v>
      </c>
      <c r="C45" s="204"/>
      <c r="D45" s="204">
        <v>187429</v>
      </c>
      <c r="E45" s="204">
        <f t="shared" ref="E45:O45" si="18">+E19*1000</f>
        <v>1014000</v>
      </c>
      <c r="F45" s="204">
        <f t="shared" si="18"/>
        <v>1159000</v>
      </c>
      <c r="G45" s="204">
        <f t="shared" si="18"/>
        <v>1291000</v>
      </c>
      <c r="H45" s="204">
        <f>+I19*1000</f>
        <v>1642000</v>
      </c>
      <c r="I45" s="204">
        <f t="shared" si="18"/>
        <v>1642000</v>
      </c>
      <c r="J45" s="204">
        <f t="shared" si="18"/>
        <v>1811000</v>
      </c>
      <c r="K45" s="204">
        <f t="shared" si="18"/>
        <v>1227000</v>
      </c>
      <c r="L45" s="204">
        <f t="shared" si="18"/>
        <v>1312000</v>
      </c>
      <c r="M45" s="204">
        <f t="shared" si="18"/>
        <v>1437000</v>
      </c>
      <c r="N45" s="204">
        <f t="shared" si="18"/>
        <v>1449000</v>
      </c>
      <c r="O45" s="204">
        <f t="shared" si="18"/>
        <v>1438000</v>
      </c>
      <c r="P45" s="204">
        <f>+P19*1000</f>
        <v>1658321.22</v>
      </c>
      <c r="Q45" s="204">
        <f t="shared" ref="Q45:U45" si="19">+Q19*1000</f>
        <v>1809000</v>
      </c>
      <c r="R45" s="204">
        <f t="shared" si="19"/>
        <v>1378000</v>
      </c>
      <c r="S45" s="204">
        <f t="shared" si="19"/>
        <v>1816000</v>
      </c>
      <c r="T45" s="204">
        <f t="shared" si="19"/>
        <v>1522000</v>
      </c>
      <c r="U45" s="204">
        <f t="shared" si="19"/>
        <v>1146000</v>
      </c>
      <c r="V45" s="1"/>
      <c r="W45" s="1"/>
      <c r="X45" s="1"/>
      <c r="Y45" s="181"/>
      <c r="Z45" s="181"/>
      <c r="AB45"/>
      <c r="AC45"/>
    </row>
    <row r="46" spans="2:29" ht="15.75" customHeight="1">
      <c r="B46" s="206" t="s">
        <v>262</v>
      </c>
      <c r="C46" s="204">
        <f>+C20*1000</f>
        <v>323000</v>
      </c>
      <c r="D46" s="204">
        <f t="shared" si="10"/>
        <v>369142.85714285716</v>
      </c>
      <c r="E46" s="204">
        <f>+E20*1000</f>
        <v>959000</v>
      </c>
      <c r="F46" s="204">
        <f t="shared" ref="F46:G48" si="20">+F20*1000</f>
        <v>1512000</v>
      </c>
      <c r="G46" s="204">
        <f t="shared" si="20"/>
        <v>1398000</v>
      </c>
      <c r="H46" s="204">
        <f>+I46-Z46</f>
        <v>1500000</v>
      </c>
      <c r="I46" s="204">
        <f t="shared" ref="I46:P48" si="21">+I20*1000</f>
        <v>1500000</v>
      </c>
      <c r="J46" s="204">
        <f t="shared" si="21"/>
        <v>1552000</v>
      </c>
      <c r="K46" s="204">
        <f t="shared" si="21"/>
        <v>1397000</v>
      </c>
      <c r="L46" s="204">
        <f t="shared" si="21"/>
        <v>1369000</v>
      </c>
      <c r="M46" s="204">
        <f t="shared" si="21"/>
        <v>1468000</v>
      </c>
      <c r="N46" s="204">
        <f t="shared" si="21"/>
        <v>1457000</v>
      </c>
      <c r="O46" s="204">
        <f t="shared" si="21"/>
        <v>1492000</v>
      </c>
      <c r="P46" s="204">
        <f t="shared" si="21"/>
        <v>1714008.15</v>
      </c>
      <c r="Q46" s="204">
        <f t="shared" ref="Q46:R48" si="22">+Q20*1000</f>
        <v>1844000</v>
      </c>
      <c r="R46" s="204">
        <f t="shared" si="22"/>
        <v>1901000</v>
      </c>
      <c r="S46" s="204">
        <f t="shared" ref="S46:U46" si="23">+S20*1000</f>
        <v>1923417.7799999998</v>
      </c>
      <c r="T46" s="204">
        <f t="shared" si="23"/>
        <v>1723000</v>
      </c>
      <c r="U46" s="204">
        <f t="shared" si="23"/>
        <v>1597000</v>
      </c>
      <c r="V46" s="1"/>
      <c r="W46" s="1"/>
      <c r="X46" s="1"/>
      <c r="Y46" s="181"/>
      <c r="Z46" s="181"/>
      <c r="AB46"/>
      <c r="AC46"/>
    </row>
    <row r="47" spans="2:29" ht="15.75" customHeight="1">
      <c r="B47" s="206" t="s">
        <v>263</v>
      </c>
      <c r="C47" s="204">
        <f>+C21*1000</f>
        <v>1232000</v>
      </c>
      <c r="D47" s="204">
        <f t="shared" si="10"/>
        <v>1408000</v>
      </c>
      <c r="E47" s="204">
        <f>+E21*1000</f>
        <v>396000</v>
      </c>
      <c r="F47" s="204">
        <f t="shared" si="20"/>
        <v>583000</v>
      </c>
      <c r="G47" s="204">
        <f t="shared" si="20"/>
        <v>938000</v>
      </c>
      <c r="H47" s="204">
        <f>+I47-Z47</f>
        <v>879000</v>
      </c>
      <c r="I47" s="204">
        <f t="shared" si="21"/>
        <v>879000</v>
      </c>
      <c r="J47" s="204">
        <f t="shared" si="21"/>
        <v>717000</v>
      </c>
      <c r="K47" s="204">
        <f t="shared" si="21"/>
        <v>608000</v>
      </c>
      <c r="L47" s="204">
        <f t="shared" si="21"/>
        <v>618000</v>
      </c>
      <c r="M47" s="204">
        <f t="shared" si="21"/>
        <v>785000</v>
      </c>
      <c r="N47" s="204">
        <f t="shared" si="21"/>
        <v>663000</v>
      </c>
      <c r="O47" s="204">
        <f t="shared" si="21"/>
        <v>551000</v>
      </c>
      <c r="P47" s="204">
        <f t="shared" si="21"/>
        <v>884620</v>
      </c>
      <c r="Q47" s="204">
        <f t="shared" si="22"/>
        <v>1338000</v>
      </c>
      <c r="R47" s="204">
        <f t="shared" si="22"/>
        <v>1244000</v>
      </c>
      <c r="S47" s="204">
        <f t="shared" ref="S47:U47" si="24">+S21*1000</f>
        <v>1306000</v>
      </c>
      <c r="T47" s="204">
        <f t="shared" si="24"/>
        <v>1342000</v>
      </c>
      <c r="U47" s="204">
        <f t="shared" si="24"/>
        <v>1259000</v>
      </c>
      <c r="V47" s="1"/>
      <c r="W47" s="1"/>
      <c r="X47" s="1"/>
      <c r="Y47" s="181"/>
      <c r="Z47" s="181"/>
      <c r="AB47"/>
      <c r="AC47"/>
    </row>
    <row r="48" spans="2:29" ht="15.75" customHeight="1">
      <c r="B48" s="206" t="s">
        <v>264</v>
      </c>
      <c r="C48" s="204">
        <f>+C22*1000</f>
        <v>1290000</v>
      </c>
      <c r="D48" s="204">
        <f t="shared" si="10"/>
        <v>1474285.7142857143</v>
      </c>
      <c r="E48" s="204">
        <f>+E22*1000</f>
        <v>1283000</v>
      </c>
      <c r="F48" s="204">
        <f t="shared" si="20"/>
        <v>1345000</v>
      </c>
      <c r="G48" s="204">
        <f t="shared" si="20"/>
        <v>1339000</v>
      </c>
      <c r="H48" s="204">
        <f>+I48-Z48</f>
        <v>1091262.9320375209</v>
      </c>
      <c r="I48" s="204">
        <f t="shared" si="21"/>
        <v>1110000</v>
      </c>
      <c r="J48" s="204">
        <f t="shared" si="21"/>
        <v>1312000</v>
      </c>
      <c r="K48" s="204">
        <f t="shared" si="21"/>
        <v>2152000</v>
      </c>
      <c r="L48" s="204">
        <f t="shared" si="21"/>
        <v>2186000</v>
      </c>
      <c r="M48" s="204">
        <f t="shared" si="21"/>
        <v>1783000</v>
      </c>
      <c r="N48" s="204">
        <f t="shared" si="21"/>
        <v>2185000</v>
      </c>
      <c r="O48" s="204">
        <f t="shared" si="21"/>
        <v>3253000</v>
      </c>
      <c r="P48" s="204">
        <f t="shared" si="21"/>
        <v>2203805</v>
      </c>
      <c r="Q48" s="204">
        <f t="shared" si="22"/>
        <v>2007000</v>
      </c>
      <c r="R48" s="204">
        <f t="shared" si="22"/>
        <v>2269000</v>
      </c>
      <c r="S48" s="204">
        <f t="shared" ref="S48:U48" si="25">+S22*1000</f>
        <v>1931000</v>
      </c>
      <c r="T48" s="204">
        <f t="shared" si="25"/>
        <v>2999000</v>
      </c>
      <c r="U48" s="204">
        <f t="shared" si="25"/>
        <v>2608000</v>
      </c>
      <c r="V48" s="1"/>
      <c r="W48" s="1"/>
      <c r="X48" s="1"/>
      <c r="Y48" s="207" t="s">
        <v>264</v>
      </c>
      <c r="Z48" s="208">
        <v>18737.067962479181</v>
      </c>
      <c r="AB48"/>
      <c r="AC48"/>
    </row>
    <row r="49" spans="2:29" ht="15.75" customHeight="1" thickBot="1">
      <c r="B49" s="210" t="s">
        <v>265</v>
      </c>
      <c r="C49" s="211">
        <f>+(C24+C25+C26)*1000</f>
        <v>228000</v>
      </c>
      <c r="D49" s="211">
        <f t="shared" si="10"/>
        <v>260571.42857142858</v>
      </c>
      <c r="E49" s="211">
        <f>+(E24+E25+E26)*1000</f>
        <v>836000</v>
      </c>
      <c r="F49" s="211">
        <f>+(F24+F25+F26)*1000</f>
        <v>798000</v>
      </c>
      <c r="G49" s="211">
        <f>+(G24+G25+G26)*1000</f>
        <v>1150000</v>
      </c>
      <c r="H49" s="204">
        <f>+I49</f>
        <v>821000</v>
      </c>
      <c r="I49" s="211">
        <f t="shared" ref="I49:P49" si="26">+(I24+I25+I26)*1000</f>
        <v>821000</v>
      </c>
      <c r="J49" s="211">
        <f t="shared" si="26"/>
        <v>744000</v>
      </c>
      <c r="K49" s="211">
        <f t="shared" si="26"/>
        <v>748000</v>
      </c>
      <c r="L49" s="211">
        <f t="shared" si="26"/>
        <v>840000</v>
      </c>
      <c r="M49" s="211">
        <f t="shared" si="26"/>
        <v>649000</v>
      </c>
      <c r="N49" s="211">
        <f t="shared" si="26"/>
        <v>666000</v>
      </c>
      <c r="O49" s="211">
        <f t="shared" si="26"/>
        <v>883000</v>
      </c>
      <c r="P49" s="211">
        <f t="shared" si="26"/>
        <v>1180140.3399999999</v>
      </c>
      <c r="Q49" s="211">
        <f>+(Q24+Q25+Q26)*1000</f>
        <v>1577000</v>
      </c>
      <c r="R49" s="211">
        <f>+(R24+R25+R26)*1000</f>
        <v>1484000</v>
      </c>
      <c r="S49" s="211">
        <f t="shared" ref="S49:U49" si="27">+(S24+S25+S26)*1000</f>
        <v>1285788.17</v>
      </c>
      <c r="T49" s="211">
        <f t="shared" si="27"/>
        <v>1137000</v>
      </c>
      <c r="U49" s="211">
        <f t="shared" si="27"/>
        <v>1515000</v>
      </c>
      <c r="V49" s="1"/>
      <c r="W49" s="1"/>
      <c r="X49" s="1"/>
      <c r="Y49" s="181"/>
      <c r="Z49" s="181"/>
      <c r="AB49"/>
      <c r="AC49"/>
    </row>
    <row r="50" spans="2:29" ht="15.75" thickBot="1">
      <c r="B50" s="212"/>
      <c r="C50" s="213">
        <f t="shared" ref="C50:P50" si="28">SUM(C38:C49)</f>
        <v>7917142.8571428573</v>
      </c>
      <c r="D50" s="213">
        <f t="shared" si="28"/>
        <v>9051429</v>
      </c>
      <c r="E50" s="214">
        <f t="shared" si="28"/>
        <v>10209000</v>
      </c>
      <c r="F50" s="214">
        <f t="shared" si="28"/>
        <v>11424000</v>
      </c>
      <c r="G50" s="213">
        <f t="shared" si="28"/>
        <v>11672000</v>
      </c>
      <c r="H50" s="213">
        <f t="shared" si="28"/>
        <v>12384579.554272298</v>
      </c>
      <c r="I50" s="214">
        <f t="shared" si="28"/>
        <v>12580999.982234776</v>
      </c>
      <c r="J50" s="213">
        <f t="shared" si="28"/>
        <v>14012271</v>
      </c>
      <c r="K50" s="213">
        <f t="shared" si="28"/>
        <v>14112255.92</v>
      </c>
      <c r="L50" s="213">
        <f t="shared" si="28"/>
        <v>15350631.9</v>
      </c>
      <c r="M50" s="213">
        <f t="shared" si="28"/>
        <v>16245441.120000001</v>
      </c>
      <c r="N50" s="213">
        <f t="shared" si="28"/>
        <v>16968436.079999998</v>
      </c>
      <c r="O50" s="213">
        <f t="shared" si="28"/>
        <v>19785350.490000002</v>
      </c>
      <c r="P50" s="213">
        <f t="shared" si="28"/>
        <v>22520187.809999999</v>
      </c>
      <c r="Q50" s="213">
        <f t="shared" ref="Q50:U50" si="29">SUM(Q38:Q49)</f>
        <v>24023085.23</v>
      </c>
      <c r="R50" s="213">
        <f t="shared" si="29"/>
        <v>25522160.16</v>
      </c>
      <c r="S50" s="213">
        <f t="shared" si="29"/>
        <v>25468532.539999999</v>
      </c>
      <c r="T50" s="213">
        <f t="shared" si="29"/>
        <v>24706429.16</v>
      </c>
      <c r="U50" s="213">
        <f t="shared" si="29"/>
        <v>26875457.82</v>
      </c>
      <c r="V50" s="1"/>
      <c r="W50" s="1"/>
      <c r="X50" s="1"/>
      <c r="Y50" s="200"/>
      <c r="Z50" s="201">
        <f>SUM(Z38:Z49)</f>
        <v>196420.42796247918</v>
      </c>
      <c r="AB50"/>
      <c r="AC50"/>
    </row>
    <row r="51" spans="2:29">
      <c r="V51" s="1"/>
      <c r="W51" s="1"/>
      <c r="X51" s="1"/>
    </row>
    <row r="52" spans="2:29"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"/>
      <c r="W52" s="1"/>
      <c r="X52" s="1"/>
    </row>
    <row r="53" spans="2:29"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"/>
      <c r="W53" s="1"/>
      <c r="X53" s="1"/>
    </row>
    <row r="54" spans="2:29"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1"/>
      <c r="W54" s="1"/>
      <c r="X54" s="1"/>
    </row>
    <row r="55" spans="2:29">
      <c r="V55" s="1"/>
      <c r="W55" s="1"/>
      <c r="X55" s="1"/>
    </row>
    <row r="56" spans="2:29"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1"/>
      <c r="W56" s="1"/>
      <c r="X56" s="1"/>
    </row>
    <row r="57" spans="2:29"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1"/>
      <c r="W57" s="1"/>
      <c r="X57" s="1"/>
    </row>
    <row r="58" spans="2:29">
      <c r="V58" s="1"/>
      <c r="W58" s="1"/>
      <c r="X58" s="1"/>
    </row>
    <row r="59" spans="2:29">
      <c r="V59" s="1"/>
      <c r="W59" s="1"/>
      <c r="X59" s="1"/>
    </row>
    <row r="60" spans="2:29">
      <c r="V60" s="1"/>
      <c r="W60" s="1"/>
      <c r="X60" s="1"/>
    </row>
    <row r="61" spans="2:29" ht="13.5" customHeight="1">
      <c r="V61" s="1"/>
      <c r="W61" s="1"/>
      <c r="X61" s="1"/>
    </row>
    <row r="62" spans="2:29" ht="13.5" customHeight="1">
      <c r="K62" s="377"/>
      <c r="V62" s="1"/>
      <c r="W62" s="1"/>
      <c r="X62" s="1"/>
    </row>
    <row r="63" spans="2:29" ht="13.5" customHeight="1">
      <c r="V63" s="1"/>
      <c r="W63" s="1"/>
      <c r="X63" s="1"/>
    </row>
    <row r="64" spans="2:29" ht="13.5" customHeight="1">
      <c r="V64" s="1"/>
      <c r="W64" s="1"/>
      <c r="X64" s="1"/>
    </row>
    <row r="65" spans="22:24" ht="13.5" customHeight="1">
      <c r="V65" s="1"/>
      <c r="W65" s="1"/>
      <c r="X65" s="1"/>
    </row>
    <row r="66" spans="22:24" ht="13.5" customHeight="1">
      <c r="V66" s="1"/>
      <c r="W66" s="1"/>
      <c r="X66" s="1"/>
    </row>
    <row r="67" spans="22:24" ht="13.5" customHeight="1">
      <c r="V67" s="1"/>
      <c r="W67" s="1"/>
      <c r="X67" s="1"/>
    </row>
    <row r="68" spans="22:24" ht="13.5" customHeight="1">
      <c r="V68" s="1"/>
      <c r="W68" s="1"/>
      <c r="X68" s="1"/>
    </row>
    <row r="69" spans="22:24" ht="13.5" customHeight="1">
      <c r="V69" s="1"/>
      <c r="W69" s="1"/>
      <c r="X69" s="1"/>
    </row>
    <row r="70" spans="22:24" ht="13.5" customHeight="1">
      <c r="V70" s="1"/>
      <c r="W70" s="1"/>
      <c r="X70" s="1"/>
    </row>
    <row r="71" spans="22:24" ht="13.5" customHeight="1">
      <c r="V71" s="1"/>
      <c r="W71" s="1"/>
      <c r="X71" s="1"/>
    </row>
    <row r="72" spans="22:24" ht="13.5" customHeight="1">
      <c r="V72" s="1"/>
      <c r="W72" s="1"/>
      <c r="X72" s="1"/>
    </row>
    <row r="73" spans="22:24" ht="13.5" customHeight="1">
      <c r="V73" s="1"/>
      <c r="W73" s="1"/>
      <c r="X73" s="1"/>
    </row>
    <row r="74" spans="22:24" ht="13.5" customHeight="1">
      <c r="V74" s="1"/>
      <c r="W74" s="1"/>
      <c r="X74" s="1"/>
    </row>
    <row r="75" spans="22:24" ht="13.5" customHeight="1">
      <c r="V75" s="1"/>
      <c r="W75" s="1"/>
      <c r="X75" s="1"/>
    </row>
    <row r="76" spans="22:24" ht="13.5" customHeight="1">
      <c r="V76" s="1"/>
      <c r="W76" s="1"/>
      <c r="X76" s="1"/>
    </row>
    <row r="77" spans="22:24" ht="13.5" customHeight="1">
      <c r="V77" s="1"/>
      <c r="W77" s="1"/>
      <c r="X77" s="1"/>
    </row>
    <row r="78" spans="22:24" ht="13.5" customHeight="1">
      <c r="V78" s="1"/>
      <c r="W78" s="1"/>
      <c r="X78" s="1"/>
    </row>
    <row r="79" spans="22:24" ht="13.5" customHeight="1">
      <c r="V79" s="1"/>
      <c r="W79" s="1"/>
      <c r="X79" s="1"/>
    </row>
    <row r="80" spans="22:24" ht="13.5" customHeight="1">
      <c r="V80" s="1"/>
      <c r="W80" s="1"/>
      <c r="X80" s="1"/>
    </row>
    <row r="81" spans="22:24" ht="13.5" customHeight="1">
      <c r="V81" s="1"/>
      <c r="W81" s="1"/>
      <c r="X81" s="1"/>
    </row>
    <row r="82" spans="22:24" ht="13.5" customHeight="1">
      <c r="V82" s="1"/>
      <c r="W82" s="1"/>
      <c r="X82" s="1"/>
    </row>
    <row r="83" spans="22:24" ht="13.5" customHeight="1">
      <c r="V83" s="1"/>
      <c r="W83" s="1"/>
      <c r="X83" s="1"/>
    </row>
    <row r="84" spans="22:24" ht="13.5" customHeight="1">
      <c r="V84" s="1"/>
      <c r="W84" s="1"/>
      <c r="X84" s="1"/>
    </row>
    <row r="85" spans="22:24" ht="13.5" customHeight="1">
      <c r="V85" s="1"/>
      <c r="W85" s="1"/>
      <c r="X85" s="1"/>
    </row>
    <row r="86" spans="22:24" ht="13.5" customHeight="1">
      <c r="V86" s="1"/>
      <c r="W86" s="1"/>
      <c r="X86" s="1"/>
    </row>
    <row r="87" spans="22:24" ht="13.5" customHeight="1">
      <c r="V87" s="1"/>
      <c r="W87" s="1"/>
      <c r="X87" s="1"/>
    </row>
    <row r="88" spans="22:24" ht="13.5" customHeight="1">
      <c r="V88" s="1"/>
      <c r="W88" s="1"/>
      <c r="X88" s="1"/>
    </row>
    <row r="89" spans="22:24" ht="13.5" customHeight="1">
      <c r="V89" s="1"/>
      <c r="W89" s="1"/>
      <c r="X89" s="1"/>
    </row>
    <row r="90" spans="22:24" ht="13.5" customHeight="1">
      <c r="V90" s="1"/>
      <c r="W90" s="1"/>
      <c r="X90" s="1"/>
    </row>
    <row r="91" spans="22:24">
      <c r="V91" s="1"/>
      <c r="W91" s="1"/>
      <c r="X91" s="1"/>
    </row>
    <row r="92" spans="22:24">
      <c r="V92" s="1"/>
      <c r="W92" s="1"/>
      <c r="X92" s="1"/>
    </row>
    <row r="93" spans="22:24">
      <c r="V93" s="1"/>
      <c r="W93" s="1"/>
      <c r="X93" s="1"/>
    </row>
    <row r="94" spans="22:24">
      <c r="V94" s="1"/>
      <c r="W94" s="1"/>
      <c r="X94" s="1"/>
    </row>
    <row r="95" spans="22:24">
      <c r="V95" s="1"/>
      <c r="W95" s="1"/>
      <c r="X95" s="1"/>
    </row>
    <row r="96" spans="22:24">
      <c r="V96" s="1"/>
      <c r="W96" s="1"/>
      <c r="X96" s="1"/>
    </row>
    <row r="97" spans="22:24">
      <c r="V97" s="1"/>
      <c r="W97" s="1"/>
      <c r="X97" s="1"/>
    </row>
    <row r="98" spans="22:24">
      <c r="V98" s="1"/>
      <c r="W98" s="1"/>
      <c r="X98" s="1"/>
    </row>
    <row r="99" spans="22:24">
      <c r="V99" s="1"/>
      <c r="W99" s="1"/>
      <c r="X99" s="1"/>
    </row>
    <row r="100" spans="22:24">
      <c r="V100" s="1"/>
      <c r="W100" s="1"/>
      <c r="X100" s="1"/>
    </row>
    <row r="101" spans="22:24">
      <c r="V101" s="1"/>
      <c r="W101" s="1"/>
      <c r="X101" s="1"/>
    </row>
    <row r="102" spans="22:24">
      <c r="V102" s="1"/>
      <c r="W102" s="1"/>
      <c r="X102" s="1"/>
    </row>
    <row r="103" spans="22:24">
      <c r="V103" s="1"/>
      <c r="W103" s="1"/>
      <c r="X103" s="1"/>
    </row>
    <row r="104" spans="22:24">
      <c r="V104" s="1"/>
      <c r="W104" s="1"/>
      <c r="X104" s="1"/>
    </row>
    <row r="105" spans="22:24">
      <c r="V105" s="1"/>
      <c r="W105" s="1"/>
      <c r="X105" s="1"/>
    </row>
    <row r="106" spans="22:24">
      <c r="V106" s="1"/>
      <c r="W106" s="1"/>
      <c r="X106" s="1"/>
    </row>
    <row r="107" spans="22:24">
      <c r="V107" s="1"/>
      <c r="W107" s="1"/>
      <c r="X107" s="1"/>
    </row>
    <row r="108" spans="22:24">
      <c r="V108" s="1"/>
      <c r="W108" s="1"/>
      <c r="X108" s="1"/>
    </row>
    <row r="109" spans="22:24">
      <c r="V109" s="1"/>
      <c r="W109" s="1"/>
      <c r="X109" s="1"/>
    </row>
    <row r="110" spans="22:24">
      <c r="V110" s="1"/>
      <c r="W110" s="1"/>
      <c r="X110" s="1"/>
    </row>
    <row r="111" spans="22:24">
      <c r="V111" s="1"/>
      <c r="W111" s="1"/>
      <c r="X111" s="1"/>
    </row>
    <row r="112" spans="22:24">
      <c r="V112" s="1"/>
      <c r="W112" s="1"/>
      <c r="X112" s="1"/>
    </row>
    <row r="113" spans="22:24">
      <c r="V113" s="1"/>
      <c r="W113" s="1"/>
      <c r="X113" s="1"/>
    </row>
    <row r="114" spans="22:24">
      <c r="V114" s="1"/>
      <c r="W114" s="1"/>
      <c r="X114" s="1"/>
    </row>
    <row r="115" spans="22:24">
      <c r="V115" s="1"/>
      <c r="W115" s="1"/>
      <c r="X115" s="1"/>
    </row>
    <row r="116" spans="22:24">
      <c r="V116" s="1"/>
      <c r="W116" s="1"/>
      <c r="X116" s="1"/>
    </row>
    <row r="117" spans="22:24">
      <c r="V117" s="1"/>
      <c r="W117" s="1"/>
      <c r="X117" s="1"/>
    </row>
    <row r="118" spans="22:24">
      <c r="V118" s="1"/>
      <c r="W118" s="1"/>
      <c r="X118" s="1"/>
    </row>
    <row r="119" spans="22:24">
      <c r="V119" s="1"/>
      <c r="W119" s="1"/>
      <c r="X119" s="1"/>
    </row>
    <row r="120" spans="22:24">
      <c r="V120" s="1"/>
      <c r="W120" s="1"/>
      <c r="X120" s="1"/>
    </row>
    <row r="121" spans="22:24">
      <c r="V121" s="1"/>
      <c r="W121" s="1"/>
      <c r="X121" s="1"/>
    </row>
    <row r="122" spans="22:24">
      <c r="V122" s="1"/>
      <c r="W122" s="1"/>
      <c r="X122" s="1"/>
    </row>
    <row r="123" spans="22:24">
      <c r="V123" s="1"/>
      <c r="W123" s="1"/>
      <c r="X123" s="1"/>
    </row>
    <row r="124" spans="22:24">
      <c r="V124" s="1"/>
      <c r="W124" s="1"/>
      <c r="X124" s="1"/>
    </row>
    <row r="125" spans="22:24">
      <c r="V125" s="1"/>
      <c r="W125" s="1"/>
      <c r="X125" s="1"/>
    </row>
    <row r="126" spans="22:24">
      <c r="V126" s="1"/>
      <c r="W126" s="1"/>
      <c r="X126" s="1"/>
    </row>
    <row r="127" spans="22:24">
      <c r="V127" s="1"/>
      <c r="W127" s="1"/>
      <c r="X127" s="1"/>
    </row>
    <row r="128" spans="22:24">
      <c r="V128" s="1"/>
      <c r="W128" s="1"/>
      <c r="X128" s="1"/>
    </row>
    <row r="129" spans="22:24">
      <c r="V129" s="1"/>
      <c r="W129" s="1"/>
      <c r="X129" s="1"/>
    </row>
    <row r="130" spans="22:24">
      <c r="V130" s="1"/>
      <c r="W130" s="1"/>
      <c r="X130" s="1"/>
    </row>
    <row r="131" spans="22:24">
      <c r="V131" s="1"/>
      <c r="W131" s="1"/>
      <c r="X131" s="1"/>
    </row>
    <row r="132" spans="22:24">
      <c r="V132" s="1"/>
      <c r="W132" s="1"/>
      <c r="X132" s="1"/>
    </row>
    <row r="133" spans="22:24">
      <c r="V133" s="1"/>
      <c r="W133" s="1"/>
      <c r="X133" s="1"/>
    </row>
    <row r="134" spans="22:24">
      <c r="V134" s="1"/>
      <c r="W134" s="1"/>
      <c r="X134" s="1"/>
    </row>
    <row r="135" spans="22:24">
      <c r="V135" s="1"/>
      <c r="W135" s="1"/>
      <c r="X135" s="1"/>
    </row>
    <row r="136" spans="22:24">
      <c r="V136" s="1"/>
      <c r="W136" s="1"/>
      <c r="X136" s="1"/>
    </row>
    <row r="137" spans="22:24">
      <c r="V137" s="1"/>
      <c r="W137" s="1"/>
      <c r="X137" s="1"/>
    </row>
    <row r="138" spans="22:24">
      <c r="V138" s="1"/>
      <c r="W138" s="1"/>
      <c r="X138" s="1"/>
    </row>
    <row r="139" spans="22:24">
      <c r="V139" s="1"/>
      <c r="W139" s="1"/>
      <c r="X139" s="1"/>
    </row>
    <row r="140" spans="22:24">
      <c r="V140" s="1"/>
      <c r="W140" s="1"/>
      <c r="X140" s="1"/>
    </row>
    <row r="141" spans="22:24">
      <c r="V141" s="1"/>
      <c r="W141" s="1"/>
      <c r="X141" s="1"/>
    </row>
    <row r="142" spans="22:24">
      <c r="V142" s="1"/>
      <c r="W142" s="1"/>
      <c r="X142" s="1"/>
    </row>
    <row r="143" spans="22:24">
      <c r="V143" s="1"/>
      <c r="W143" s="1"/>
      <c r="X143" s="1"/>
    </row>
    <row r="144" spans="22:24">
      <c r="V144" s="1"/>
      <c r="W144" s="1"/>
      <c r="X144" s="1"/>
    </row>
    <row r="145" spans="22:24">
      <c r="V145" s="1"/>
      <c r="W145" s="1"/>
      <c r="X145" s="1"/>
    </row>
    <row r="146" spans="22:24">
      <c r="V146" s="1"/>
      <c r="W146" s="1"/>
      <c r="X146" s="1"/>
    </row>
    <row r="147" spans="22:24">
      <c r="V147" s="1"/>
      <c r="W147" s="1"/>
      <c r="X147" s="1"/>
    </row>
    <row r="148" spans="22:24">
      <c r="V148" s="1"/>
      <c r="W148" s="1"/>
      <c r="X148" s="1"/>
    </row>
    <row r="149" spans="22:24">
      <c r="V149" s="1"/>
      <c r="W149" s="1"/>
      <c r="X149" s="1"/>
    </row>
    <row r="150" spans="22:24">
      <c r="V150" s="1"/>
      <c r="W150" s="1"/>
      <c r="X150" s="1"/>
    </row>
    <row r="151" spans="22:24">
      <c r="V151" s="1"/>
      <c r="W151" s="1"/>
      <c r="X151" s="1"/>
    </row>
    <row r="152" spans="22:24">
      <c r="V152" s="1"/>
      <c r="W152" s="1"/>
      <c r="X152" s="1"/>
    </row>
    <row r="153" spans="22:24">
      <c r="V153" s="1"/>
      <c r="W153" s="1"/>
      <c r="X153" s="1"/>
    </row>
    <row r="154" spans="22:24">
      <c r="V154" s="1"/>
      <c r="W154" s="1"/>
      <c r="X154" s="1"/>
    </row>
    <row r="155" spans="22:24">
      <c r="V155" s="1"/>
      <c r="W155" s="1"/>
      <c r="X155" s="1"/>
    </row>
    <row r="156" spans="22:24">
      <c r="V156" s="1"/>
      <c r="W156" s="1"/>
      <c r="X156" s="1"/>
    </row>
    <row r="157" spans="22:24">
      <c r="V157" s="1"/>
      <c r="W157" s="1"/>
      <c r="X157" s="1"/>
    </row>
    <row r="158" spans="22:24">
      <c r="V158" s="1"/>
      <c r="W158" s="1"/>
      <c r="X158" s="1"/>
    </row>
    <row r="159" spans="22:24">
      <c r="V159" s="1"/>
      <c r="W159" s="1"/>
      <c r="X159" s="1"/>
    </row>
    <row r="160" spans="22:24">
      <c r="V160" s="1"/>
      <c r="W160" s="1"/>
      <c r="X160" s="1"/>
    </row>
    <row r="161" spans="22:24">
      <c r="V161" s="1"/>
      <c r="W161" s="1"/>
      <c r="X161" s="1"/>
    </row>
    <row r="162" spans="22:24">
      <c r="V162" s="1"/>
      <c r="W162" s="1"/>
      <c r="X162" s="1"/>
    </row>
    <row r="163" spans="22:24">
      <c r="V163" s="1"/>
      <c r="W163" s="1"/>
      <c r="X163" s="1"/>
    </row>
    <row r="164" spans="22:24">
      <c r="V164" s="1"/>
      <c r="W164" s="1"/>
      <c r="X164" s="1"/>
    </row>
    <row r="165" spans="22:24">
      <c r="V165" s="1"/>
      <c r="W165" s="1"/>
      <c r="X165" s="1"/>
    </row>
    <row r="166" spans="22:24">
      <c r="V166" s="1"/>
      <c r="W166" s="1"/>
      <c r="X166" s="1"/>
    </row>
    <row r="167" spans="22:24">
      <c r="V167" s="1"/>
      <c r="W167" s="1"/>
      <c r="X167" s="1"/>
    </row>
    <row r="168" spans="22:24">
      <c r="V168" s="1"/>
      <c r="W168" s="1"/>
      <c r="X168" s="1"/>
    </row>
    <row r="169" spans="22:24">
      <c r="V169" s="1"/>
      <c r="W169" s="1"/>
      <c r="X169" s="1"/>
    </row>
    <row r="170" spans="22:24">
      <c r="V170" s="1"/>
      <c r="W170" s="1"/>
      <c r="X170" s="1"/>
    </row>
    <row r="171" spans="22:24">
      <c r="V171" s="1"/>
      <c r="W171" s="1"/>
      <c r="X171" s="1"/>
    </row>
    <row r="172" spans="22:24">
      <c r="V172" s="1"/>
      <c r="W172" s="1"/>
      <c r="X172" s="1"/>
    </row>
    <row r="173" spans="22:24">
      <c r="V173" s="1"/>
      <c r="W173" s="1"/>
      <c r="X173" s="1"/>
    </row>
    <row r="174" spans="22:24">
      <c r="V174" s="1"/>
      <c r="W174" s="1"/>
      <c r="X174" s="1"/>
    </row>
    <row r="175" spans="22:24">
      <c r="V175" s="1"/>
      <c r="W175" s="1"/>
      <c r="X175" s="1"/>
    </row>
    <row r="176" spans="22:24">
      <c r="V176" s="1"/>
      <c r="W176" s="1"/>
      <c r="X176" s="1"/>
    </row>
    <row r="177" spans="22:24">
      <c r="V177" s="1"/>
      <c r="W177" s="1"/>
      <c r="X177" s="1"/>
    </row>
    <row r="178" spans="22:24">
      <c r="V178" s="1"/>
      <c r="W178" s="1"/>
      <c r="X178" s="1"/>
    </row>
    <row r="179" spans="22:24">
      <c r="V179" s="1"/>
      <c r="W179" s="1"/>
      <c r="X179" s="1"/>
    </row>
    <row r="180" spans="22:24">
      <c r="V180" s="1"/>
      <c r="W180" s="1"/>
      <c r="X180" s="1"/>
    </row>
    <row r="181" spans="22:24">
      <c r="V181" s="1"/>
      <c r="W181" s="1"/>
      <c r="X181" s="1"/>
    </row>
    <row r="182" spans="22:24">
      <c r="V182" s="1"/>
      <c r="W182" s="1"/>
      <c r="X182" s="1"/>
    </row>
    <row r="183" spans="22:24">
      <c r="V183" s="1"/>
      <c r="W183" s="1"/>
      <c r="X183" s="1"/>
    </row>
    <row r="184" spans="22:24">
      <c r="V184" s="1"/>
      <c r="W184" s="1"/>
      <c r="X184" s="1"/>
    </row>
    <row r="185" spans="22:24">
      <c r="V185" s="1"/>
      <c r="W185" s="1"/>
      <c r="X185" s="1"/>
    </row>
    <row r="186" spans="22:24">
      <c r="V186" s="1"/>
      <c r="W186" s="1"/>
      <c r="X186" s="1"/>
    </row>
    <row r="187" spans="22:24">
      <c r="V187" s="1"/>
      <c r="W187" s="1"/>
      <c r="X187" s="1"/>
    </row>
    <row r="188" spans="22:24">
      <c r="V188" s="1"/>
      <c r="W188" s="1"/>
      <c r="X188" s="1"/>
    </row>
    <row r="189" spans="22:24">
      <c r="V189" s="1"/>
      <c r="W189" s="1"/>
      <c r="X189" s="1"/>
    </row>
    <row r="190" spans="22:24">
      <c r="V190" s="1"/>
      <c r="W190" s="1"/>
      <c r="X190" s="1"/>
    </row>
    <row r="191" spans="22:24">
      <c r="V191" s="1"/>
      <c r="W191" s="1"/>
      <c r="X191" s="1"/>
    </row>
    <row r="192" spans="22:24">
      <c r="V192" s="1"/>
      <c r="W192" s="1"/>
      <c r="X192" s="1"/>
    </row>
    <row r="193" spans="22:24">
      <c r="V193" s="1"/>
      <c r="W193" s="1"/>
      <c r="X193" s="1"/>
    </row>
    <row r="194" spans="22:24">
      <c r="V194" s="1"/>
      <c r="W194" s="1"/>
      <c r="X194" s="1"/>
    </row>
    <row r="195" spans="22:24">
      <c r="V195" s="1"/>
      <c r="W195" s="1"/>
      <c r="X195" s="1"/>
    </row>
    <row r="196" spans="22:24">
      <c r="V196" s="1"/>
      <c r="W196" s="1"/>
      <c r="X196" s="1"/>
    </row>
    <row r="197" spans="22:24">
      <c r="V197" s="1"/>
      <c r="W197" s="1"/>
      <c r="X197" s="1"/>
    </row>
    <row r="198" spans="22:24">
      <c r="V198" s="1"/>
      <c r="W198" s="1"/>
      <c r="X198" s="1"/>
    </row>
    <row r="199" spans="22:24">
      <c r="V199" s="1"/>
      <c r="W199" s="1"/>
      <c r="X199" s="1"/>
    </row>
    <row r="200" spans="22:24">
      <c r="V200" s="1"/>
      <c r="W200" s="1"/>
      <c r="X200" s="1"/>
    </row>
    <row r="201" spans="22:24">
      <c r="V201" s="1"/>
      <c r="W201" s="1"/>
      <c r="X201" s="1"/>
    </row>
    <row r="202" spans="22:24">
      <c r="V202" s="1"/>
      <c r="W202" s="1"/>
      <c r="X202" s="1"/>
    </row>
    <row r="203" spans="22:24">
      <c r="V203" s="1"/>
      <c r="W203" s="1"/>
      <c r="X203" s="1"/>
    </row>
    <row r="204" spans="22:24">
      <c r="V204" s="1"/>
      <c r="W204" s="1"/>
      <c r="X204" s="1"/>
    </row>
    <row r="205" spans="22:24">
      <c r="V205" s="1"/>
      <c r="W205" s="1"/>
      <c r="X205" s="1"/>
    </row>
    <row r="206" spans="22:24">
      <c r="V206" s="1"/>
      <c r="W206" s="1"/>
      <c r="X206" s="1"/>
    </row>
    <row r="207" spans="22:24">
      <c r="V207" s="1"/>
      <c r="W207" s="1"/>
      <c r="X207" s="1"/>
    </row>
    <row r="208" spans="22:24">
      <c r="V208" s="1"/>
      <c r="W208" s="1"/>
      <c r="X208" s="1"/>
    </row>
    <row r="209" spans="22:24">
      <c r="V209" s="1"/>
      <c r="W209" s="1"/>
      <c r="X209" s="1"/>
    </row>
    <row r="210" spans="22:24">
      <c r="V210" s="1"/>
      <c r="W210" s="1"/>
      <c r="X210" s="1"/>
    </row>
    <row r="211" spans="22:24">
      <c r="V211" s="1"/>
      <c r="W211" s="1"/>
      <c r="X211" s="1"/>
    </row>
    <row r="212" spans="22:24">
      <c r="V212" s="1"/>
      <c r="W212" s="1"/>
      <c r="X212" s="1"/>
    </row>
    <row r="213" spans="22:24">
      <c r="V213" s="1"/>
      <c r="W213" s="1"/>
      <c r="X213" s="1"/>
    </row>
    <row r="214" spans="22:24">
      <c r="V214" s="1"/>
      <c r="W214" s="1"/>
      <c r="X214" s="1"/>
    </row>
    <row r="215" spans="22:24">
      <c r="V215" s="1"/>
      <c r="W215" s="1"/>
      <c r="X215" s="1"/>
    </row>
    <row r="216" spans="22:24">
      <c r="V216" s="1"/>
      <c r="W216" s="1"/>
      <c r="X216" s="1"/>
    </row>
    <row r="217" spans="22:24">
      <c r="V217" s="1"/>
      <c r="W217" s="1"/>
      <c r="X217" s="1"/>
    </row>
    <row r="218" spans="22:24">
      <c r="V218" s="1"/>
      <c r="W218" s="1"/>
      <c r="X218" s="1"/>
    </row>
    <row r="219" spans="22:24">
      <c r="V219" s="1"/>
      <c r="W219" s="1"/>
      <c r="X219" s="1"/>
    </row>
    <row r="220" spans="22:24">
      <c r="V220" s="1"/>
      <c r="W220" s="1"/>
      <c r="X220" s="1"/>
    </row>
    <row r="221" spans="22:24">
      <c r="V221" s="1"/>
      <c r="W221" s="1"/>
      <c r="X221" s="1"/>
    </row>
    <row r="222" spans="22:24">
      <c r="V222" s="1"/>
      <c r="W222" s="1"/>
      <c r="X222" s="1"/>
    </row>
    <row r="223" spans="22:24">
      <c r="V223" s="1"/>
      <c r="W223" s="1"/>
      <c r="X223" s="1"/>
    </row>
    <row r="224" spans="22:24">
      <c r="V224" s="1"/>
      <c r="W224" s="1"/>
      <c r="X224" s="1"/>
    </row>
    <row r="225" spans="22:24">
      <c r="V225" s="1"/>
      <c r="W225" s="1"/>
      <c r="X225" s="1"/>
    </row>
    <row r="226" spans="22:24">
      <c r="V226" s="1"/>
      <c r="W226" s="1"/>
      <c r="X226" s="1"/>
    </row>
    <row r="227" spans="22:24">
      <c r="V227" s="1"/>
      <c r="W227" s="1"/>
      <c r="X227" s="1"/>
    </row>
    <row r="228" spans="22:24">
      <c r="V228" s="1"/>
      <c r="W228" s="1"/>
      <c r="X228" s="1"/>
    </row>
    <row r="229" spans="22:24">
      <c r="V229" s="1"/>
      <c r="W229" s="1"/>
      <c r="X229" s="1"/>
    </row>
    <row r="230" spans="22:24">
      <c r="V230" s="1"/>
      <c r="W230" s="1"/>
      <c r="X230" s="1"/>
    </row>
    <row r="231" spans="22:24">
      <c r="V231" s="1"/>
      <c r="W231" s="1"/>
      <c r="X231" s="1"/>
    </row>
    <row r="232" spans="22:24">
      <c r="V232" s="1"/>
      <c r="W232" s="1"/>
      <c r="X232" s="1"/>
    </row>
    <row r="233" spans="22:24">
      <c r="V233" s="1"/>
      <c r="W233" s="1"/>
      <c r="X233" s="1"/>
    </row>
    <row r="234" spans="22:24">
      <c r="V234" s="1"/>
      <c r="W234" s="1"/>
      <c r="X234" s="1"/>
    </row>
    <row r="235" spans="22:24">
      <c r="V235" s="1"/>
      <c r="W235" s="1"/>
      <c r="X235" s="1"/>
    </row>
    <row r="236" spans="22:24">
      <c r="V236" s="1"/>
      <c r="W236" s="1"/>
      <c r="X236" s="1"/>
    </row>
    <row r="237" spans="22:24">
      <c r="V237" s="1"/>
      <c r="W237" s="1"/>
      <c r="X237" s="1"/>
    </row>
    <row r="238" spans="22:24">
      <c r="V238" s="1"/>
      <c r="W238" s="1"/>
      <c r="X238" s="1"/>
    </row>
    <row r="239" spans="22:24">
      <c r="V239" s="1"/>
      <c r="W239" s="1"/>
      <c r="X239" s="1"/>
    </row>
    <row r="240" spans="22:24">
      <c r="V240" s="1"/>
      <c r="W240" s="1"/>
      <c r="X240" s="1"/>
    </row>
    <row r="241" spans="22:24">
      <c r="V241" s="1"/>
      <c r="W241" s="1"/>
      <c r="X241" s="1"/>
    </row>
    <row r="242" spans="22:24">
      <c r="V242" s="1"/>
      <c r="W242" s="1"/>
      <c r="X242" s="1"/>
    </row>
    <row r="243" spans="22:24">
      <c r="V243" s="1"/>
      <c r="W243" s="1"/>
      <c r="X243" s="1"/>
    </row>
    <row r="244" spans="22:24">
      <c r="V244" s="1"/>
      <c r="W244" s="1"/>
      <c r="X244" s="1"/>
    </row>
    <row r="245" spans="22:24">
      <c r="V245" s="1"/>
      <c r="W245" s="1"/>
      <c r="X245" s="1"/>
    </row>
    <row r="246" spans="22:24">
      <c r="V246" s="1"/>
      <c r="W246" s="1"/>
      <c r="X246" s="1"/>
    </row>
    <row r="247" spans="22:24">
      <c r="V247" s="1"/>
      <c r="W247" s="1"/>
      <c r="X247" s="1"/>
    </row>
    <row r="248" spans="22:24">
      <c r="V248" s="1"/>
      <c r="W248" s="1"/>
      <c r="X248" s="1"/>
    </row>
    <row r="249" spans="22:24">
      <c r="V249" s="1"/>
      <c r="W249" s="1"/>
      <c r="X249" s="1"/>
    </row>
    <row r="250" spans="22:24">
      <c r="V250" s="1"/>
      <c r="W250" s="1"/>
      <c r="X250" s="1"/>
    </row>
    <row r="251" spans="22:24">
      <c r="V251" s="1"/>
      <c r="W251" s="1"/>
      <c r="X251" s="1"/>
    </row>
    <row r="252" spans="22:24">
      <c r="V252" s="1"/>
      <c r="W252" s="1"/>
      <c r="X252" s="1"/>
    </row>
    <row r="253" spans="22:24">
      <c r="V253" s="1"/>
      <c r="W253" s="1"/>
      <c r="X253" s="1"/>
    </row>
    <row r="254" spans="22:24">
      <c r="V254" s="1"/>
      <c r="W254" s="1"/>
      <c r="X254" s="1"/>
    </row>
    <row r="255" spans="22:24">
      <c r="V255" s="1"/>
      <c r="W255" s="1"/>
      <c r="X255" s="1"/>
    </row>
    <row r="256" spans="22:24">
      <c r="V256" s="1"/>
      <c r="W256" s="1"/>
      <c r="X256" s="1"/>
    </row>
    <row r="257" spans="22:24">
      <c r="V257" s="1"/>
      <c r="W257" s="1"/>
      <c r="X257" s="1"/>
    </row>
    <row r="258" spans="22:24">
      <c r="V258" s="1"/>
      <c r="W258" s="1"/>
      <c r="X258" s="1"/>
    </row>
    <row r="259" spans="22:24">
      <c r="V259" s="1"/>
      <c r="W259" s="1"/>
      <c r="X259" s="1"/>
    </row>
    <row r="260" spans="22:24">
      <c r="V260" s="1"/>
      <c r="W260" s="1"/>
      <c r="X260" s="1"/>
    </row>
    <row r="261" spans="22:24">
      <c r="V261" s="1"/>
      <c r="W261" s="1"/>
      <c r="X261" s="1"/>
    </row>
    <row r="262" spans="22:24">
      <c r="V262" s="1"/>
      <c r="W262" s="1"/>
      <c r="X262" s="1"/>
    </row>
    <row r="263" spans="22:24">
      <c r="V263" s="1"/>
      <c r="W263" s="1"/>
      <c r="X263" s="1"/>
    </row>
    <row r="264" spans="22:24">
      <c r="V264" s="1"/>
      <c r="W264" s="1"/>
      <c r="X264" s="1"/>
    </row>
    <row r="265" spans="22:24">
      <c r="V265" s="1"/>
      <c r="W265" s="1"/>
      <c r="X265" s="1"/>
    </row>
    <row r="266" spans="22:24">
      <c r="V266" s="1"/>
      <c r="W266" s="1"/>
      <c r="X266" s="1"/>
    </row>
    <row r="267" spans="22:24">
      <c r="V267" s="1"/>
      <c r="W267" s="1"/>
      <c r="X267" s="1"/>
    </row>
    <row r="268" spans="22:24">
      <c r="V268" s="1"/>
      <c r="W268" s="1"/>
      <c r="X268" s="1"/>
    </row>
    <row r="269" spans="22:24">
      <c r="V269" s="1"/>
      <c r="W269" s="1"/>
      <c r="X269" s="1"/>
    </row>
    <row r="270" spans="22:24">
      <c r="V270" s="1"/>
      <c r="W270" s="1"/>
      <c r="X270" s="1"/>
    </row>
    <row r="271" spans="22:24">
      <c r="V271" s="1"/>
      <c r="W271" s="1"/>
      <c r="X271" s="1"/>
    </row>
    <row r="272" spans="22:24">
      <c r="V272" s="1"/>
      <c r="W272" s="1"/>
      <c r="X272" s="1"/>
    </row>
    <row r="273" spans="22:24">
      <c r="V273" s="1"/>
      <c r="W273" s="1"/>
      <c r="X273" s="1"/>
    </row>
    <row r="274" spans="22:24">
      <c r="V274" s="1"/>
      <c r="W274" s="1"/>
      <c r="X274" s="1"/>
    </row>
    <row r="275" spans="22:24">
      <c r="V275" s="1"/>
      <c r="W275" s="1"/>
      <c r="X275" s="1"/>
    </row>
    <row r="276" spans="22:24">
      <c r="V276" s="1"/>
      <c r="W276" s="1"/>
      <c r="X276" s="1"/>
    </row>
    <row r="277" spans="22:24">
      <c r="V277" s="1"/>
      <c r="W277" s="1"/>
      <c r="X277" s="1"/>
    </row>
    <row r="278" spans="22:24">
      <c r="V278" s="1"/>
      <c r="W278" s="1"/>
      <c r="X278" s="1"/>
    </row>
    <row r="279" spans="22:24">
      <c r="V279" s="1"/>
      <c r="W279" s="1"/>
      <c r="X279" s="1"/>
    </row>
    <row r="280" spans="22:24">
      <c r="V280" s="1"/>
      <c r="W280" s="1"/>
      <c r="X280" s="1"/>
    </row>
    <row r="281" spans="22:24">
      <c r="V281" s="1"/>
      <c r="W281" s="1"/>
      <c r="X281" s="1"/>
    </row>
    <row r="282" spans="22:24">
      <c r="V282" s="1"/>
      <c r="W282" s="1"/>
      <c r="X282" s="1"/>
    </row>
    <row r="283" spans="22:24">
      <c r="V283" s="1"/>
      <c r="W283" s="1"/>
      <c r="X283" s="1"/>
    </row>
    <row r="284" spans="22:24">
      <c r="V284" s="1"/>
      <c r="W284" s="1"/>
      <c r="X284" s="1"/>
    </row>
    <row r="285" spans="22:24">
      <c r="V285" s="1"/>
      <c r="W285" s="1"/>
      <c r="X285" s="1"/>
    </row>
    <row r="286" spans="22:24">
      <c r="V286" s="1"/>
      <c r="W286" s="1"/>
      <c r="X286" s="1"/>
    </row>
    <row r="287" spans="22:24">
      <c r="V287" s="1"/>
      <c r="W287" s="1"/>
      <c r="X287" s="1"/>
    </row>
    <row r="288" spans="22:24">
      <c r="V288" s="1"/>
      <c r="W288" s="1"/>
      <c r="X288" s="1"/>
    </row>
    <row r="289" spans="22:24">
      <c r="V289" s="1"/>
      <c r="W289" s="1"/>
      <c r="X289" s="1"/>
    </row>
    <row r="290" spans="22:24">
      <c r="V290" s="1"/>
      <c r="W290" s="1"/>
      <c r="X290" s="1"/>
    </row>
    <row r="291" spans="22:24">
      <c r="V291" s="1"/>
      <c r="W291" s="1"/>
      <c r="X291" s="1"/>
    </row>
    <row r="292" spans="22:24">
      <c r="V292" s="1"/>
      <c r="W292" s="1"/>
      <c r="X292" s="1"/>
    </row>
    <row r="293" spans="22:24">
      <c r="V293" s="1"/>
      <c r="W293" s="1"/>
      <c r="X293" s="1"/>
    </row>
    <row r="294" spans="22:24">
      <c r="V294" s="1"/>
      <c r="W294" s="1"/>
      <c r="X294" s="1"/>
    </row>
    <row r="295" spans="22:24">
      <c r="V295" s="1"/>
      <c r="W295" s="1"/>
      <c r="X295" s="1"/>
    </row>
    <row r="296" spans="22:24">
      <c r="V296" s="1"/>
      <c r="W296" s="1"/>
      <c r="X296" s="1"/>
    </row>
    <row r="297" spans="22:24">
      <c r="V297" s="1"/>
      <c r="W297" s="1"/>
      <c r="X297" s="1"/>
    </row>
    <row r="298" spans="22:24">
      <c r="V298" s="1"/>
      <c r="W298" s="1"/>
      <c r="X298" s="1"/>
    </row>
    <row r="299" spans="22:24">
      <c r="V299" s="1"/>
      <c r="W299" s="1"/>
      <c r="X299" s="1"/>
    </row>
    <row r="300" spans="22:24">
      <c r="V300" s="1"/>
      <c r="W300" s="1"/>
      <c r="X300" s="1"/>
    </row>
    <row r="301" spans="22:24">
      <c r="V301" s="1"/>
      <c r="W301" s="1"/>
      <c r="X301" s="1"/>
    </row>
    <row r="302" spans="22:24">
      <c r="V302" s="1"/>
      <c r="W302" s="1"/>
      <c r="X302" s="1"/>
    </row>
    <row r="303" spans="22:24">
      <c r="V303" s="1"/>
      <c r="W303" s="1"/>
      <c r="X303" s="1"/>
    </row>
    <row r="304" spans="22:24">
      <c r="V304" s="1"/>
      <c r="W304" s="1"/>
      <c r="X304" s="1"/>
    </row>
    <row r="305" spans="22:24">
      <c r="V305" s="1"/>
      <c r="W305" s="1"/>
      <c r="X305" s="1"/>
    </row>
    <row r="306" spans="22:24">
      <c r="V306" s="1"/>
      <c r="W306" s="1"/>
      <c r="X306" s="1"/>
    </row>
    <row r="307" spans="22:24">
      <c r="V307" s="1"/>
      <c r="W307" s="1"/>
      <c r="X307" s="1"/>
    </row>
    <row r="308" spans="22:24">
      <c r="V308" s="1"/>
      <c r="W308" s="1"/>
      <c r="X308" s="1"/>
    </row>
    <row r="309" spans="22:24">
      <c r="V309" s="1"/>
      <c r="W309" s="1"/>
      <c r="X309" s="1"/>
    </row>
    <row r="310" spans="22:24">
      <c r="V310" s="1"/>
      <c r="W310" s="1"/>
      <c r="X310" s="1"/>
    </row>
    <row r="311" spans="22:24">
      <c r="V311" s="1"/>
      <c r="W311" s="1"/>
      <c r="X311" s="1"/>
    </row>
    <row r="312" spans="22:24">
      <c r="V312" s="1"/>
      <c r="W312" s="1"/>
      <c r="X312" s="1"/>
    </row>
    <row r="313" spans="22:24">
      <c r="V313" s="1"/>
      <c r="W313" s="1"/>
      <c r="X313" s="1"/>
    </row>
    <row r="314" spans="22:24">
      <c r="V314" s="1"/>
      <c r="W314" s="1"/>
      <c r="X314" s="1"/>
    </row>
    <row r="315" spans="22:24">
      <c r="V315" s="1"/>
      <c r="W315" s="1"/>
      <c r="X315" s="1"/>
    </row>
    <row r="316" spans="22:24">
      <c r="V316" s="1"/>
      <c r="W316" s="1"/>
      <c r="X316" s="1"/>
    </row>
    <row r="317" spans="22:24">
      <c r="V317" s="1"/>
      <c r="W317" s="1"/>
      <c r="X317" s="1"/>
    </row>
    <row r="318" spans="22:24">
      <c r="V318" s="1"/>
      <c r="W318" s="1"/>
      <c r="X318" s="1"/>
    </row>
    <row r="319" spans="22:24">
      <c r="V319" s="1"/>
      <c r="W319" s="1"/>
      <c r="X319" s="1"/>
    </row>
    <row r="320" spans="22:24">
      <c r="V320" s="1"/>
      <c r="W320" s="1"/>
      <c r="X320" s="1"/>
    </row>
    <row r="321" spans="22:24">
      <c r="V321" s="1"/>
      <c r="W321" s="1"/>
      <c r="X321" s="1"/>
    </row>
    <row r="322" spans="22:24">
      <c r="V322" s="1"/>
      <c r="W322" s="1"/>
      <c r="X322" s="1"/>
    </row>
    <row r="323" spans="22:24">
      <c r="V323" s="1"/>
      <c r="W323" s="1"/>
      <c r="X323" s="1"/>
    </row>
    <row r="324" spans="22:24">
      <c r="V324" s="1"/>
      <c r="W324" s="1"/>
      <c r="X324" s="1"/>
    </row>
    <row r="325" spans="22:24">
      <c r="V325" s="1"/>
      <c r="W325" s="1"/>
      <c r="X325" s="1"/>
    </row>
    <row r="326" spans="22:24">
      <c r="V326" s="1"/>
      <c r="W326" s="1"/>
      <c r="X326" s="1"/>
    </row>
    <row r="327" spans="22:24">
      <c r="V327" s="1"/>
      <c r="W327" s="1"/>
      <c r="X327" s="1"/>
    </row>
    <row r="328" spans="22:24">
      <c r="V328" s="1"/>
      <c r="W328" s="1"/>
      <c r="X328" s="1"/>
    </row>
    <row r="329" spans="22:24">
      <c r="V329" s="1"/>
      <c r="W329" s="1"/>
      <c r="X329" s="1"/>
    </row>
    <row r="330" spans="22:24">
      <c r="V330" s="1"/>
      <c r="W330" s="1"/>
      <c r="X330" s="1"/>
    </row>
    <row r="331" spans="22:24">
      <c r="V331" s="1"/>
      <c r="W331" s="1"/>
      <c r="X331" s="1"/>
    </row>
    <row r="332" spans="22:24">
      <c r="V332" s="1"/>
      <c r="W332" s="1"/>
      <c r="X332" s="1"/>
    </row>
    <row r="333" spans="22:24">
      <c r="V333" s="1"/>
      <c r="W333" s="1"/>
      <c r="X333" s="1"/>
    </row>
    <row r="334" spans="22:24">
      <c r="V334" s="1"/>
      <c r="W334" s="1"/>
      <c r="X334" s="1"/>
    </row>
    <row r="335" spans="22:24">
      <c r="V335" s="1"/>
      <c r="W335" s="1"/>
      <c r="X335" s="1"/>
    </row>
    <row r="336" spans="22:24">
      <c r="V336" s="1"/>
      <c r="W336" s="1"/>
      <c r="X336" s="1"/>
    </row>
    <row r="337" spans="22:24">
      <c r="V337" s="1"/>
      <c r="W337" s="1"/>
      <c r="X337" s="1"/>
    </row>
    <row r="338" spans="22:24">
      <c r="V338" s="1"/>
      <c r="W338" s="1"/>
      <c r="X338" s="1"/>
    </row>
    <row r="339" spans="22:24">
      <c r="V339" s="1"/>
      <c r="W339" s="1"/>
      <c r="X339" s="1"/>
    </row>
    <row r="340" spans="22:24">
      <c r="V340" s="1"/>
      <c r="W340" s="1"/>
      <c r="X340" s="1"/>
    </row>
    <row r="341" spans="22:24">
      <c r="V341" s="1"/>
      <c r="W341" s="1"/>
      <c r="X341" s="1"/>
    </row>
    <row r="342" spans="22:24">
      <c r="V342" s="1"/>
      <c r="W342" s="1"/>
      <c r="X342" s="1"/>
    </row>
    <row r="343" spans="22:24">
      <c r="V343" s="1"/>
      <c r="W343" s="1"/>
      <c r="X343" s="1"/>
    </row>
    <row r="344" spans="22:24">
      <c r="V344" s="1"/>
      <c r="W344" s="1"/>
      <c r="X344" s="1"/>
    </row>
    <row r="345" spans="22:24">
      <c r="V345" s="1"/>
      <c r="W345" s="1"/>
      <c r="X345" s="1"/>
    </row>
    <row r="346" spans="22:24">
      <c r="V346" s="1"/>
      <c r="W346" s="1"/>
      <c r="X346" s="1"/>
    </row>
    <row r="347" spans="22:24">
      <c r="V347" s="1"/>
      <c r="W347" s="1"/>
      <c r="X347" s="1"/>
    </row>
    <row r="348" spans="22:24">
      <c r="V348" s="1"/>
      <c r="W348" s="1"/>
      <c r="X348" s="1"/>
    </row>
    <row r="349" spans="22:24">
      <c r="V349" s="1"/>
      <c r="W349" s="1"/>
      <c r="X349" s="1"/>
    </row>
    <row r="350" spans="22:24">
      <c r="V350" s="1"/>
      <c r="W350" s="1"/>
      <c r="X350" s="1"/>
    </row>
    <row r="351" spans="22:24">
      <c r="V351" s="1"/>
      <c r="W351" s="1"/>
      <c r="X351" s="1"/>
    </row>
    <row r="352" spans="22:24">
      <c r="V352" s="1"/>
      <c r="W352" s="1"/>
      <c r="X352" s="1"/>
    </row>
    <row r="353" spans="22:24">
      <c r="V353" s="1"/>
      <c r="W353" s="1"/>
      <c r="X353" s="1"/>
    </row>
  </sheetData>
  <phoneticPr fontId="0" type="noConversion"/>
  <pageMargins left="0.75" right="0.75" top="1" bottom="1" header="0" footer="0"/>
  <pageSetup scale="4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AM105"/>
  <sheetViews>
    <sheetView showGridLines="0" topLeftCell="A67" zoomScale="85" zoomScaleNormal="85" workbookViewId="0">
      <selection activeCell="L97" sqref="L97"/>
    </sheetView>
  </sheetViews>
  <sheetFormatPr baseColWidth="10" defaultColWidth="11.42578125" defaultRowHeight="15"/>
  <cols>
    <col min="1" max="1" width="9.42578125" style="1" customWidth="1"/>
    <col min="2" max="2" width="25.28515625" style="1" customWidth="1"/>
    <col min="3" max="3" width="5.7109375" style="1" customWidth="1"/>
    <col min="4" max="21" width="10.85546875" style="1" customWidth="1"/>
    <col min="22" max="26" width="12.140625" style="1" customWidth="1"/>
    <col min="27" max="16384" width="11.42578125" style="1"/>
  </cols>
  <sheetData>
    <row r="1" spans="2:39"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</row>
    <row r="3" spans="2:39">
      <c r="B3" s="851" t="s">
        <v>266</v>
      </c>
      <c r="C3" s="851"/>
      <c r="D3" s="851"/>
      <c r="E3" s="851"/>
      <c r="F3" s="851"/>
      <c r="G3" s="851"/>
      <c r="H3" s="851"/>
      <c r="I3" s="851"/>
    </row>
    <row r="4" spans="2:39" ht="15.75" thickBot="1"/>
    <row r="5" spans="2:39" ht="17.25" customHeight="1" thickBot="1">
      <c r="B5" s="5" t="s">
        <v>17</v>
      </c>
      <c r="C5" s="240"/>
      <c r="D5" s="241">
        <v>2001</v>
      </c>
      <c r="E5" s="241">
        <v>2002</v>
      </c>
      <c r="F5" s="241">
        <f>+E5+1</f>
        <v>2003</v>
      </c>
      <c r="G5" s="241">
        <f>+F5+1</f>
        <v>2004</v>
      </c>
      <c r="H5" s="242">
        <f>+G5+1</f>
        <v>2005</v>
      </c>
      <c r="I5" s="241">
        <f>+G5+1</f>
        <v>2005</v>
      </c>
      <c r="J5" s="241">
        <f t="shared" ref="J5:P5" si="0">+I5+1</f>
        <v>2006</v>
      </c>
      <c r="K5" s="243">
        <f t="shared" si="0"/>
        <v>2007</v>
      </c>
      <c r="L5" s="241">
        <f t="shared" si="0"/>
        <v>2008</v>
      </c>
      <c r="M5" s="243">
        <f t="shared" si="0"/>
        <v>2009</v>
      </c>
      <c r="N5" s="241">
        <f t="shared" si="0"/>
        <v>2010</v>
      </c>
      <c r="O5" s="243">
        <f t="shared" si="0"/>
        <v>2011</v>
      </c>
      <c r="P5" s="241">
        <f t="shared" si="0"/>
        <v>2012</v>
      </c>
      <c r="Q5" s="243">
        <f t="shared" ref="Q5:U5" si="1">+P5+1</f>
        <v>2013</v>
      </c>
      <c r="R5" s="241">
        <f t="shared" si="1"/>
        <v>2014</v>
      </c>
      <c r="S5" s="243">
        <f t="shared" si="1"/>
        <v>2015</v>
      </c>
      <c r="T5" s="241">
        <f t="shared" si="1"/>
        <v>2016</v>
      </c>
      <c r="U5" s="243">
        <f t="shared" si="1"/>
        <v>2017</v>
      </c>
    </row>
    <row r="6" spans="2:39" ht="15.75" customHeight="1">
      <c r="B6" s="244" t="str">
        <f>+'INPUT MAT'!B39</f>
        <v>Costo Gerencia</v>
      </c>
      <c r="C6" s="245"/>
      <c r="D6" s="245">
        <f>+'INPUT MAT'!D39</f>
        <v>1289142.8571428573</v>
      </c>
      <c r="E6" s="245">
        <f>+'INPUT MAT'!E39</f>
        <v>1192000</v>
      </c>
      <c r="F6" s="245">
        <f>+'INPUT MAT'!F39</f>
        <v>1484000</v>
      </c>
      <c r="G6" s="245">
        <f>+'INPUT MAT'!G39</f>
        <v>1252000</v>
      </c>
      <c r="H6" s="245">
        <f>+'INPUT MAT'!H39</f>
        <v>1401999.982234776</v>
      </c>
      <c r="I6" s="245">
        <f>+'INPUT MAT'!I39</f>
        <v>1401999.982234776</v>
      </c>
      <c r="J6" s="245">
        <f>+'INPUT MAT'!J39</f>
        <v>1164271</v>
      </c>
      <c r="K6" s="245">
        <f>+'INPUT MAT'!K39</f>
        <v>1052255.92</v>
      </c>
      <c r="L6" s="245">
        <f>+'INPUT MAT'!L39</f>
        <v>1106631.8999999999</v>
      </c>
      <c r="M6" s="245">
        <f>+'INPUT MAT'!M39</f>
        <v>966441.12</v>
      </c>
      <c r="N6" s="245">
        <f>+'INPUT MAT'!N39</f>
        <v>969436.08</v>
      </c>
      <c r="O6" s="245">
        <f>+'INPUT MAT'!O39</f>
        <v>1289350.49</v>
      </c>
      <c r="P6" s="245">
        <f>+'INPUT MAT'!P39</f>
        <v>1668087.51</v>
      </c>
      <c r="Q6" s="245">
        <f>+'INPUT MAT'!Q39</f>
        <v>1534085.2300000004</v>
      </c>
      <c r="R6" s="245">
        <f>+'INPUT MAT'!R39</f>
        <v>2118160.16</v>
      </c>
      <c r="S6" s="245">
        <f>+'INPUT MAT'!S39</f>
        <v>2232206.3599999985</v>
      </c>
      <c r="T6" s="245">
        <f>+'INPUT MAT'!T39</f>
        <v>1529086.5999999999</v>
      </c>
      <c r="U6" s="245">
        <f>+'INPUT MAT'!U39</f>
        <v>1751457.8200000003</v>
      </c>
    </row>
    <row r="7" spans="2:39" ht="15.75" customHeight="1">
      <c r="B7" s="244" t="str">
        <f>+'INPUT MAT'!B40</f>
        <v>Outsourcing</v>
      </c>
      <c r="C7" s="245"/>
      <c r="D7" s="245">
        <f>+'INPUT MAT'!D40</f>
        <v>2158857.1428571427</v>
      </c>
      <c r="E7" s="245">
        <f>+'INPUT MAT'!E40</f>
        <v>2548000</v>
      </c>
      <c r="F7" s="245">
        <f>+'INPUT MAT'!F40</f>
        <v>2523000</v>
      </c>
      <c r="G7" s="245">
        <f>+'INPUT MAT'!G40</f>
        <v>2334000</v>
      </c>
      <c r="H7" s="245">
        <f>+'INPUT MAT'!H40</f>
        <v>2081288</v>
      </c>
      <c r="I7" s="245">
        <f>+'INPUT MAT'!I40</f>
        <v>2104000</v>
      </c>
      <c r="J7" s="245">
        <f>+'INPUT MAT'!J40</f>
        <v>2659000</v>
      </c>
      <c r="K7" s="245">
        <f>+'INPUT MAT'!K40</f>
        <v>2574000</v>
      </c>
      <c r="L7" s="245">
        <f>+'INPUT MAT'!L40</f>
        <v>3217000</v>
      </c>
      <c r="M7" s="245">
        <f>+'INPUT MAT'!M40</f>
        <v>3335000</v>
      </c>
      <c r="N7" s="245">
        <f>+'INPUT MAT'!N40</f>
        <v>3265000</v>
      </c>
      <c r="O7" s="245">
        <f>+'INPUT MAT'!O40</f>
        <v>3800000</v>
      </c>
      <c r="P7" s="245">
        <f>+'INPUT MAT'!P40</f>
        <v>4731718.7699999996</v>
      </c>
      <c r="Q7" s="245">
        <f>+'INPUT MAT'!Q40</f>
        <v>5789000</v>
      </c>
      <c r="R7" s="245">
        <f>+'INPUT MAT'!R40</f>
        <v>7039000</v>
      </c>
      <c r="S7" s="245">
        <f>+'INPUT MAT'!S40</f>
        <v>6967000</v>
      </c>
      <c r="T7" s="245">
        <f>+'INPUT MAT'!T40</f>
        <v>6522322.4200000009</v>
      </c>
      <c r="U7" s="245">
        <f>+'INPUT MAT'!U40</f>
        <v>7099000</v>
      </c>
    </row>
    <row r="8" spans="2:39" ht="15.75" customHeight="1">
      <c r="B8" s="244" t="str">
        <f>+'INPUT MAT'!B41</f>
        <v>Servicios Tecnicos</v>
      </c>
      <c r="C8" s="245"/>
      <c r="D8" s="245">
        <f>+'INPUT MAT'!D41</f>
        <v>41142.857142857145</v>
      </c>
      <c r="E8" s="245">
        <f>+'INPUT MAT'!E41</f>
        <v>56000</v>
      </c>
      <c r="F8" s="245">
        <f>+'INPUT MAT'!F41</f>
        <v>61000</v>
      </c>
      <c r="G8" s="245">
        <f>+'INPUT MAT'!G41</f>
        <v>79000</v>
      </c>
      <c r="H8" s="245">
        <f>+'INPUT MAT'!H41</f>
        <v>83000</v>
      </c>
      <c r="I8" s="245">
        <f>+'INPUT MAT'!I41</f>
        <v>83000</v>
      </c>
      <c r="J8" s="245">
        <f>+'INPUT MAT'!J41</f>
        <v>196000</v>
      </c>
      <c r="K8" s="245">
        <f>+'INPUT MAT'!K41</f>
        <v>250000</v>
      </c>
      <c r="L8" s="245">
        <f>+'INPUT MAT'!L41</f>
        <v>267000</v>
      </c>
      <c r="M8" s="245">
        <f>+'INPUT MAT'!M41</f>
        <v>326000</v>
      </c>
      <c r="N8" s="245">
        <f>+'INPUT MAT'!N41</f>
        <v>348000</v>
      </c>
      <c r="O8" s="245">
        <f>+'INPUT MAT'!O41</f>
        <v>460000</v>
      </c>
      <c r="P8" s="245">
        <f>+'INPUT MAT'!P41</f>
        <v>496742</v>
      </c>
      <c r="Q8" s="245">
        <f>+'INPUT MAT'!Q41</f>
        <v>573000</v>
      </c>
      <c r="R8" s="245">
        <f>+'INPUT MAT'!R41</f>
        <v>639000</v>
      </c>
      <c r="S8" s="245">
        <f>+'INPUT MAT'!S41</f>
        <v>618000</v>
      </c>
      <c r="T8" s="245">
        <f>+'INPUT MAT'!T41</f>
        <v>671000</v>
      </c>
      <c r="U8" s="245">
        <f>+'INPUT MAT'!U41</f>
        <v>561000</v>
      </c>
    </row>
    <row r="9" spans="2:39" ht="15.75" customHeight="1">
      <c r="B9" s="244" t="str">
        <f>+'INPUT MAT'!B42</f>
        <v>Servicios Básicos</v>
      </c>
      <c r="C9" s="245"/>
      <c r="D9" s="245">
        <f>+'INPUT MAT'!D42</f>
        <v>1318857.142857143</v>
      </c>
      <c r="E9" s="245">
        <f>+'INPUT MAT'!E42</f>
        <v>1212000</v>
      </c>
      <c r="F9" s="245">
        <f>+'INPUT MAT'!F42</f>
        <v>1282000</v>
      </c>
      <c r="G9" s="245">
        <f>+'INPUT MAT'!G42</f>
        <v>1138000</v>
      </c>
      <c r="H9" s="245">
        <f>+'INPUT MAT'!H42</f>
        <v>1615887</v>
      </c>
      <c r="I9" s="245">
        <f>+'INPUT MAT'!I42</f>
        <v>1630000</v>
      </c>
      <c r="J9" s="245">
        <f>+'INPUT MAT'!J42</f>
        <v>1730000</v>
      </c>
      <c r="K9" s="245">
        <f>+'INPUT MAT'!K42</f>
        <v>1830000</v>
      </c>
      <c r="L9" s="245">
        <f>+'INPUT MAT'!L42</f>
        <v>1880000</v>
      </c>
      <c r="M9" s="245">
        <f>+'INPUT MAT'!M42</f>
        <v>2565000</v>
      </c>
      <c r="N9" s="245">
        <f>+'INPUT MAT'!N42</f>
        <v>2704000</v>
      </c>
      <c r="O9" s="245">
        <f>+'INPUT MAT'!O42</f>
        <v>3039000</v>
      </c>
      <c r="P9" s="245">
        <f>+'INPUT MAT'!P42</f>
        <v>3726556.69</v>
      </c>
      <c r="Q9" s="245">
        <f>+'INPUT MAT'!Q42</f>
        <v>3726000</v>
      </c>
      <c r="R9" s="245">
        <f>+'INPUT MAT'!R42</f>
        <v>3546000</v>
      </c>
      <c r="S9" s="245">
        <f>+'INPUT MAT'!S42</f>
        <v>3503754.74</v>
      </c>
      <c r="T9" s="245">
        <f>+'INPUT MAT'!T42</f>
        <v>2699118.5500000003</v>
      </c>
      <c r="U9" s="245">
        <f>+'INPUT MAT'!U42</f>
        <v>3555000</v>
      </c>
    </row>
    <row r="10" spans="2:39" ht="15.75" customHeight="1">
      <c r="B10" s="244" t="str">
        <f>+'INPUT MAT'!B43</f>
        <v>Mantenimiento</v>
      </c>
      <c r="C10" s="245"/>
      <c r="D10" s="245">
        <f>+'INPUT MAT'!D43</f>
        <v>181714.28571428571</v>
      </c>
      <c r="E10" s="245">
        <f>+'INPUT MAT'!E43</f>
        <v>320000</v>
      </c>
      <c r="F10" s="245">
        <f>+'INPUT MAT'!F43</f>
        <v>277000</v>
      </c>
      <c r="G10" s="245">
        <f>+'INPUT MAT'!G43</f>
        <v>400000</v>
      </c>
      <c r="H10" s="245">
        <f>+'INPUT MAT'!H43</f>
        <v>888176.77</v>
      </c>
      <c r="I10" s="245">
        <f>+'INPUT MAT'!I43</f>
        <v>1015000</v>
      </c>
      <c r="J10" s="245">
        <f>+'INPUT MAT'!J43</f>
        <v>1620000</v>
      </c>
      <c r="K10" s="245">
        <f>+'INPUT MAT'!K43</f>
        <v>1684000</v>
      </c>
      <c r="L10" s="245">
        <f>+'INPUT MAT'!L43</f>
        <v>1821000</v>
      </c>
      <c r="M10" s="245">
        <f>+'INPUT MAT'!M43</f>
        <v>2148000</v>
      </c>
      <c r="N10" s="245">
        <f>+'INPUT MAT'!N43</f>
        <v>2693000</v>
      </c>
      <c r="O10" s="245">
        <f>+'INPUT MAT'!O43</f>
        <v>2625000</v>
      </c>
      <c r="P10" s="245">
        <f>+'INPUT MAT'!P43</f>
        <v>3063230</v>
      </c>
      <c r="Q10" s="245">
        <f>+'INPUT MAT'!Q43</f>
        <v>2883000</v>
      </c>
      <c r="R10" s="245">
        <f>+'INPUT MAT'!R43</f>
        <v>3090000</v>
      </c>
      <c r="S10" s="245">
        <f>+'INPUT MAT'!S43</f>
        <v>3045519.94</v>
      </c>
      <c r="T10" s="245">
        <f>+'INPUT MAT'!T43</f>
        <v>3461000</v>
      </c>
      <c r="U10" s="245">
        <f>+'INPUT MAT'!U43</f>
        <v>4548000</v>
      </c>
    </row>
    <row r="11" spans="2:39" ht="15.75" customHeight="1">
      <c r="B11" s="244" t="str">
        <f>+'INPUT MAT'!B44</f>
        <v>Materiales</v>
      </c>
      <c r="C11" s="245"/>
      <c r="D11" s="245">
        <f>+'INPUT MAT'!D44</f>
        <v>362285.71428571426</v>
      </c>
      <c r="E11" s="245">
        <f>+'INPUT MAT'!E44</f>
        <v>393000</v>
      </c>
      <c r="F11" s="245">
        <f>+'INPUT MAT'!F44</f>
        <v>400000</v>
      </c>
      <c r="G11" s="245">
        <f>+'INPUT MAT'!G44</f>
        <v>353000</v>
      </c>
      <c r="H11" s="245">
        <f>+'INPUT MAT'!H44</f>
        <v>380964.87</v>
      </c>
      <c r="I11" s="245">
        <f>+'INPUT MAT'!I44</f>
        <v>395000</v>
      </c>
      <c r="J11" s="245">
        <f>+'INPUT MAT'!J44</f>
        <v>507000</v>
      </c>
      <c r="K11" s="245">
        <f>+'INPUT MAT'!K44</f>
        <v>590000</v>
      </c>
      <c r="L11" s="245">
        <f>+'INPUT MAT'!L44</f>
        <v>734000</v>
      </c>
      <c r="M11" s="245">
        <f>+'INPUT MAT'!M44</f>
        <v>783000</v>
      </c>
      <c r="N11" s="245">
        <f>+'INPUT MAT'!N44</f>
        <v>569000</v>
      </c>
      <c r="O11" s="245">
        <f>+'INPUT MAT'!O44</f>
        <v>955000</v>
      </c>
      <c r="P11" s="245">
        <f>+'INPUT MAT'!P44</f>
        <v>1192958.1299999999</v>
      </c>
      <c r="Q11" s="245">
        <f>+'INPUT MAT'!Q44</f>
        <v>943000</v>
      </c>
      <c r="R11" s="245">
        <f>+'INPUT MAT'!R44</f>
        <v>814000</v>
      </c>
      <c r="S11" s="245">
        <f>+'INPUT MAT'!S44</f>
        <v>839845.54999999993</v>
      </c>
      <c r="T11" s="245">
        <f>+'INPUT MAT'!T44</f>
        <v>1100901.5899999999</v>
      </c>
      <c r="U11" s="245">
        <f>+'INPUT MAT'!U44</f>
        <v>1236000</v>
      </c>
    </row>
    <row r="12" spans="2:39" ht="15.75" customHeight="1">
      <c r="B12" s="244" t="str">
        <f>+'INPUT MAT'!B45</f>
        <v>Impuestos</v>
      </c>
      <c r="C12" s="245"/>
      <c r="D12" s="245">
        <f>+'INPUT MAT'!D45</f>
        <v>187429</v>
      </c>
      <c r="E12" s="245">
        <f>+'INPUT MAT'!E45</f>
        <v>1014000</v>
      </c>
      <c r="F12" s="245">
        <f>+'INPUT MAT'!F45</f>
        <v>1159000</v>
      </c>
      <c r="G12" s="245">
        <f>+'INPUT MAT'!G45</f>
        <v>1291000</v>
      </c>
      <c r="H12" s="245">
        <f>+'INPUT MAT'!H45</f>
        <v>1642000</v>
      </c>
      <c r="I12" s="245">
        <f>+'INPUT MAT'!I45</f>
        <v>1642000</v>
      </c>
      <c r="J12" s="245">
        <f>+'INPUT MAT'!J45</f>
        <v>1811000</v>
      </c>
      <c r="K12" s="245">
        <f>+'INPUT MAT'!K45</f>
        <v>1227000</v>
      </c>
      <c r="L12" s="245">
        <f>+'INPUT MAT'!L45</f>
        <v>1312000</v>
      </c>
      <c r="M12" s="245">
        <f>+'INPUT MAT'!M45</f>
        <v>1437000</v>
      </c>
      <c r="N12" s="245">
        <f>+'INPUT MAT'!N45</f>
        <v>1449000</v>
      </c>
      <c r="O12" s="245">
        <f>+'INPUT MAT'!O45</f>
        <v>1438000</v>
      </c>
      <c r="P12" s="245">
        <f>+'INPUT MAT'!P45</f>
        <v>1658321.22</v>
      </c>
      <c r="Q12" s="245">
        <f>+'INPUT MAT'!Q45</f>
        <v>1809000</v>
      </c>
      <c r="R12" s="245">
        <f>+'INPUT MAT'!R45</f>
        <v>1378000</v>
      </c>
      <c r="S12" s="245">
        <f>+'INPUT MAT'!S45</f>
        <v>1816000</v>
      </c>
      <c r="T12" s="245">
        <f>+'INPUT MAT'!T45</f>
        <v>1522000</v>
      </c>
      <c r="U12" s="245">
        <f>+'INPUT MAT'!U45</f>
        <v>1146000</v>
      </c>
    </row>
    <row r="13" spans="2:39" ht="15.75" customHeight="1">
      <c r="B13" s="244" t="str">
        <f>+'INPUT MAT'!B46</f>
        <v>Seguros</v>
      </c>
      <c r="C13" s="245"/>
      <c r="D13" s="245">
        <f>+'INPUT MAT'!D46</f>
        <v>369142.85714285716</v>
      </c>
      <c r="E13" s="245">
        <f>+'INPUT MAT'!E46</f>
        <v>959000</v>
      </c>
      <c r="F13" s="245">
        <f>+'INPUT MAT'!F46</f>
        <v>1512000</v>
      </c>
      <c r="G13" s="245">
        <f>+'INPUT MAT'!G46</f>
        <v>1398000</v>
      </c>
      <c r="H13" s="245">
        <f>+'INPUT MAT'!H46</f>
        <v>1500000</v>
      </c>
      <c r="I13" s="245">
        <f>+'INPUT MAT'!I46</f>
        <v>1500000</v>
      </c>
      <c r="J13" s="245">
        <f>+'INPUT MAT'!J46</f>
        <v>1552000</v>
      </c>
      <c r="K13" s="245">
        <f>+'INPUT MAT'!K46</f>
        <v>1397000</v>
      </c>
      <c r="L13" s="245">
        <f>+'INPUT MAT'!L46</f>
        <v>1369000</v>
      </c>
      <c r="M13" s="245">
        <f>+'INPUT MAT'!M46</f>
        <v>1468000</v>
      </c>
      <c r="N13" s="245">
        <f>+'INPUT MAT'!N46</f>
        <v>1457000</v>
      </c>
      <c r="O13" s="245">
        <f>+'INPUT MAT'!O46</f>
        <v>1492000</v>
      </c>
      <c r="P13" s="245">
        <f>+'INPUT MAT'!P46</f>
        <v>1714008.15</v>
      </c>
      <c r="Q13" s="245">
        <f>+'INPUT MAT'!Q46</f>
        <v>1844000</v>
      </c>
      <c r="R13" s="245">
        <f>+'INPUT MAT'!R46</f>
        <v>1901000</v>
      </c>
      <c r="S13" s="245">
        <f>+'INPUT MAT'!S46</f>
        <v>1923417.7799999998</v>
      </c>
      <c r="T13" s="245">
        <f>+'INPUT MAT'!T46</f>
        <v>1723000</v>
      </c>
      <c r="U13" s="245">
        <f>+'INPUT MAT'!U46</f>
        <v>1597000</v>
      </c>
    </row>
    <row r="14" spans="2:39" ht="15.75" customHeight="1">
      <c r="B14" s="244" t="str">
        <f>+'INPUT MAT'!B47</f>
        <v>Consultorias</v>
      </c>
      <c r="C14" s="245"/>
      <c r="D14" s="245">
        <f>+'INPUT MAT'!D47</f>
        <v>1408000</v>
      </c>
      <c r="E14" s="245">
        <f>+'INPUT MAT'!E47</f>
        <v>396000</v>
      </c>
      <c r="F14" s="245">
        <f>+'INPUT MAT'!F47</f>
        <v>583000</v>
      </c>
      <c r="G14" s="245">
        <f>+'INPUT MAT'!G47</f>
        <v>938000</v>
      </c>
      <c r="H14" s="245">
        <f>+'INPUT MAT'!H47</f>
        <v>879000</v>
      </c>
      <c r="I14" s="245">
        <f>+'INPUT MAT'!I47</f>
        <v>879000</v>
      </c>
      <c r="J14" s="245">
        <f>+'INPUT MAT'!J47</f>
        <v>717000</v>
      </c>
      <c r="K14" s="245">
        <f>+'INPUT MAT'!K47</f>
        <v>608000</v>
      </c>
      <c r="L14" s="245">
        <f>+'INPUT MAT'!L47</f>
        <v>618000</v>
      </c>
      <c r="M14" s="245">
        <f>+'INPUT MAT'!M47</f>
        <v>785000</v>
      </c>
      <c r="N14" s="245">
        <f>+'INPUT MAT'!N47</f>
        <v>663000</v>
      </c>
      <c r="O14" s="245">
        <f>+'INPUT MAT'!O47</f>
        <v>551000</v>
      </c>
      <c r="P14" s="245">
        <f>+'INPUT MAT'!P47</f>
        <v>884620</v>
      </c>
      <c r="Q14" s="245">
        <f>+'INPUT MAT'!Q47</f>
        <v>1338000</v>
      </c>
      <c r="R14" s="245">
        <f>+'INPUT MAT'!R47</f>
        <v>1244000</v>
      </c>
      <c r="S14" s="245">
        <f>+'INPUT MAT'!S47</f>
        <v>1306000</v>
      </c>
      <c r="T14" s="245">
        <f>+'INPUT MAT'!T47</f>
        <v>1342000</v>
      </c>
      <c r="U14" s="245">
        <f>+'INPUT MAT'!U47</f>
        <v>1259000</v>
      </c>
    </row>
    <row r="15" spans="2:39" ht="15.75" customHeight="1">
      <c r="B15" s="244" t="str">
        <f>+'INPUT MAT'!B48</f>
        <v>Servicios de Terceros</v>
      </c>
      <c r="C15" s="245"/>
      <c r="D15" s="245">
        <f>+'INPUT MAT'!D48</f>
        <v>1474285.7142857143</v>
      </c>
      <c r="E15" s="245">
        <f>+'INPUT MAT'!E48</f>
        <v>1283000</v>
      </c>
      <c r="F15" s="245">
        <f>+'INPUT MAT'!F48</f>
        <v>1345000</v>
      </c>
      <c r="G15" s="245">
        <f>+'INPUT MAT'!G48</f>
        <v>1339000</v>
      </c>
      <c r="H15" s="245">
        <f>+'INPUT MAT'!H48</f>
        <v>1091262.9320375209</v>
      </c>
      <c r="I15" s="245">
        <f>+'INPUT MAT'!I48</f>
        <v>1110000</v>
      </c>
      <c r="J15" s="245">
        <f>+'INPUT MAT'!J48</f>
        <v>1312000</v>
      </c>
      <c r="K15" s="245">
        <f>+'INPUT MAT'!K48</f>
        <v>2152000</v>
      </c>
      <c r="L15" s="245">
        <f>+'INPUT MAT'!L48</f>
        <v>2186000</v>
      </c>
      <c r="M15" s="245">
        <f>+'INPUT MAT'!M48</f>
        <v>1783000</v>
      </c>
      <c r="N15" s="245">
        <f>+'INPUT MAT'!N48</f>
        <v>2185000</v>
      </c>
      <c r="O15" s="245">
        <f>+'INPUT MAT'!O48</f>
        <v>3253000</v>
      </c>
      <c r="P15" s="245">
        <f>+'INPUT MAT'!P48</f>
        <v>2203805</v>
      </c>
      <c r="Q15" s="245">
        <f>+'INPUT MAT'!Q48</f>
        <v>2007000</v>
      </c>
      <c r="R15" s="245">
        <f>+'INPUT MAT'!R48</f>
        <v>2269000</v>
      </c>
      <c r="S15" s="245">
        <f>+'INPUT MAT'!S48</f>
        <v>1931000</v>
      </c>
      <c r="T15" s="245">
        <f>+'INPUT MAT'!T48</f>
        <v>2999000</v>
      </c>
      <c r="U15" s="245">
        <f>+'INPUT MAT'!U48</f>
        <v>2608000</v>
      </c>
    </row>
    <row r="16" spans="2:39" ht="15.75" customHeight="1">
      <c r="B16" s="244" t="str">
        <f>+'INPUT MAT'!B49</f>
        <v>Otros Gastos</v>
      </c>
      <c r="C16" s="245"/>
      <c r="D16" s="245">
        <f>+'INPUT MAT'!D49</f>
        <v>260571.42857142858</v>
      </c>
      <c r="E16" s="245">
        <f>+'INPUT MAT'!E49</f>
        <v>836000</v>
      </c>
      <c r="F16" s="245">
        <f>+'INPUT MAT'!F49</f>
        <v>798000</v>
      </c>
      <c r="G16" s="245">
        <f>+'INPUT MAT'!G49</f>
        <v>1150000</v>
      </c>
      <c r="H16" s="245">
        <f>+'INPUT MAT'!H49</f>
        <v>821000</v>
      </c>
      <c r="I16" s="245">
        <f>+'INPUT MAT'!I49</f>
        <v>821000</v>
      </c>
      <c r="J16" s="245">
        <f>+'INPUT MAT'!J49</f>
        <v>744000</v>
      </c>
      <c r="K16" s="245">
        <f>+'INPUT MAT'!K49</f>
        <v>748000</v>
      </c>
      <c r="L16" s="245">
        <f>+'INPUT MAT'!L49</f>
        <v>840000</v>
      </c>
      <c r="M16" s="245">
        <f>+'INPUT MAT'!M49</f>
        <v>649000</v>
      </c>
      <c r="N16" s="245">
        <f>+'INPUT MAT'!N49</f>
        <v>666000</v>
      </c>
      <c r="O16" s="245">
        <f>+'INPUT MAT'!O49</f>
        <v>883000</v>
      </c>
      <c r="P16" s="245">
        <f>+'INPUT MAT'!P49</f>
        <v>1180140.3399999999</v>
      </c>
      <c r="Q16" s="245">
        <f>+'INPUT MAT'!Q49</f>
        <v>1577000</v>
      </c>
      <c r="R16" s="245">
        <f>+'INPUT MAT'!R49</f>
        <v>1484000</v>
      </c>
      <c r="S16" s="245">
        <f>+'INPUT MAT'!S49</f>
        <v>1285788.17</v>
      </c>
      <c r="T16" s="245">
        <f>+'INPUT MAT'!T49</f>
        <v>1137000</v>
      </c>
      <c r="U16" s="245">
        <f>+'INPUT MAT'!U49</f>
        <v>1515000</v>
      </c>
    </row>
    <row r="17" spans="2:21" ht="21.75" customHeight="1" thickBot="1">
      <c r="B17" s="246" t="s">
        <v>209</v>
      </c>
      <c r="C17" s="247"/>
      <c r="D17" s="248">
        <f>SUM(D6:D16)</f>
        <v>9051429</v>
      </c>
      <c r="E17" s="248">
        <f t="shared" ref="E17:O17" si="2">SUM(E6:E16)</f>
        <v>10209000</v>
      </c>
      <c r="F17" s="248">
        <f t="shared" si="2"/>
        <v>11424000</v>
      </c>
      <c r="G17" s="248">
        <f t="shared" si="2"/>
        <v>11672000</v>
      </c>
      <c r="H17" s="248">
        <f t="shared" si="2"/>
        <v>12384579.554272298</v>
      </c>
      <c r="I17" s="248">
        <f t="shared" si="2"/>
        <v>12580999.982234776</v>
      </c>
      <c r="J17" s="248">
        <f t="shared" si="2"/>
        <v>14012271</v>
      </c>
      <c r="K17" s="248">
        <f t="shared" si="2"/>
        <v>14112255.92</v>
      </c>
      <c r="L17" s="248">
        <f t="shared" si="2"/>
        <v>15350631.9</v>
      </c>
      <c r="M17" s="248">
        <f t="shared" si="2"/>
        <v>16245441.120000001</v>
      </c>
      <c r="N17" s="248">
        <f t="shared" si="2"/>
        <v>16968436.079999998</v>
      </c>
      <c r="O17" s="248">
        <f t="shared" si="2"/>
        <v>19785350.490000002</v>
      </c>
      <c r="P17" s="248">
        <f>SUM(P6:P16)</f>
        <v>22520187.809999999</v>
      </c>
      <c r="Q17" s="248">
        <f t="shared" ref="Q17:U17" si="3">SUM(Q6:Q16)</f>
        <v>24023085.23</v>
      </c>
      <c r="R17" s="248">
        <f t="shared" si="3"/>
        <v>25522160.16</v>
      </c>
      <c r="S17" s="248">
        <f t="shared" si="3"/>
        <v>25468532.539999999</v>
      </c>
      <c r="T17" s="248">
        <f t="shared" si="3"/>
        <v>24706429.16</v>
      </c>
      <c r="U17" s="248">
        <f t="shared" si="3"/>
        <v>26875457.82</v>
      </c>
    </row>
    <row r="18" spans="2:21">
      <c r="B18" s="249"/>
      <c r="C18" s="249"/>
      <c r="D18" s="250"/>
      <c r="E18" s="250"/>
      <c r="F18" s="250"/>
      <c r="G18" s="251"/>
      <c r="H18" s="251"/>
      <c r="I18" s="250"/>
      <c r="J18" s="250"/>
      <c r="K18" s="250"/>
    </row>
    <row r="19" spans="2:21" ht="15.75" thickBot="1">
      <c r="B19" s="64"/>
      <c r="C19" s="64"/>
      <c r="D19" s="252"/>
      <c r="E19" s="252"/>
      <c r="F19" s="252"/>
      <c r="G19" s="252"/>
      <c r="H19" s="252"/>
      <c r="I19" s="252"/>
      <c r="J19" s="252"/>
      <c r="K19" s="252"/>
    </row>
    <row r="20" spans="2:21" ht="15.75" thickBot="1">
      <c r="B20" s="5"/>
      <c r="C20" s="240">
        <v>2000</v>
      </c>
      <c r="D20" s="241">
        <v>2001</v>
      </c>
      <c r="E20" s="241">
        <v>2002</v>
      </c>
      <c r="F20" s="241">
        <f>+E20+1</f>
        <v>2003</v>
      </c>
      <c r="G20" s="241">
        <f>+F20+1</f>
        <v>2004</v>
      </c>
      <c r="H20" s="242">
        <f>+G20+1</f>
        <v>2005</v>
      </c>
      <c r="I20" s="241">
        <f>+G20+1</f>
        <v>2005</v>
      </c>
      <c r="J20" s="241">
        <f t="shared" ref="J20:P20" si="4">+I20+1</f>
        <v>2006</v>
      </c>
      <c r="K20" s="243">
        <f t="shared" si="4"/>
        <v>2007</v>
      </c>
      <c r="L20" s="241">
        <f t="shared" si="4"/>
        <v>2008</v>
      </c>
      <c r="M20" s="243">
        <f t="shared" si="4"/>
        <v>2009</v>
      </c>
      <c r="N20" s="241">
        <f t="shared" si="4"/>
        <v>2010</v>
      </c>
      <c r="O20" s="243">
        <f t="shared" si="4"/>
        <v>2011</v>
      </c>
      <c r="P20" s="241">
        <f t="shared" si="4"/>
        <v>2012</v>
      </c>
      <c r="Q20" s="243">
        <f t="shared" ref="Q20:U20" si="5">+P20+1</f>
        <v>2013</v>
      </c>
      <c r="R20" s="241">
        <f t="shared" si="5"/>
        <v>2014</v>
      </c>
      <c r="S20" s="243">
        <f t="shared" si="5"/>
        <v>2015</v>
      </c>
      <c r="T20" s="241">
        <f t="shared" si="5"/>
        <v>2016</v>
      </c>
      <c r="U20" s="243">
        <f t="shared" si="5"/>
        <v>2017</v>
      </c>
    </row>
    <row r="21" spans="2:21">
      <c r="B21" s="357" t="s">
        <v>407</v>
      </c>
      <c r="C21" s="253">
        <f>+'INDICE K'!D16</f>
        <v>3.4898989942879823</v>
      </c>
      <c r="D21" s="253">
        <f>+'INDICE K'!E16</f>
        <v>3.5081126425913269</v>
      </c>
      <c r="E21" s="253">
        <f>+'INDICE K'!F16</f>
        <v>3.517656815333789</v>
      </c>
      <c r="F21" s="253">
        <f>+'INDICE K'!G16</f>
        <v>3.4792066378066377</v>
      </c>
      <c r="G21" s="253">
        <f>+'INDICE K'!H16</f>
        <v>3.4138200263504608</v>
      </c>
      <c r="H21" s="253">
        <f>+'INDICE K'!I16</f>
        <v>3.2966895268474219</v>
      </c>
      <c r="I21" s="253">
        <f>+'INDICE K'!J16</f>
        <v>3.2966895268474219</v>
      </c>
      <c r="J21" s="253">
        <f>+'INDICE K'!K16</f>
        <v>3.274568173714369</v>
      </c>
      <c r="K21" s="253">
        <f>+'INDICE K'!L16</f>
        <v>3.1289604987848416</v>
      </c>
      <c r="L21" s="253">
        <f>+'INDICE K'!M16</f>
        <v>2.9259183042834356</v>
      </c>
      <c r="M21" s="253">
        <f>+'INDICE K'!N16</f>
        <v>3.012204403053087</v>
      </c>
      <c r="N21" s="253">
        <f>+'INDICE K'!O16</f>
        <v>2.8257854861131761</v>
      </c>
      <c r="O21" s="253">
        <f>+'INDICE K'!P16</f>
        <v>2.7547087220274009</v>
      </c>
      <c r="P21" s="253">
        <f>+'INDICE K'!Q16</f>
        <v>2.6381924723424732</v>
      </c>
      <c r="Q21" s="253">
        <f>+'INDICE K'!R16</f>
        <v>2.702781988114225</v>
      </c>
      <c r="R21" s="253">
        <f>+'INDICE K'!S16</f>
        <v>2.839381132756134</v>
      </c>
      <c r="S21" s="253">
        <f>+'INDICE K'!T16</f>
        <v>3.186090710678211</v>
      </c>
      <c r="T21" s="253">
        <f>+'INDICE K'!U16</f>
        <v>3.3771255534670011</v>
      </c>
      <c r="U21" s="253">
        <f>+'INDICE K'!V16</f>
        <v>3.2621647500000002</v>
      </c>
    </row>
    <row r="22" spans="2:21">
      <c r="B22" s="348" t="s">
        <v>405</v>
      </c>
      <c r="C22" s="254">
        <f>ROUND(ECO!B16,2)</f>
        <v>97.34</v>
      </c>
      <c r="D22" s="254">
        <f>ROUND(ECO!C16,2)</f>
        <v>100.67</v>
      </c>
      <c r="E22" s="254">
        <f>ROUND(ECO!D16,2)</f>
        <v>101.13</v>
      </c>
      <c r="F22" s="254">
        <f>ROUND(ECO!E16,2)</f>
        <v>105.31</v>
      </c>
      <c r="G22" s="254">
        <f>ROUND(ECO!F16,2)</f>
        <v>108.21</v>
      </c>
      <c r="H22" s="254">
        <f>ROUND(ECO!G16,2)</f>
        <v>111.12</v>
      </c>
      <c r="I22" s="254">
        <f>+H22</f>
        <v>111.12</v>
      </c>
      <c r="J22" s="254">
        <f>ROUND(ECO!H16,2)</f>
        <v>113.21</v>
      </c>
      <c r="K22" s="254">
        <f>ROUND(ECO!I16,2)</f>
        <v>114.72</v>
      </c>
      <c r="L22" s="254">
        <f>ROUND(ECO!J16,2)</f>
        <v>119.31</v>
      </c>
      <c r="M22" s="254">
        <f>ROUND(ECO!K16,2)</f>
        <v>122.03</v>
      </c>
      <c r="N22" s="254">
        <f>ROUND(ECO!L16,2)</f>
        <v>124.92</v>
      </c>
      <c r="O22" s="254">
        <f>ROUND(ECO!M16,2)</f>
        <v>129.51</v>
      </c>
      <c r="P22" s="254">
        <f>ROUND(ECO!N16,2)</f>
        <v>134.41999999999999</v>
      </c>
      <c r="Q22" s="254">
        <f>ROUND(ECO!O16,2)</f>
        <v>139.46</v>
      </c>
      <c r="R22" s="254">
        <f>ROUND(ECO!P16,2)</f>
        <v>144.88</v>
      </c>
      <c r="S22" s="254">
        <f>ROUND(ECO!Q16,2)</f>
        <v>149.72</v>
      </c>
      <c r="T22" s="254">
        <f>ROUND(ECO!R16,2)</f>
        <v>155.46</v>
      </c>
      <c r="U22" s="254">
        <f>ROUND(ECO!S16,2)</f>
        <v>160.46</v>
      </c>
    </row>
    <row r="23" spans="2:21">
      <c r="B23" s="187" t="s">
        <v>207</v>
      </c>
      <c r="C23" s="189"/>
      <c r="D23" s="815">
        <f>((D21/C21)-1)</f>
        <v>5.2189614464932532E-3</v>
      </c>
      <c r="E23" s="815">
        <f>((E21/D21)-1)</f>
        <v>2.7206004238826687E-3</v>
      </c>
      <c r="F23" s="815">
        <f>((F21/E21)-1)</f>
        <v>-1.0930622157210856E-2</v>
      </c>
      <c r="G23" s="815">
        <f>((G21/F21)-1)</f>
        <v>-1.8793540672651154E-2</v>
      </c>
      <c r="H23" s="815">
        <f>((H21/G21)-1)</f>
        <v>-3.4310683808442266E-2</v>
      </c>
      <c r="I23" s="815">
        <f>+H23</f>
        <v>-3.4310683808442266E-2</v>
      </c>
      <c r="J23" s="815">
        <f t="shared" ref="J23:P23" si="6">((J21/I21)-1)</f>
        <v>-6.7101718111159947E-3</v>
      </c>
      <c r="K23" s="815">
        <f t="shared" si="6"/>
        <v>-4.4466221866550248E-2</v>
      </c>
      <c r="L23" s="815">
        <f t="shared" si="6"/>
        <v>-6.4891261676284895E-2</v>
      </c>
      <c r="M23" s="815">
        <f t="shared" si="6"/>
        <v>2.9490262473607531E-2</v>
      </c>
      <c r="N23" s="815">
        <f t="shared" si="6"/>
        <v>-6.1887870806829004E-2</v>
      </c>
      <c r="O23" s="815">
        <f t="shared" si="6"/>
        <v>-2.5152922766101482E-2</v>
      </c>
      <c r="P23" s="815">
        <f t="shared" si="6"/>
        <v>-4.229712156252019E-2</v>
      </c>
      <c r="Q23" s="815">
        <f t="shared" ref="Q23:U23" si="7">((Q21/P21)-1)</f>
        <v>2.4482488085640686E-2</v>
      </c>
      <c r="R23" s="815">
        <f t="shared" si="7"/>
        <v>5.0540200890274667E-2</v>
      </c>
      <c r="S23" s="815">
        <f t="shared" si="7"/>
        <v>0.12210744585230526</v>
      </c>
      <c r="T23" s="815">
        <f t="shared" si="7"/>
        <v>5.9959009374257688E-2</v>
      </c>
      <c r="U23" s="815">
        <f t="shared" si="7"/>
        <v>-3.4041021468384725E-2</v>
      </c>
    </row>
    <row r="24" spans="2:21">
      <c r="B24" s="255" t="s">
        <v>406</v>
      </c>
      <c r="C24" s="189"/>
      <c r="D24" s="815">
        <f>'INDICE MAT'!D22/'INDICE MAT'!C22-1</f>
        <v>3.4209985617423389E-2</v>
      </c>
      <c r="E24" s="815">
        <f>'INDICE MAT'!E22/'INDICE MAT'!D22-1</f>
        <v>4.5693851196979551E-3</v>
      </c>
      <c r="F24" s="815">
        <f>'INDICE MAT'!F22/'INDICE MAT'!E22-1</f>
        <v>4.1332937802828207E-2</v>
      </c>
      <c r="G24" s="815">
        <f>'INDICE MAT'!G22/'INDICE MAT'!F22-1</f>
        <v>2.7537745703162031E-2</v>
      </c>
      <c r="H24" s="815">
        <f>'INDICE MAT'!H22/'INDICE MAT'!G22-1</f>
        <v>2.6892154144718683E-2</v>
      </c>
      <c r="I24" s="815">
        <f>+H24</f>
        <v>2.6892154144718683E-2</v>
      </c>
      <c r="J24" s="815">
        <f>'INDICE MAT'!J22/'INDICE MAT'!I22-1</f>
        <v>1.8808495320374208E-2</v>
      </c>
      <c r="K24" s="815">
        <f>'INDICE MAT'!K22/'INDICE MAT'!J22-1</f>
        <v>1.3338044342372735E-2</v>
      </c>
      <c r="L24" s="815">
        <f>'INDICE MAT'!L22/'INDICE MAT'!K22-1</f>
        <v>4.0010460251046043E-2</v>
      </c>
      <c r="M24" s="815">
        <f>'INDICE MAT'!M22/'INDICE MAT'!L22-1</f>
        <v>2.2797753750733341E-2</v>
      </c>
      <c r="N24" s="815">
        <f>'INDICE MAT'!N22/'INDICE MAT'!M22-1</f>
        <v>2.3682700975170112E-2</v>
      </c>
      <c r="O24" s="815">
        <f>'INDICE MAT'!O22/'INDICE MAT'!N22-1</f>
        <v>3.6743515850143904E-2</v>
      </c>
      <c r="P24" s="815">
        <f>'INDICE MAT'!P22/'INDICE MAT'!O22-1</f>
        <v>3.7912130337425687E-2</v>
      </c>
      <c r="Q24" s="815">
        <f>'INDICE MAT'!Q22/'INDICE MAT'!P22-1</f>
        <v>3.7494420473143997E-2</v>
      </c>
      <c r="R24" s="815">
        <f>'INDICE MAT'!R22/'INDICE MAT'!Q22-1</f>
        <v>3.8864190448874236E-2</v>
      </c>
      <c r="S24" s="815">
        <f>'INDICE MAT'!S22/'INDICE MAT'!R22-1</f>
        <v>3.3406957482054134E-2</v>
      </c>
      <c r="T24" s="815">
        <f>'INDICE MAT'!T22/'INDICE MAT'!S22-1</f>
        <v>3.8338231365215192E-2</v>
      </c>
      <c r="U24" s="815">
        <f>'INDICE MAT'!U22/'INDICE MAT'!T22-1</f>
        <v>3.2162614177280391E-2</v>
      </c>
    </row>
    <row r="25" spans="2:21" ht="15.75" thickBot="1">
      <c r="B25" s="256" t="s">
        <v>525</v>
      </c>
      <c r="C25" s="190">
        <v>1</v>
      </c>
      <c r="D25" s="190">
        <f>C25*((1+D24)/(1+D23))</f>
        <v>1.0288405066784778</v>
      </c>
      <c r="E25" s="190">
        <f>D25*((1+E24)/(1+E23))</f>
        <v>1.0307374504356699</v>
      </c>
      <c r="F25" s="190">
        <f>E25*((1+F24)/(1+F23))</f>
        <v>1.0852027991267756</v>
      </c>
      <c r="G25" s="190">
        <f>F25*((1+G24)/(1+G23))</f>
        <v>1.1364446567238451</v>
      </c>
      <c r="H25" s="190">
        <f>G25*((1+H24)/(1+H23))</f>
        <v>1.2084695171028619</v>
      </c>
      <c r="I25" s="190">
        <f>+H25</f>
        <v>1.2084695171028619</v>
      </c>
      <c r="J25" s="190">
        <f t="shared" ref="J25:P25" si="8">I25*((1+J24)/(1+J23))</f>
        <v>1.2395163782206589</v>
      </c>
      <c r="K25" s="190">
        <f t="shared" si="8"/>
        <v>1.3144999490128368</v>
      </c>
      <c r="L25" s="597">
        <f t="shared" si="8"/>
        <v>1.4619622734180437</v>
      </c>
      <c r="M25" s="190">
        <f t="shared" si="8"/>
        <v>1.4524583513082276</v>
      </c>
      <c r="N25" s="190">
        <f t="shared" si="8"/>
        <v>1.5849453832346552</v>
      </c>
      <c r="O25" s="190">
        <f t="shared" si="8"/>
        <v>1.6855790897046468</v>
      </c>
      <c r="P25" s="190">
        <f t="shared" si="8"/>
        <v>1.8267492175672493</v>
      </c>
      <c r="Q25" s="190">
        <f t="shared" ref="Q25:U25" si="9">P25*((1+Q24)/(1+Q23))</f>
        <v>1.8499507242638895</v>
      </c>
      <c r="R25" s="190">
        <f t="shared" si="9"/>
        <v>1.8293898319208106</v>
      </c>
      <c r="S25" s="190">
        <f t="shared" si="9"/>
        <v>1.6847799978886553</v>
      </c>
      <c r="T25" s="190">
        <f t="shared" si="9"/>
        <v>1.6504142780765942</v>
      </c>
      <c r="U25" s="190">
        <f t="shared" si="9"/>
        <v>1.7635282176522491</v>
      </c>
    </row>
    <row r="26" spans="2:21">
      <c r="D26" s="183"/>
      <c r="E26" s="183"/>
      <c r="F26" s="183"/>
      <c r="G26" s="183"/>
      <c r="H26" s="183"/>
      <c r="I26" s="183"/>
      <c r="J26" s="183"/>
      <c r="K26" s="183"/>
    </row>
    <row r="27" spans="2:21" ht="15.75" thickBot="1">
      <c r="D27" s="257"/>
    </row>
    <row r="28" spans="2:21" ht="15.75" thickBot="1">
      <c r="B28" s="5" t="s">
        <v>210</v>
      </c>
      <c r="C28" s="240"/>
      <c r="D28" s="241">
        <v>2001</v>
      </c>
      <c r="E28" s="241">
        <v>2002</v>
      </c>
      <c r="F28" s="241">
        <f>+E28+1</f>
        <v>2003</v>
      </c>
      <c r="G28" s="241">
        <f>+F28+1</f>
        <v>2004</v>
      </c>
      <c r="H28" s="242">
        <f>+G28+1</f>
        <v>2005</v>
      </c>
      <c r="I28" s="241">
        <f>+G28+1</f>
        <v>2005</v>
      </c>
      <c r="J28" s="241">
        <f t="shared" ref="J28:P28" si="10">+I28+1</f>
        <v>2006</v>
      </c>
      <c r="K28" s="243">
        <f t="shared" si="10"/>
        <v>2007</v>
      </c>
      <c r="L28" s="241">
        <f t="shared" si="10"/>
        <v>2008</v>
      </c>
      <c r="M28" s="243">
        <f t="shared" si="10"/>
        <v>2009</v>
      </c>
      <c r="N28" s="241">
        <f t="shared" si="10"/>
        <v>2010</v>
      </c>
      <c r="O28" s="243">
        <f t="shared" si="10"/>
        <v>2011</v>
      </c>
      <c r="P28" s="241">
        <f t="shared" si="10"/>
        <v>2012</v>
      </c>
      <c r="Q28" s="243">
        <f t="shared" ref="Q28:U28" si="11">+P28+1</f>
        <v>2013</v>
      </c>
      <c r="R28" s="241">
        <f t="shared" si="11"/>
        <v>2014</v>
      </c>
      <c r="S28" s="243">
        <f t="shared" si="11"/>
        <v>2015</v>
      </c>
      <c r="T28" s="241">
        <f t="shared" si="11"/>
        <v>2016</v>
      </c>
      <c r="U28" s="243">
        <f t="shared" si="11"/>
        <v>2017</v>
      </c>
    </row>
    <row r="29" spans="2:21" ht="15.75" customHeight="1">
      <c r="B29" s="244" t="str">
        <f t="shared" ref="B29:B39" si="12">+B6</f>
        <v>Costo Gerencia</v>
      </c>
      <c r="C29" s="245"/>
      <c r="D29" s="245">
        <f t="shared" ref="D29:O29" si="13">D6/D$25</f>
        <v>1253005.5424282847</v>
      </c>
      <c r="E29" s="245">
        <f t="shared" si="13"/>
        <v>1156453.5658388739</v>
      </c>
      <c r="F29" s="245">
        <f t="shared" si="13"/>
        <v>1367486.3363733694</v>
      </c>
      <c r="G29" s="245">
        <f t="shared" si="13"/>
        <v>1101681.4524072639</v>
      </c>
      <c r="H29" s="245">
        <f t="shared" si="13"/>
        <v>1160145.0945952502</v>
      </c>
      <c r="I29" s="245">
        <f t="shared" si="13"/>
        <v>1160145.0945952502</v>
      </c>
      <c r="J29" s="245">
        <f t="shared" si="13"/>
        <v>939294.56718540937</v>
      </c>
      <c r="K29" s="245">
        <f t="shared" si="13"/>
        <v>800499.01925840555</v>
      </c>
      <c r="L29" s="245">
        <f t="shared" si="13"/>
        <v>756949.69707577524</v>
      </c>
      <c r="M29" s="245">
        <f t="shared" si="13"/>
        <v>665383.01709617185</v>
      </c>
      <c r="N29" s="245">
        <f t="shared" si="13"/>
        <v>611652.67286467273</v>
      </c>
      <c r="O29" s="245">
        <f t="shared" si="13"/>
        <v>764930.28293672332</v>
      </c>
      <c r="P29" s="245">
        <f t="shared" ref="P29:Q39" si="14">P6/P$25</f>
        <v>913145.32611184311</v>
      </c>
      <c r="Q29" s="245">
        <f t="shared" si="14"/>
        <v>829257.34717092291</v>
      </c>
      <c r="R29" s="245">
        <f t="shared" ref="R29:U29" si="15">R6/R$25</f>
        <v>1157850.6248588844</v>
      </c>
      <c r="S29" s="245">
        <f t="shared" si="15"/>
        <v>1324924.5378015947</v>
      </c>
      <c r="T29" s="245">
        <f t="shared" si="15"/>
        <v>926486.53147984727</v>
      </c>
      <c r="U29" s="245">
        <f t="shared" si="15"/>
        <v>993155.54039258987</v>
      </c>
    </row>
    <row r="30" spans="2:21" ht="15.75" customHeight="1">
      <c r="B30" s="244" t="str">
        <f t="shared" si="12"/>
        <v>Outsourcing</v>
      </c>
      <c r="C30" s="245"/>
      <c r="D30" s="245">
        <f t="shared" ref="D30:O30" si="16">D7/D$25</f>
        <v>2098339.9553608415</v>
      </c>
      <c r="E30" s="245">
        <f t="shared" si="16"/>
        <v>2472016.51489719</v>
      </c>
      <c r="F30" s="245">
        <f t="shared" si="16"/>
        <v>2324911.0691846437</v>
      </c>
      <c r="G30" s="245">
        <f t="shared" si="16"/>
        <v>2053773.570222487</v>
      </c>
      <c r="H30" s="245">
        <f t="shared" si="16"/>
        <v>1722251.1371156464</v>
      </c>
      <c r="I30" s="245">
        <f t="shared" si="16"/>
        <v>1741045.156889061</v>
      </c>
      <c r="J30" s="245">
        <f t="shared" si="16"/>
        <v>2145191.5010732068</v>
      </c>
      <c r="K30" s="245">
        <f t="shared" si="16"/>
        <v>1958159.0717694759</v>
      </c>
      <c r="L30" s="245">
        <f t="shared" si="16"/>
        <v>2200467.1792786466</v>
      </c>
      <c r="M30" s="245">
        <f t="shared" si="16"/>
        <v>2296107.1462022779</v>
      </c>
      <c r="N30" s="245">
        <f t="shared" si="16"/>
        <v>2060007.8933550282</v>
      </c>
      <c r="O30" s="245">
        <f t="shared" si="16"/>
        <v>2254418.0947723133</v>
      </c>
      <c r="P30" s="245">
        <f t="shared" si="14"/>
        <v>2590239.9324968141</v>
      </c>
      <c r="Q30" s="245">
        <f t="shared" si="14"/>
        <v>3129272.5390312709</v>
      </c>
      <c r="R30" s="245">
        <f t="shared" ref="R30:U30" si="17">R7/R$25</f>
        <v>3847731.0178384655</v>
      </c>
      <c r="S30" s="245">
        <f t="shared" si="17"/>
        <v>4135258.0210656319</v>
      </c>
      <c r="T30" s="245">
        <f t="shared" si="17"/>
        <v>3951930.4374906202</v>
      </c>
      <c r="U30" s="245">
        <f t="shared" si="17"/>
        <v>4025453.025895305</v>
      </c>
    </row>
    <row r="31" spans="2:21" ht="15.75" customHeight="1">
      <c r="B31" s="244" t="str">
        <f t="shared" si="12"/>
        <v>Servicios Tecnicos</v>
      </c>
      <c r="C31" s="245"/>
      <c r="D31" s="245">
        <f t="shared" ref="D31:O31" si="18">D8/D$25</f>
        <v>39989.53858813674</v>
      </c>
      <c r="E31" s="245">
        <f t="shared" si="18"/>
        <v>54330.03329444374</v>
      </c>
      <c r="F31" s="245">
        <f t="shared" si="18"/>
        <v>56210.691724242279</v>
      </c>
      <c r="G31" s="245">
        <f t="shared" si="18"/>
        <v>69515.043722183575</v>
      </c>
      <c r="H31" s="245">
        <f t="shared" si="18"/>
        <v>68681.914459026651</v>
      </c>
      <c r="I31" s="245">
        <f t="shared" si="18"/>
        <v>68681.914459026651</v>
      </c>
      <c r="J31" s="245">
        <f t="shared" si="18"/>
        <v>158126.18811972492</v>
      </c>
      <c r="K31" s="245">
        <f t="shared" si="18"/>
        <v>190186.39003200037</v>
      </c>
      <c r="L31" s="245">
        <f t="shared" si="18"/>
        <v>182631.25174616059</v>
      </c>
      <c r="M31" s="245">
        <f t="shared" si="18"/>
        <v>224447.05537089732</v>
      </c>
      <c r="N31" s="245">
        <f t="shared" si="18"/>
        <v>219565.92553983151</v>
      </c>
      <c r="O31" s="245">
        <f t="shared" si="18"/>
        <v>272903.24305138527</v>
      </c>
      <c r="P31" s="245">
        <f t="shared" si="14"/>
        <v>271926.76215377281</v>
      </c>
      <c r="Q31" s="245">
        <f t="shared" si="14"/>
        <v>309737.97976592125</v>
      </c>
      <c r="R31" s="245">
        <f t="shared" ref="R31:U31" si="19">R8/R$25</f>
        <v>349296.79221462982</v>
      </c>
      <c r="S31" s="245">
        <f t="shared" si="19"/>
        <v>366813.47165473812</v>
      </c>
      <c r="T31" s="245">
        <f t="shared" si="19"/>
        <v>406564.58739680116</v>
      </c>
      <c r="U31" s="245">
        <f t="shared" si="19"/>
        <v>318112.29011512414</v>
      </c>
    </row>
    <row r="32" spans="2:21" ht="15.75" customHeight="1">
      <c r="B32" s="244" t="str">
        <f t="shared" si="12"/>
        <v>Servicios Básicos</v>
      </c>
      <c r="C32" s="245"/>
      <c r="D32" s="245">
        <f t="shared" ref="D32:O32" si="20">D9/D$25</f>
        <v>1281886.87585305</v>
      </c>
      <c r="E32" s="245">
        <f t="shared" si="20"/>
        <v>1175857.1491583181</v>
      </c>
      <c r="F32" s="245">
        <f t="shared" si="20"/>
        <v>1181346.0129586656</v>
      </c>
      <c r="G32" s="245">
        <f t="shared" si="20"/>
        <v>1001368.6045043659</v>
      </c>
      <c r="H32" s="245">
        <f t="shared" si="20"/>
        <v>1337135.0928849783</v>
      </c>
      <c r="I32" s="245">
        <f t="shared" si="20"/>
        <v>1348813.5008218486</v>
      </c>
      <c r="J32" s="245">
        <f t="shared" si="20"/>
        <v>1395705.6400363476</v>
      </c>
      <c r="K32" s="245">
        <f t="shared" si="20"/>
        <v>1392164.3750342429</v>
      </c>
      <c r="L32" s="245">
        <f t="shared" si="20"/>
        <v>1285942.8961901944</v>
      </c>
      <c r="M32" s="245">
        <f t="shared" si="20"/>
        <v>1765971.4632710172</v>
      </c>
      <c r="N32" s="245">
        <f t="shared" si="20"/>
        <v>1706052.4789071965</v>
      </c>
      <c r="O32" s="245">
        <f t="shared" si="20"/>
        <v>1802941.2078981737</v>
      </c>
      <c r="P32" s="245">
        <f t="shared" si="14"/>
        <v>2039993.5876051972</v>
      </c>
      <c r="Q32" s="245">
        <f t="shared" si="14"/>
        <v>2014107.7008862523</v>
      </c>
      <c r="R32" s="245">
        <f t="shared" ref="R32:U32" si="21">R9/R$25</f>
        <v>1938351.2131347065</v>
      </c>
      <c r="S32" s="245">
        <f t="shared" si="21"/>
        <v>2079651.1974209456</v>
      </c>
      <c r="T32" s="245">
        <f t="shared" si="21"/>
        <v>1635418.8071770526</v>
      </c>
      <c r="U32" s="245">
        <f t="shared" si="21"/>
        <v>2015845.2608899577</v>
      </c>
    </row>
    <row r="33" spans="2:23" ht="15.75" customHeight="1">
      <c r="B33" s="244" t="str">
        <f t="shared" si="12"/>
        <v>Mantenimiento</v>
      </c>
      <c r="C33" s="245"/>
      <c r="D33" s="245">
        <f t="shared" ref="D33:O33" si="22">D10/D$25</f>
        <v>176620.46209760392</v>
      </c>
      <c r="E33" s="245">
        <f t="shared" si="22"/>
        <v>310457.33311110712</v>
      </c>
      <c r="F33" s="245">
        <f t="shared" si="22"/>
        <v>255251.82963303459</v>
      </c>
      <c r="G33" s="245">
        <f t="shared" si="22"/>
        <v>351974.90492244851</v>
      </c>
      <c r="H33" s="245">
        <f t="shared" si="22"/>
        <v>734960.011344995</v>
      </c>
      <c r="I33" s="245">
        <f t="shared" si="22"/>
        <v>839905.3394688199</v>
      </c>
      <c r="J33" s="245">
        <f t="shared" si="22"/>
        <v>1306961.3507854815</v>
      </c>
      <c r="K33" s="245">
        <f t="shared" si="22"/>
        <v>1281095.5232555545</v>
      </c>
      <c r="L33" s="245">
        <f t="shared" si="22"/>
        <v>1245586.1776395447</v>
      </c>
      <c r="M33" s="245">
        <f t="shared" si="22"/>
        <v>1478872.0090082437</v>
      </c>
      <c r="N33" s="245">
        <f t="shared" si="22"/>
        <v>1699112.1766631214</v>
      </c>
      <c r="O33" s="245">
        <f t="shared" si="22"/>
        <v>1557328.289151927</v>
      </c>
      <c r="P33" s="245">
        <f t="shared" si="14"/>
        <v>1676874.9484285635</v>
      </c>
      <c r="Q33" s="245">
        <f t="shared" si="14"/>
        <v>1558419.8877227767</v>
      </c>
      <c r="R33" s="245">
        <f t="shared" ref="R33:U33" si="23">R10/R$25</f>
        <v>1689087.7745590082</v>
      </c>
      <c r="S33" s="245">
        <f t="shared" si="23"/>
        <v>1807666.2494905011</v>
      </c>
      <c r="T33" s="245">
        <f t="shared" si="23"/>
        <v>2097049.2354401324</v>
      </c>
      <c r="U33" s="245">
        <f t="shared" si="23"/>
        <v>2578921.0257461397</v>
      </c>
    </row>
    <row r="34" spans="2:23" ht="15.75" customHeight="1">
      <c r="B34" s="244" t="str">
        <f t="shared" si="12"/>
        <v>Materiales</v>
      </c>
      <c r="C34" s="245"/>
      <c r="D34" s="245">
        <f t="shared" ref="D34:O35" si="24">D11/D$25</f>
        <v>352130.10367887071</v>
      </c>
      <c r="E34" s="245">
        <f t="shared" si="24"/>
        <v>381280.4122270784</v>
      </c>
      <c r="F34" s="245">
        <f t="shared" si="24"/>
        <v>368594.69983109686</v>
      </c>
      <c r="G34" s="245">
        <f t="shared" si="24"/>
        <v>310617.85359406081</v>
      </c>
      <c r="H34" s="245">
        <f t="shared" si="24"/>
        <v>315245.74232812296</v>
      </c>
      <c r="I34" s="245">
        <f t="shared" si="24"/>
        <v>326859.7133893437</v>
      </c>
      <c r="J34" s="245">
        <f t="shared" si="24"/>
        <v>409030.4968199007</v>
      </c>
      <c r="K34" s="245">
        <f t="shared" si="24"/>
        <v>448839.88047552091</v>
      </c>
      <c r="L34" s="245">
        <f t="shared" si="24"/>
        <v>502064.93925723544</v>
      </c>
      <c r="M34" s="245">
        <f t="shared" si="24"/>
        <v>539086.02563010005</v>
      </c>
      <c r="N34" s="245">
        <f t="shared" si="24"/>
        <v>359002.9069889774</v>
      </c>
      <c r="O34" s="245">
        <f t="shared" si="24"/>
        <v>566570.863291463</v>
      </c>
      <c r="P34" s="245">
        <f t="shared" si="14"/>
        <v>653049.755559062</v>
      </c>
      <c r="Q34" s="245">
        <f t="shared" si="14"/>
        <v>509743.30701442191</v>
      </c>
      <c r="R34" s="245">
        <f t="shared" ref="R34:U35" si="25">R11/R$25</f>
        <v>444957.10307153157</v>
      </c>
      <c r="S34" s="245">
        <f t="shared" si="25"/>
        <v>498489.74409269082</v>
      </c>
      <c r="T34" s="245">
        <f t="shared" si="25"/>
        <v>667045.60462419118</v>
      </c>
      <c r="U34" s="245">
        <f t="shared" si="25"/>
        <v>700867.7193980274</v>
      </c>
    </row>
    <row r="35" spans="2:23" ht="15.75" customHeight="1">
      <c r="B35" s="244" t="str">
        <f t="shared" si="12"/>
        <v>Impuestos</v>
      </c>
      <c r="C35" s="245"/>
      <c r="D35" s="245">
        <f t="shared" si="24"/>
        <v>182174.98123698321</v>
      </c>
      <c r="E35" s="245">
        <f t="shared" si="24"/>
        <v>983761.67429582065</v>
      </c>
      <c r="F35" s="245">
        <f t="shared" si="24"/>
        <v>1068003.1427606032</v>
      </c>
      <c r="G35" s="245">
        <f t="shared" si="24"/>
        <v>1135999.0056372026</v>
      </c>
      <c r="H35" s="245">
        <f t="shared" si="24"/>
        <v>1358743.4161653223</v>
      </c>
      <c r="I35" s="245">
        <f t="shared" si="24"/>
        <v>1358743.4161653223</v>
      </c>
      <c r="J35" s="245">
        <f t="shared" si="24"/>
        <v>1461053.7075756215</v>
      </c>
      <c r="K35" s="245">
        <f t="shared" si="24"/>
        <v>933434.8022770579</v>
      </c>
      <c r="L35" s="245">
        <f t="shared" si="24"/>
        <v>897423.97861783777</v>
      </c>
      <c r="M35" s="245">
        <f t="shared" si="24"/>
        <v>989357.11217171606</v>
      </c>
      <c r="N35" s="245">
        <f t="shared" si="24"/>
        <v>914227.0865149881</v>
      </c>
      <c r="O35" s="245">
        <f t="shared" si="24"/>
        <v>853119.26849541755</v>
      </c>
      <c r="P35" s="245">
        <f t="shared" si="14"/>
        <v>907799.05859680555</v>
      </c>
      <c r="Q35" s="245">
        <f t="shared" si="14"/>
        <v>977863.88376361527</v>
      </c>
      <c r="R35" s="245">
        <f t="shared" si="25"/>
        <v>753256.61920463212</v>
      </c>
      <c r="S35" s="245">
        <f t="shared" si="25"/>
        <v>1077885.5413025962</v>
      </c>
      <c r="T35" s="245">
        <f t="shared" si="25"/>
        <v>922192.7004738173</v>
      </c>
      <c r="U35" s="245">
        <f t="shared" si="25"/>
        <v>649833.66216030705</v>
      </c>
    </row>
    <row r="36" spans="2:23" ht="15.75" customHeight="1">
      <c r="B36" s="244" t="str">
        <f t="shared" si="12"/>
        <v>Seguros</v>
      </c>
      <c r="C36" s="245"/>
      <c r="D36" s="245">
        <f t="shared" ref="D36:O36" si="26">D13/D$25</f>
        <v>358795.02677689353</v>
      </c>
      <c r="E36" s="245">
        <f t="shared" si="26"/>
        <v>930401.82016734907</v>
      </c>
      <c r="F36" s="245">
        <f t="shared" si="26"/>
        <v>1393287.9653615463</v>
      </c>
      <c r="G36" s="245">
        <f t="shared" si="26"/>
        <v>1230152.2927039575</v>
      </c>
      <c r="H36" s="245">
        <f t="shared" si="26"/>
        <v>1241239.4179342166</v>
      </c>
      <c r="I36" s="245">
        <f t="shared" si="26"/>
        <v>1241239.4179342166</v>
      </c>
      <c r="J36" s="245">
        <f t="shared" si="26"/>
        <v>1252101.244703128</v>
      </c>
      <c r="K36" s="245">
        <f t="shared" si="26"/>
        <v>1062761.547498818</v>
      </c>
      <c r="L36" s="245">
        <f t="shared" si="26"/>
        <v>936412.67281083832</v>
      </c>
      <c r="M36" s="245">
        <f t="shared" si="26"/>
        <v>1010700.2370689487</v>
      </c>
      <c r="N36" s="245">
        <f t="shared" si="26"/>
        <v>919274.57905613363</v>
      </c>
      <c r="O36" s="245">
        <f t="shared" si="26"/>
        <v>885155.73615797143</v>
      </c>
      <c r="P36" s="245">
        <f t="shared" si="14"/>
        <v>938283.22657371056</v>
      </c>
      <c r="Q36" s="245">
        <f t="shared" si="14"/>
        <v>996783.30661144643</v>
      </c>
      <c r="R36" s="245">
        <f t="shared" ref="R36:U36" si="27">R13/R$25</f>
        <v>1039144.2910798299</v>
      </c>
      <c r="S36" s="245">
        <f t="shared" si="27"/>
        <v>1141643.2901686882</v>
      </c>
      <c r="T36" s="245">
        <f t="shared" si="27"/>
        <v>1043980.3041500573</v>
      </c>
      <c r="U36" s="245">
        <f t="shared" si="27"/>
        <v>905570.99342932831</v>
      </c>
    </row>
    <row r="37" spans="2:23" ht="15.75" customHeight="1">
      <c r="B37" s="244" t="str">
        <f t="shared" si="12"/>
        <v>Consultorias</v>
      </c>
      <c r="C37" s="245"/>
      <c r="D37" s="245">
        <f t="shared" ref="D37:O37" si="28">D14/D$25</f>
        <v>1368530.8761273462</v>
      </c>
      <c r="E37" s="245">
        <f t="shared" si="28"/>
        <v>384190.94972499501</v>
      </c>
      <c r="F37" s="245">
        <f t="shared" si="28"/>
        <v>537226.77500382368</v>
      </c>
      <c r="G37" s="245">
        <f t="shared" si="28"/>
        <v>825381.15204314177</v>
      </c>
      <c r="H37" s="245">
        <f t="shared" si="28"/>
        <v>727366.29890945088</v>
      </c>
      <c r="I37" s="245">
        <f t="shared" si="28"/>
        <v>727366.29890945088</v>
      </c>
      <c r="J37" s="245">
        <f t="shared" si="28"/>
        <v>578451.41266246303</v>
      </c>
      <c r="K37" s="245">
        <f t="shared" si="28"/>
        <v>462533.3005578249</v>
      </c>
      <c r="L37" s="245">
        <f t="shared" si="28"/>
        <v>422719.52651358518</v>
      </c>
      <c r="M37" s="245">
        <f t="shared" si="28"/>
        <v>540463.00142992148</v>
      </c>
      <c r="N37" s="245">
        <f t="shared" si="28"/>
        <v>418310.94434743759</v>
      </c>
      <c r="O37" s="245">
        <f t="shared" si="28"/>
        <v>326890.62374198542</v>
      </c>
      <c r="P37" s="245">
        <f t="shared" si="14"/>
        <v>484259.13721100794</v>
      </c>
      <c r="Q37" s="245">
        <f t="shared" si="14"/>
        <v>723262.50772565906</v>
      </c>
      <c r="R37" s="245">
        <f t="shared" ref="R37:U37" si="29">R14/R$25</f>
        <v>680008.15260563302</v>
      </c>
      <c r="S37" s="245">
        <f t="shared" si="29"/>
        <v>775175.39479140448</v>
      </c>
      <c r="T37" s="245">
        <f t="shared" si="29"/>
        <v>813129.17479360232</v>
      </c>
      <c r="U37" s="245">
        <f t="shared" si="29"/>
        <v>713909.75624766713</v>
      </c>
    </row>
    <row r="38" spans="2:23" ht="15.75" customHeight="1">
      <c r="B38" s="244" t="str">
        <f t="shared" si="12"/>
        <v>Servicios de Terceros</v>
      </c>
      <c r="C38" s="245"/>
      <c r="D38" s="245">
        <f t="shared" ref="D38:O38" si="30">D15/D$25</f>
        <v>1432958.4660748998</v>
      </c>
      <c r="E38" s="245">
        <f t="shared" si="30"/>
        <v>1244739.869942345</v>
      </c>
      <c r="F38" s="245">
        <f t="shared" si="30"/>
        <v>1239399.6781820634</v>
      </c>
      <c r="G38" s="245">
        <f t="shared" si="30"/>
        <v>1178235.9942278964</v>
      </c>
      <c r="H38" s="245">
        <f t="shared" si="30"/>
        <v>903012.37771695934</v>
      </c>
      <c r="I38" s="245">
        <f t="shared" si="30"/>
        <v>918517.16927132022</v>
      </c>
      <c r="J38" s="245">
        <f t="shared" si="30"/>
        <v>1058477.3408830566</v>
      </c>
      <c r="K38" s="245">
        <f t="shared" si="30"/>
        <v>1637124.4453954592</v>
      </c>
      <c r="L38" s="245">
        <f t="shared" si="30"/>
        <v>1495250.6229105133</v>
      </c>
      <c r="M38" s="245">
        <f t="shared" si="30"/>
        <v>1227573.9255408279</v>
      </c>
      <c r="N38" s="245">
        <f t="shared" si="30"/>
        <v>1378596.4003003789</v>
      </c>
      <c r="O38" s="245">
        <f t="shared" si="30"/>
        <v>1929900.5427090356</v>
      </c>
      <c r="P38" s="245">
        <f t="shared" si="14"/>
        <v>1206408.071128061</v>
      </c>
      <c r="Q38" s="245">
        <f t="shared" si="14"/>
        <v>1084893.7615884887</v>
      </c>
      <c r="R38" s="245">
        <f t="shared" ref="R38:U38" si="31">R15/R$25</f>
        <v>1240304.2590532005</v>
      </c>
      <c r="S38" s="245">
        <f t="shared" si="31"/>
        <v>1146143.7115943355</v>
      </c>
      <c r="T38" s="245">
        <f t="shared" si="31"/>
        <v>1817119.5195275808</v>
      </c>
      <c r="U38" s="245">
        <f t="shared" si="31"/>
        <v>1478853.5697330546</v>
      </c>
    </row>
    <row r="39" spans="2:23" ht="15.75" customHeight="1">
      <c r="B39" s="244" t="str">
        <f t="shared" si="12"/>
        <v>Otros Gastos</v>
      </c>
      <c r="C39" s="245"/>
      <c r="D39" s="245">
        <f t="shared" ref="D39:O39" si="32">D16/D$25</f>
        <v>253267.07772486602</v>
      </c>
      <c r="E39" s="245">
        <f t="shared" si="32"/>
        <v>811069.78275276732</v>
      </c>
      <c r="F39" s="245">
        <f t="shared" si="32"/>
        <v>735346.42616303824</v>
      </c>
      <c r="G39" s="245">
        <f t="shared" si="32"/>
        <v>1011927.8516520394</v>
      </c>
      <c r="H39" s="245">
        <f t="shared" si="32"/>
        <v>679371.70808266115</v>
      </c>
      <c r="I39" s="245">
        <f t="shared" si="32"/>
        <v>679371.70808266115</v>
      </c>
      <c r="J39" s="245">
        <f t="shared" si="32"/>
        <v>600234.10184222111</v>
      </c>
      <c r="K39" s="245">
        <f t="shared" si="32"/>
        <v>569037.6789757451</v>
      </c>
      <c r="L39" s="245">
        <f t="shared" si="32"/>
        <v>574570.23021264002</v>
      </c>
      <c r="M39" s="245">
        <f t="shared" si="32"/>
        <v>446828.64704206242</v>
      </c>
      <c r="N39" s="245">
        <f t="shared" si="32"/>
        <v>420203.75405036716</v>
      </c>
      <c r="O39" s="245">
        <f t="shared" si="32"/>
        <v>523855.57307472441</v>
      </c>
      <c r="P39" s="245">
        <f t="shared" si="14"/>
        <v>646033.0343382532</v>
      </c>
      <c r="Q39" s="245">
        <f t="shared" si="14"/>
        <v>852455.13802942028</v>
      </c>
      <c r="R39" s="245">
        <f t="shared" ref="R39:U39" si="33">R16/R$25</f>
        <v>811199.43606652692</v>
      </c>
      <c r="S39" s="245">
        <f t="shared" si="33"/>
        <v>763178.6771040333</v>
      </c>
      <c r="T39" s="245">
        <f t="shared" si="33"/>
        <v>688917.93721335754</v>
      </c>
      <c r="U39" s="245">
        <f t="shared" si="33"/>
        <v>859073.29683496081</v>
      </c>
    </row>
    <row r="40" spans="2:23" ht="15.75" thickBot="1">
      <c r="B40" s="246" t="s">
        <v>29</v>
      </c>
      <c r="C40" s="247"/>
      <c r="D40" s="248">
        <f>SUM(D29:D39)</f>
        <v>8797698.9059477765</v>
      </c>
      <c r="E40" s="248">
        <f t="shared" ref="E40:J40" si="34">SUM(E29:E39)</f>
        <v>9904559.1054102872</v>
      </c>
      <c r="F40" s="248">
        <f t="shared" si="34"/>
        <v>10527064.627176128</v>
      </c>
      <c r="G40" s="248">
        <f t="shared" si="34"/>
        <v>10270627.725637047</v>
      </c>
      <c r="H40" s="248">
        <f t="shared" si="34"/>
        <v>10248152.211536629</v>
      </c>
      <c r="I40" s="248">
        <f t="shared" si="34"/>
        <v>10410688.729986321</v>
      </c>
      <c r="J40" s="248">
        <f t="shared" si="34"/>
        <v>11304627.551686559</v>
      </c>
      <c r="K40" s="248">
        <f t="shared" ref="K40:P40" si="35">SUM(K29:K39)</f>
        <v>10735836.034530107</v>
      </c>
      <c r="L40" s="248">
        <f t="shared" si="35"/>
        <v>10500019.172252972</v>
      </c>
      <c r="M40" s="248">
        <f t="shared" si="35"/>
        <v>11184789.639832182</v>
      </c>
      <c r="N40" s="248">
        <f t="shared" si="35"/>
        <v>10706006.818588134</v>
      </c>
      <c r="O40" s="248">
        <f t="shared" si="35"/>
        <v>11738013.725281121</v>
      </c>
      <c r="P40" s="248">
        <f t="shared" si="35"/>
        <v>12328012.84020309</v>
      </c>
      <c r="Q40" s="248">
        <f t="shared" ref="Q40:U40" si="36">SUM(Q29:Q39)</f>
        <v>12985797.359310197</v>
      </c>
      <c r="R40" s="248">
        <f t="shared" si="36"/>
        <v>13951187.28368705</v>
      </c>
      <c r="S40" s="248">
        <f t="shared" si="36"/>
        <v>15116829.836487161</v>
      </c>
      <c r="T40" s="248">
        <f t="shared" si="36"/>
        <v>14969834.839767061</v>
      </c>
      <c r="U40" s="248">
        <f t="shared" si="36"/>
        <v>15239596.140842464</v>
      </c>
    </row>
    <row r="42" spans="2:23">
      <c r="B42" s="71"/>
      <c r="C42" s="71"/>
    </row>
    <row r="43" spans="2:23">
      <c r="B43" s="71"/>
      <c r="C43" s="71"/>
    </row>
    <row r="44" spans="2:23" ht="15.75" thickBot="1">
      <c r="I44" s="258"/>
    </row>
    <row r="45" spans="2:23" ht="30">
      <c r="B45" s="98" t="s">
        <v>292</v>
      </c>
      <c r="C45" s="259"/>
      <c r="D45" s="260">
        <v>2001</v>
      </c>
      <c r="E45" s="260">
        <v>2002</v>
      </c>
      <c r="F45" s="260">
        <f>+E45+1</f>
        <v>2003</v>
      </c>
      <c r="G45" s="260">
        <f>+F45+1</f>
        <v>2004</v>
      </c>
      <c r="H45" s="261">
        <f>+G45+1</f>
        <v>2005</v>
      </c>
      <c r="I45" s="260">
        <f>+G45+1</f>
        <v>2005</v>
      </c>
      <c r="J45" s="260">
        <f t="shared" ref="J45:P45" si="37">+I45+1</f>
        <v>2006</v>
      </c>
      <c r="K45" s="262">
        <f t="shared" si="37"/>
        <v>2007</v>
      </c>
      <c r="L45" s="260">
        <f t="shared" si="37"/>
        <v>2008</v>
      </c>
      <c r="M45" s="262">
        <f t="shared" si="37"/>
        <v>2009</v>
      </c>
      <c r="N45" s="260">
        <f t="shared" si="37"/>
        <v>2010</v>
      </c>
      <c r="O45" s="262">
        <f t="shared" si="37"/>
        <v>2011</v>
      </c>
      <c r="P45" s="260">
        <f t="shared" si="37"/>
        <v>2012</v>
      </c>
      <c r="Q45" s="262">
        <f t="shared" ref="Q45:U45" si="38">+P45+1</f>
        <v>2013</v>
      </c>
      <c r="R45" s="260">
        <f t="shared" si="38"/>
        <v>2014</v>
      </c>
      <c r="S45" s="262">
        <f t="shared" si="38"/>
        <v>2015</v>
      </c>
      <c r="T45" s="260">
        <f t="shared" si="38"/>
        <v>2016</v>
      </c>
      <c r="U45" s="262">
        <f t="shared" si="38"/>
        <v>2017</v>
      </c>
    </row>
    <row r="46" spans="2:23" ht="16.5" customHeight="1">
      <c r="B46" s="244" t="str">
        <f t="shared" ref="B46:B55" si="39">+B6</f>
        <v>Costo Gerencia</v>
      </c>
      <c r="C46" s="245"/>
      <c r="D46" s="263">
        <f t="shared" ref="D46:O46" si="40">($D6/$D29)*D29</f>
        <v>1289142.8571428573</v>
      </c>
      <c r="E46" s="263">
        <f t="shared" si="40"/>
        <v>1189806.2726277993</v>
      </c>
      <c r="F46" s="263">
        <f t="shared" si="40"/>
        <v>1406925.3351902727</v>
      </c>
      <c r="G46" s="263">
        <f t="shared" si="40"/>
        <v>1133454.5036929708</v>
      </c>
      <c r="H46" s="263">
        <f t="shared" si="40"/>
        <v>1193604.2669439279</v>
      </c>
      <c r="I46" s="263">
        <f t="shared" si="40"/>
        <v>1193604.2669439279</v>
      </c>
      <c r="J46" s="263">
        <f t="shared" si="40"/>
        <v>966384.29842337815</v>
      </c>
      <c r="K46" s="263">
        <f t="shared" si="40"/>
        <v>823585.81656944251</v>
      </c>
      <c r="L46" s="263">
        <f t="shared" si="40"/>
        <v>778780.50986956095</v>
      </c>
      <c r="M46" s="263">
        <f t="shared" si="40"/>
        <v>684573.00044447975</v>
      </c>
      <c r="N46" s="263">
        <f t="shared" si="40"/>
        <v>629293.04586133512</v>
      </c>
      <c r="O46" s="263">
        <f t="shared" si="40"/>
        <v>786991.25987032987</v>
      </c>
      <c r="P46" s="263">
        <f t="shared" ref="P46:Q52" si="41">($D6/$D29)*P29</f>
        <v>939480.89998799248</v>
      </c>
      <c r="Q46" s="263">
        <f t="shared" si="41"/>
        <v>853173.54923018266</v>
      </c>
      <c r="R46" s="263">
        <f t="shared" ref="R46:T46" si="42">($D6/$D29)*R29</f>
        <v>1191243.6235378068</v>
      </c>
      <c r="S46" s="263">
        <f t="shared" si="42"/>
        <v>1363136.0327825407</v>
      </c>
      <c r="T46" s="263">
        <f t="shared" si="42"/>
        <v>953206.87247851153</v>
      </c>
      <c r="U46" s="263">
        <f>($D6/$D29)*U29</f>
        <v>1021798.6493880496</v>
      </c>
      <c r="W46" s="180"/>
    </row>
    <row r="47" spans="2:23" ht="16.5" customHeight="1">
      <c r="B47" s="244" t="str">
        <f t="shared" si="39"/>
        <v>Outsourcing</v>
      </c>
      <c r="C47" s="245"/>
      <c r="D47" s="263">
        <f t="shared" ref="D47:O47" si="43">($D7/$D30)*D30</f>
        <v>2158857.1428571427</v>
      </c>
      <c r="E47" s="263">
        <f t="shared" si="43"/>
        <v>2543310.7237043898</v>
      </c>
      <c r="F47" s="263">
        <f t="shared" si="43"/>
        <v>2391962.6824023305</v>
      </c>
      <c r="G47" s="263">
        <f t="shared" si="43"/>
        <v>2113005.4405905697</v>
      </c>
      <c r="H47" s="263">
        <f t="shared" si="43"/>
        <v>1771921.7325376463</v>
      </c>
      <c r="I47" s="263">
        <f t="shared" si="43"/>
        <v>1791257.7813638514</v>
      </c>
      <c r="J47" s="263">
        <f t="shared" si="43"/>
        <v>2207059.9108865224</v>
      </c>
      <c r="K47" s="263">
        <f t="shared" si="43"/>
        <v>2014633.3715563654</v>
      </c>
      <c r="L47" s="263">
        <f t="shared" si="43"/>
        <v>2263929.7676584036</v>
      </c>
      <c r="M47" s="263">
        <f t="shared" si="43"/>
        <v>2362328.0396868251</v>
      </c>
      <c r="N47" s="263">
        <f t="shared" si="43"/>
        <v>2119419.564761051</v>
      </c>
      <c r="O47" s="263">
        <f t="shared" si="43"/>
        <v>2319436.6548906756</v>
      </c>
      <c r="P47" s="263">
        <f t="shared" si="41"/>
        <v>2664943.7645688485</v>
      </c>
      <c r="Q47" s="263">
        <f t="shared" si="41"/>
        <v>3219522.3445919794</v>
      </c>
      <c r="R47" s="263">
        <f t="shared" ref="R47:U47" si="44">($D7/$D30)*R30</f>
        <v>3958701.529955422</v>
      </c>
      <c r="S47" s="263">
        <f t="shared" si="44"/>
        <v>4254520.9576394046</v>
      </c>
      <c r="T47" s="263">
        <f t="shared" si="44"/>
        <v>4065906.1136659482</v>
      </c>
      <c r="U47" s="263">
        <f t="shared" si="44"/>
        <v>4141549.1307725371</v>
      </c>
      <c r="W47" s="180"/>
    </row>
    <row r="48" spans="2:23" ht="16.5" customHeight="1">
      <c r="B48" s="244" t="str">
        <f t="shared" si="39"/>
        <v>Servicios Tecnicos</v>
      </c>
      <c r="C48" s="245"/>
      <c r="D48" s="263">
        <f t="shared" ref="D48:O48" si="45">($D8/$D31)*D31</f>
        <v>41142.857142857145</v>
      </c>
      <c r="E48" s="263">
        <f t="shared" si="45"/>
        <v>55896.938982514068</v>
      </c>
      <c r="F48" s="263">
        <f t="shared" si="45"/>
        <v>57831.836554317146</v>
      </c>
      <c r="G48" s="263">
        <f t="shared" si="45"/>
        <v>71519.892804907882</v>
      </c>
      <c r="H48" s="263">
        <f t="shared" si="45"/>
        <v>70662.735671672854</v>
      </c>
      <c r="I48" s="263">
        <f t="shared" si="45"/>
        <v>70662.735671672854</v>
      </c>
      <c r="J48" s="263">
        <f t="shared" si="45"/>
        <v>162686.62750423409</v>
      </c>
      <c r="K48" s="263">
        <f t="shared" si="45"/>
        <v>195671.46188387385</v>
      </c>
      <c r="L48" s="263">
        <f t="shared" si="45"/>
        <v>187898.42958184451</v>
      </c>
      <c r="M48" s="263">
        <f t="shared" si="45"/>
        <v>230920.22217028638</v>
      </c>
      <c r="N48" s="263">
        <f t="shared" si="45"/>
        <v>225898.3180817292</v>
      </c>
      <c r="O48" s="263">
        <f t="shared" si="45"/>
        <v>280773.91085518699</v>
      </c>
      <c r="P48" s="263">
        <f t="shared" si="41"/>
        <v>279769.26775372552</v>
      </c>
      <c r="Q48" s="263">
        <f t="shared" si="41"/>
        <v>318670.98003993853</v>
      </c>
      <c r="R48" s="263">
        <f t="shared" ref="R48:U48" si="46">($D8/$D31)*R31</f>
        <v>359370.68868326675</v>
      </c>
      <c r="S48" s="263">
        <f t="shared" si="46"/>
        <v>377392.55803375226</v>
      </c>
      <c r="T48" s="263">
        <f t="shared" si="46"/>
        <v>418290.11609485117</v>
      </c>
      <c r="U48" s="263">
        <f t="shared" si="46"/>
        <v>327286.80974269524</v>
      </c>
      <c r="W48" s="180"/>
    </row>
    <row r="49" spans="2:23" ht="16.5" customHeight="1">
      <c r="B49" s="244" t="str">
        <f t="shared" si="39"/>
        <v>Servicios Básicos</v>
      </c>
      <c r="C49" s="245"/>
      <c r="D49" s="263">
        <f t="shared" ref="D49:O49" si="47">($D9/$D32)*D32</f>
        <v>1318857.142857143</v>
      </c>
      <c r="E49" s="263">
        <f t="shared" si="47"/>
        <v>1209769.4651215544</v>
      </c>
      <c r="F49" s="263">
        <f t="shared" si="47"/>
        <v>1215416.6305349933</v>
      </c>
      <c r="G49" s="263">
        <f t="shared" si="47"/>
        <v>1030248.5824301922</v>
      </c>
      <c r="H49" s="263">
        <f t="shared" si="47"/>
        <v>1375698.7464613547</v>
      </c>
      <c r="I49" s="263">
        <f t="shared" si="47"/>
        <v>1387713.9656003222</v>
      </c>
      <c r="J49" s="263">
        <f t="shared" si="47"/>
        <v>1435958.497869005</v>
      </c>
      <c r="K49" s="263">
        <f t="shared" si="47"/>
        <v>1432315.1009899569</v>
      </c>
      <c r="L49" s="263">
        <f t="shared" si="47"/>
        <v>1323030.1408759088</v>
      </c>
      <c r="M49" s="263">
        <f t="shared" si="47"/>
        <v>1816902.9750514862</v>
      </c>
      <c r="N49" s="263">
        <f t="shared" si="47"/>
        <v>1755255.8968189531</v>
      </c>
      <c r="O49" s="263">
        <f t="shared" si="47"/>
        <v>1854938.9458454638</v>
      </c>
      <c r="P49" s="263">
        <f t="shared" si="41"/>
        <v>2098828.0362925767</v>
      </c>
      <c r="Q49" s="263">
        <f t="shared" si="41"/>
        <v>2072195.5874848359</v>
      </c>
      <c r="R49" s="263">
        <f t="shared" ref="R49:U49" si="48">($D9/$D32)*R32</f>
        <v>1994254.2442423536</v>
      </c>
      <c r="S49" s="263">
        <f t="shared" si="48"/>
        <v>2139629.391669069</v>
      </c>
      <c r="T49" s="263">
        <f t="shared" si="48"/>
        <v>1682585.1142075507</v>
      </c>
      <c r="U49" s="263">
        <f t="shared" si="48"/>
        <v>2073983.2595994323</v>
      </c>
      <c r="W49" s="180"/>
    </row>
    <row r="50" spans="2:23" ht="16.5" customHeight="1">
      <c r="B50" s="244" t="str">
        <f t="shared" si="39"/>
        <v>Mantenimiento</v>
      </c>
      <c r="C50" s="245"/>
      <c r="D50" s="263">
        <f t="shared" ref="D50:O50" si="49">($D10/$D33)*D33</f>
        <v>181714.28571428571</v>
      </c>
      <c r="E50" s="263">
        <f t="shared" si="49"/>
        <v>319411.0799000804</v>
      </c>
      <c r="F50" s="263">
        <f t="shared" si="49"/>
        <v>262613.42173025978</v>
      </c>
      <c r="G50" s="263">
        <f t="shared" si="49"/>
        <v>362126.03951852099</v>
      </c>
      <c r="H50" s="263">
        <f t="shared" si="49"/>
        <v>756156.63046060444</v>
      </c>
      <c r="I50" s="263">
        <f t="shared" si="49"/>
        <v>864128.63502105954</v>
      </c>
      <c r="J50" s="263">
        <f t="shared" si="49"/>
        <v>1344654.7783513225</v>
      </c>
      <c r="K50" s="263">
        <f t="shared" si="49"/>
        <v>1318042.9672497744</v>
      </c>
      <c r="L50" s="263">
        <f t="shared" si="49"/>
        <v>1281509.5141143776</v>
      </c>
      <c r="M50" s="263">
        <f t="shared" si="49"/>
        <v>1521523.4270606597</v>
      </c>
      <c r="N50" s="263">
        <f t="shared" si="49"/>
        <v>1748115.4327416571</v>
      </c>
      <c r="O50" s="263">
        <f t="shared" si="49"/>
        <v>1602242.4260757957</v>
      </c>
      <c r="P50" s="263">
        <f t="shared" si="41"/>
        <v>1725236.8715776897</v>
      </c>
      <c r="Q50" s="263">
        <f t="shared" si="41"/>
        <v>1603365.5069025182</v>
      </c>
      <c r="R50" s="263">
        <f t="shared" ref="R50:U50" si="50">($D10/$D33)*R33</f>
        <v>1737801.9218017126</v>
      </c>
      <c r="S50" s="263">
        <f t="shared" si="50"/>
        <v>1859800.2600313909</v>
      </c>
      <c r="T50" s="263">
        <f t="shared" si="50"/>
        <v>2157529.1979199406</v>
      </c>
      <c r="U50" s="263">
        <f t="shared" si="50"/>
        <v>2653298.4148124382</v>
      </c>
      <c r="W50" s="180"/>
    </row>
    <row r="51" spans="2:23" ht="16.5" customHeight="1">
      <c r="B51" s="244" t="str">
        <f t="shared" si="39"/>
        <v>Materiales</v>
      </c>
      <c r="C51" s="245"/>
      <c r="D51" s="263">
        <f>($D11/$D34)*D34</f>
        <v>362285.71428571426</v>
      </c>
      <c r="E51" s="263">
        <f t="shared" ref="E51:O52" si="51">($D11/$D34)*E34</f>
        <v>392276.73250228621</v>
      </c>
      <c r="F51" s="263">
        <f t="shared" si="51"/>
        <v>379225.15773322713</v>
      </c>
      <c r="G51" s="263">
        <f t="shared" si="51"/>
        <v>319576.22987509478</v>
      </c>
      <c r="H51" s="263">
        <f t="shared" si="51"/>
        <v>324337.58926509891</v>
      </c>
      <c r="I51" s="263">
        <f t="shared" si="51"/>
        <v>336286.51313627441</v>
      </c>
      <c r="J51" s="263">
        <f t="shared" si="51"/>
        <v>420827.14359513612</v>
      </c>
      <c r="K51" s="263">
        <f t="shared" si="51"/>
        <v>461784.65004594234</v>
      </c>
      <c r="L51" s="263">
        <f t="shared" si="51"/>
        <v>516544.74649091333</v>
      </c>
      <c r="M51" s="263">
        <f t="shared" si="51"/>
        <v>554633.53975255904</v>
      </c>
      <c r="N51" s="263">
        <f t="shared" si="51"/>
        <v>369356.73272558593</v>
      </c>
      <c r="O51" s="263">
        <f t="shared" si="51"/>
        <v>582911.05405805144</v>
      </c>
      <c r="P51" s="263">
        <f t="shared" si="41"/>
        <v>671884.0413956414</v>
      </c>
      <c r="Q51" s="263">
        <f t="shared" si="41"/>
        <v>524444.56226468075</v>
      </c>
      <c r="R51" s="263">
        <f t="shared" ref="R51:U52" si="52">($D11/$D34)*R34</f>
        <v>457789.89137430221</v>
      </c>
      <c r="S51" s="263">
        <f t="shared" si="52"/>
        <v>512866.44088634878</v>
      </c>
      <c r="T51" s="263">
        <f t="shared" si="52"/>
        <v>686283.53783920442</v>
      </c>
      <c r="U51" s="263">
        <f t="shared" si="52"/>
        <v>721081.09954005573</v>
      </c>
      <c r="W51" s="180"/>
    </row>
    <row r="52" spans="2:23" ht="16.5" customHeight="1">
      <c r="B52" s="244" t="str">
        <f t="shared" si="39"/>
        <v>Impuestos</v>
      </c>
      <c r="C52" s="245"/>
      <c r="D52" s="263">
        <f>($D12/$D35)*D35</f>
        <v>187429</v>
      </c>
      <c r="E52" s="263">
        <f t="shared" si="51"/>
        <v>1012133.8594333797</v>
      </c>
      <c r="F52" s="263">
        <f t="shared" si="51"/>
        <v>1098804.8945320258</v>
      </c>
      <c r="G52" s="263">
        <f t="shared" si="51"/>
        <v>1168761.7925460266</v>
      </c>
      <c r="H52" s="263">
        <f t="shared" si="51"/>
        <v>1397930.264733576</v>
      </c>
      <c r="I52" s="263">
        <f t="shared" si="51"/>
        <v>1397930.264733576</v>
      </c>
      <c r="J52" s="263">
        <f t="shared" si="51"/>
        <v>1503191.2367865711</v>
      </c>
      <c r="K52" s="263">
        <f t="shared" si="51"/>
        <v>960355.53492605302</v>
      </c>
      <c r="L52" s="263">
        <f t="shared" si="51"/>
        <v>923306.1408665916</v>
      </c>
      <c r="M52" s="263">
        <f t="shared" si="51"/>
        <v>1017890.6725727039</v>
      </c>
      <c r="N52" s="263">
        <f t="shared" si="51"/>
        <v>940593.85890926898</v>
      </c>
      <c r="O52" s="263">
        <f t="shared" si="51"/>
        <v>877723.6604559978</v>
      </c>
      <c r="P52" s="263">
        <f t="shared" si="41"/>
        <v>933980.4434089826</v>
      </c>
      <c r="Q52" s="263">
        <f t="shared" si="41"/>
        <v>1006065.9736339421</v>
      </c>
      <c r="R52" s="263">
        <f t="shared" si="52"/>
        <v>774980.92176141089</v>
      </c>
      <c r="S52" s="263">
        <f t="shared" si="52"/>
        <v>1108972.3064551684</v>
      </c>
      <c r="T52" s="263">
        <f t="shared" si="52"/>
        <v>948789.20521067595</v>
      </c>
      <c r="U52" s="263">
        <f t="shared" si="52"/>
        <v>668575.19423374103</v>
      </c>
      <c r="W52" s="180"/>
    </row>
    <row r="53" spans="2:23" ht="16.5" customHeight="1">
      <c r="B53" s="244" t="str">
        <f t="shared" si="39"/>
        <v>Seguros</v>
      </c>
      <c r="C53" s="245"/>
      <c r="D53" s="263">
        <f t="shared" ref="D53:O53" si="53">($D13/$D36)*D36</f>
        <v>369142.85714285716</v>
      </c>
      <c r="E53" s="263">
        <f t="shared" si="53"/>
        <v>957235.08007555339</v>
      </c>
      <c r="F53" s="263">
        <f t="shared" si="53"/>
        <v>1433471.0962315986</v>
      </c>
      <c r="G53" s="263">
        <f t="shared" si="53"/>
        <v>1265630.5081172308</v>
      </c>
      <c r="H53" s="263">
        <f t="shared" si="53"/>
        <v>1277037.3916567382</v>
      </c>
      <c r="I53" s="263">
        <f t="shared" si="53"/>
        <v>1277037.3916567382</v>
      </c>
      <c r="J53" s="263">
        <f t="shared" si="53"/>
        <v>1288212.4790131189</v>
      </c>
      <c r="K53" s="263">
        <f t="shared" si="53"/>
        <v>1093412.1290070871</v>
      </c>
      <c r="L53" s="263">
        <f t="shared" si="53"/>
        <v>963419.28875485063</v>
      </c>
      <c r="M53" s="263">
        <f t="shared" si="53"/>
        <v>1039849.3440060748</v>
      </c>
      <c r="N53" s="263">
        <f t="shared" si="53"/>
        <v>945786.92369275691</v>
      </c>
      <c r="O53" s="263">
        <f t="shared" si="53"/>
        <v>910684.0760781283</v>
      </c>
      <c r="P53" s="263">
        <f t="shared" ref="P53:Q56" si="54">($D13/$D36)*P36</f>
        <v>965343.79023601336</v>
      </c>
      <c r="Q53" s="263">
        <f t="shared" si="54"/>
        <v>1025531.042222769</v>
      </c>
      <c r="R53" s="263">
        <f t="shared" ref="R53:U53" si="55">($D13/$D36)*R36</f>
        <v>1069113.7389466199</v>
      </c>
      <c r="S53" s="263">
        <f t="shared" si="55"/>
        <v>1174568.8611032376</v>
      </c>
      <c r="T53" s="263">
        <f t="shared" si="55"/>
        <v>1074089.2250840962</v>
      </c>
      <c r="U53" s="263">
        <f t="shared" si="55"/>
        <v>931688.11971316265</v>
      </c>
      <c r="W53" s="180"/>
    </row>
    <row r="54" spans="2:23" ht="16.5" customHeight="1">
      <c r="B54" s="244" t="str">
        <f t="shared" si="39"/>
        <v>Consultorias</v>
      </c>
      <c r="C54" s="245"/>
      <c r="D54" s="263">
        <f t="shared" ref="D54:O54" si="56">($D14/$D37)*D37</f>
        <v>1408000</v>
      </c>
      <c r="E54" s="263">
        <f t="shared" si="56"/>
        <v>395271.21137634944</v>
      </c>
      <c r="F54" s="263">
        <f t="shared" si="56"/>
        <v>552720.66739617859</v>
      </c>
      <c r="G54" s="263">
        <f t="shared" si="56"/>
        <v>849185.56267093169</v>
      </c>
      <c r="H54" s="263">
        <f t="shared" si="56"/>
        <v>748343.91151084856</v>
      </c>
      <c r="I54" s="263">
        <f t="shared" si="56"/>
        <v>748343.91151084856</v>
      </c>
      <c r="J54" s="263">
        <f t="shared" si="56"/>
        <v>595134.24449252978</v>
      </c>
      <c r="K54" s="263">
        <f t="shared" si="56"/>
        <v>475872.99530158122</v>
      </c>
      <c r="L54" s="263">
        <f t="shared" si="56"/>
        <v>434910.97184112319</v>
      </c>
      <c r="M54" s="263">
        <f t="shared" si="56"/>
        <v>556050.22823213134</v>
      </c>
      <c r="N54" s="263">
        <f t="shared" si="56"/>
        <v>430375.24393157021</v>
      </c>
      <c r="O54" s="263">
        <f t="shared" si="56"/>
        <v>336318.31495914795</v>
      </c>
      <c r="P54" s="263">
        <f t="shared" si="54"/>
        <v>498225.41609185591</v>
      </c>
      <c r="Q54" s="263">
        <f t="shared" si="54"/>
        <v>744121.76491001353</v>
      </c>
      <c r="R54" s="263">
        <f t="shared" ref="R54:U54" si="57">($D14/$D37)*R37</f>
        <v>699619.93227227509</v>
      </c>
      <c r="S54" s="263">
        <f t="shared" si="57"/>
        <v>797531.84594187769</v>
      </c>
      <c r="T54" s="263">
        <f t="shared" si="57"/>
        <v>836580.23218970234</v>
      </c>
      <c r="U54" s="263">
        <f t="shared" si="57"/>
        <v>734499.2753405585</v>
      </c>
      <c r="W54" s="180"/>
    </row>
    <row r="55" spans="2:23" ht="16.5" customHeight="1">
      <c r="B55" s="244" t="str">
        <f t="shared" si="39"/>
        <v>Servicios de Terceros</v>
      </c>
      <c r="C55" s="245"/>
      <c r="D55" s="263">
        <f t="shared" ref="D55:O55" si="58">($D15/$D38)*D38</f>
        <v>1474285.7142857143</v>
      </c>
      <c r="E55" s="263">
        <f t="shared" si="58"/>
        <v>1280638.7984743847</v>
      </c>
      <c r="F55" s="263">
        <f t="shared" si="58"/>
        <v>1275144.5928779764</v>
      </c>
      <c r="G55" s="263">
        <f t="shared" si="58"/>
        <v>1212216.9172882491</v>
      </c>
      <c r="H55" s="263">
        <f t="shared" si="58"/>
        <v>929055.71222725348</v>
      </c>
      <c r="I55" s="263">
        <f t="shared" si="58"/>
        <v>945007.66982598626</v>
      </c>
      <c r="J55" s="263">
        <f t="shared" si="58"/>
        <v>1089004.3637018118</v>
      </c>
      <c r="K55" s="263">
        <f t="shared" si="58"/>
        <v>1684339.9438963863</v>
      </c>
      <c r="L55" s="263">
        <f t="shared" si="58"/>
        <v>1538374.4084865621</v>
      </c>
      <c r="M55" s="263">
        <f t="shared" si="58"/>
        <v>1262977.7795387134</v>
      </c>
      <c r="N55" s="263">
        <f t="shared" si="58"/>
        <v>1418355.8189901675</v>
      </c>
      <c r="O55" s="263">
        <f t="shared" si="58"/>
        <v>1985559.8521998334</v>
      </c>
      <c r="P55" s="263">
        <f t="shared" si="54"/>
        <v>1241201.4911603995</v>
      </c>
      <c r="Q55" s="263">
        <f t="shared" si="54"/>
        <v>1116182.6473650204</v>
      </c>
      <c r="R55" s="263">
        <f t="shared" ref="R55:U55" si="59">($D15/$D38)*R38</f>
        <v>1276075.2623197688</v>
      </c>
      <c r="S55" s="263">
        <f t="shared" si="59"/>
        <v>1179199.0769630673</v>
      </c>
      <c r="T55" s="263">
        <f t="shared" si="59"/>
        <v>1869526.1671661085</v>
      </c>
      <c r="U55" s="263">
        <f t="shared" si="59"/>
        <v>1521504.4559874316</v>
      </c>
      <c r="W55" s="180"/>
    </row>
    <row r="56" spans="2:23" ht="16.5" customHeight="1">
      <c r="B56" s="244" t="str">
        <f>+B16</f>
        <v>Otros Gastos</v>
      </c>
      <c r="C56" s="245"/>
      <c r="D56" s="263">
        <f t="shared" ref="D56:O56" si="60">($D16/$D39)*D39</f>
        <v>260571.42857142858</v>
      </c>
      <c r="E56" s="263">
        <f t="shared" si="60"/>
        <v>834461.44623896002</v>
      </c>
      <c r="F56" s="263">
        <f t="shared" si="60"/>
        <v>756554.18967778818</v>
      </c>
      <c r="G56" s="263">
        <f t="shared" si="60"/>
        <v>1041112.3636157478</v>
      </c>
      <c r="H56" s="263">
        <f t="shared" si="60"/>
        <v>698965.13236678799</v>
      </c>
      <c r="I56" s="263">
        <f t="shared" si="60"/>
        <v>698965.13236678799</v>
      </c>
      <c r="J56" s="263">
        <f t="shared" si="60"/>
        <v>617545.15746505186</v>
      </c>
      <c r="K56" s="263">
        <f t="shared" si="60"/>
        <v>585449.01395655063</v>
      </c>
      <c r="L56" s="263">
        <f t="shared" si="60"/>
        <v>591141.12677434215</v>
      </c>
      <c r="M56" s="263">
        <f t="shared" si="60"/>
        <v>459715.41162121424</v>
      </c>
      <c r="N56" s="263">
        <f t="shared" si="60"/>
        <v>432322.64322537824</v>
      </c>
      <c r="O56" s="263">
        <f t="shared" si="60"/>
        <v>538963.83322854387</v>
      </c>
      <c r="P56" s="263">
        <f t="shared" si="54"/>
        <v>664664.95437960292</v>
      </c>
      <c r="Q56" s="263">
        <f t="shared" si="54"/>
        <v>877040.37613086053</v>
      </c>
      <c r="R56" s="263">
        <f t="shared" ref="R56:U56" si="61">($D16/$D39)*R39</f>
        <v>834594.83881998097</v>
      </c>
      <c r="S56" s="263">
        <f t="shared" si="61"/>
        <v>785189.13683792402</v>
      </c>
      <c r="T56" s="263">
        <f t="shared" si="61"/>
        <v>708786.67958248255</v>
      </c>
      <c r="U56" s="263">
        <f t="shared" si="61"/>
        <v>883849.40598963143</v>
      </c>
      <c r="W56" s="180"/>
    </row>
    <row r="57" spans="2:23" ht="23.25" customHeight="1" thickBot="1">
      <c r="B57" s="264" t="s">
        <v>12</v>
      </c>
      <c r="C57" s="265"/>
      <c r="D57" s="265">
        <f>SUM(D46:D56)</f>
        <v>9051429</v>
      </c>
      <c r="E57" s="265">
        <f t="shared" ref="E57:J57" si="62">SUM(E46:E56)</f>
        <v>10190211.608437251</v>
      </c>
      <c r="F57" s="265">
        <f t="shared" si="62"/>
        <v>10830670.504860967</v>
      </c>
      <c r="G57" s="265">
        <f t="shared" si="62"/>
        <v>10566837.833150443</v>
      </c>
      <c r="H57" s="265">
        <f t="shared" si="62"/>
        <v>10543714.11383551</v>
      </c>
      <c r="I57" s="265">
        <f t="shared" si="62"/>
        <v>10710938.267831046</v>
      </c>
      <c r="J57" s="265">
        <f t="shared" si="62"/>
        <v>11630658.73808868</v>
      </c>
      <c r="K57" s="265">
        <f t="shared" ref="K57:P57" si="63">SUM(K46:K56)</f>
        <v>11045462.985383015</v>
      </c>
      <c r="L57" s="265">
        <f t="shared" si="63"/>
        <v>10802845.04531448</v>
      </c>
      <c r="M57" s="265">
        <f t="shared" si="63"/>
        <v>11507364.640137134</v>
      </c>
      <c r="N57" s="265">
        <f t="shared" si="63"/>
        <v>11014773.479739452</v>
      </c>
      <c r="O57" s="265">
        <f t="shared" si="63"/>
        <v>12076543.988517156</v>
      </c>
      <c r="P57" s="265">
        <f t="shared" si="63"/>
        <v>12683558.97685333</v>
      </c>
      <c r="Q57" s="265">
        <f t="shared" ref="Q57:U57" si="64">SUM(Q46:Q56)</f>
        <v>13360314.334776741</v>
      </c>
      <c r="R57" s="265">
        <f t="shared" si="64"/>
        <v>14353546.593714923</v>
      </c>
      <c r="S57" s="265">
        <f t="shared" si="64"/>
        <v>15552806.868343782</v>
      </c>
      <c r="T57" s="265">
        <f t="shared" si="64"/>
        <v>15401572.461439071</v>
      </c>
      <c r="U57" s="265">
        <f t="shared" si="64"/>
        <v>15679113.815119736</v>
      </c>
    </row>
    <row r="58" spans="2:23">
      <c r="B58" s="71" t="s">
        <v>34</v>
      </c>
      <c r="C58" s="71"/>
    </row>
    <row r="59" spans="2:23" ht="15.75" thickBot="1">
      <c r="I59" s="258"/>
    </row>
    <row r="60" spans="2:23">
      <c r="B60" s="98" t="s">
        <v>78</v>
      </c>
      <c r="C60" s="259"/>
      <c r="D60" s="260">
        <v>2001</v>
      </c>
      <c r="E60" s="260">
        <v>2002</v>
      </c>
      <c r="F60" s="260">
        <f>+E60+1</f>
        <v>2003</v>
      </c>
      <c r="G60" s="260">
        <f>+F60+1</f>
        <v>2004</v>
      </c>
      <c r="H60" s="261">
        <f>+G60+1</f>
        <v>2005</v>
      </c>
      <c r="I60" s="260">
        <f>+G60+1</f>
        <v>2005</v>
      </c>
      <c r="J60" s="260">
        <f t="shared" ref="J60:P60" si="65">+I60+1</f>
        <v>2006</v>
      </c>
      <c r="K60" s="262">
        <f t="shared" si="65"/>
        <v>2007</v>
      </c>
      <c r="L60" s="260">
        <f t="shared" si="65"/>
        <v>2008</v>
      </c>
      <c r="M60" s="262">
        <f t="shared" si="65"/>
        <v>2009</v>
      </c>
      <c r="N60" s="260">
        <f t="shared" si="65"/>
        <v>2010</v>
      </c>
      <c r="O60" s="262">
        <f t="shared" si="65"/>
        <v>2011</v>
      </c>
      <c r="P60" s="260">
        <f t="shared" si="65"/>
        <v>2012</v>
      </c>
      <c r="Q60" s="262">
        <f t="shared" ref="Q60:U60" si="66">+P60+1</f>
        <v>2013</v>
      </c>
      <c r="R60" s="260">
        <f t="shared" si="66"/>
        <v>2014</v>
      </c>
      <c r="S60" s="262">
        <f t="shared" si="66"/>
        <v>2015</v>
      </c>
      <c r="T60" s="260">
        <f t="shared" si="66"/>
        <v>2016</v>
      </c>
      <c r="U60" s="262">
        <f t="shared" si="66"/>
        <v>2017</v>
      </c>
    </row>
    <row r="61" spans="2:23">
      <c r="B61" s="266" t="str">
        <f t="shared" ref="B61:B71" si="67">+B46</f>
        <v>Costo Gerencia</v>
      </c>
      <c r="C61" s="267"/>
      <c r="D61" s="268">
        <f t="shared" ref="D61:P61" si="68">D6/D46</f>
        <v>1</v>
      </c>
      <c r="E61" s="268">
        <f t="shared" si="68"/>
        <v>1.0018437685383483</v>
      </c>
      <c r="F61" s="268">
        <f t="shared" si="68"/>
        <v>1.0547823419494424</v>
      </c>
      <c r="G61" s="268">
        <f t="shared" si="68"/>
        <v>1.1045877853242363</v>
      </c>
      <c r="H61" s="268">
        <f t="shared" si="68"/>
        <v>1.1745936413451494</v>
      </c>
      <c r="I61" s="268">
        <f t="shared" si="68"/>
        <v>1.1745936413451494</v>
      </c>
      <c r="J61" s="268">
        <f t="shared" si="68"/>
        <v>1.2047701953554781</v>
      </c>
      <c r="K61" s="268">
        <f t="shared" si="68"/>
        <v>1.2776518230766261</v>
      </c>
      <c r="L61" s="268">
        <f t="shared" si="68"/>
        <v>1.4209804764956833</v>
      </c>
      <c r="M61" s="268">
        <f t="shared" si="68"/>
        <v>1.4117429687885863</v>
      </c>
      <c r="N61" s="268">
        <f t="shared" si="68"/>
        <v>1.5405161178495137</v>
      </c>
      <c r="O61" s="268">
        <f t="shared" si="68"/>
        <v>1.6383288554086894</v>
      </c>
      <c r="P61" s="268">
        <f t="shared" si="68"/>
        <v>1.7755416954419401</v>
      </c>
      <c r="Q61" s="268">
        <f t="shared" ref="Q61:U61" si="69">Q6/Q46</f>
        <v>1.7980928163844314</v>
      </c>
      <c r="R61" s="268">
        <f t="shared" si="69"/>
        <v>1.7781082879666517</v>
      </c>
      <c r="S61" s="268">
        <f t="shared" si="69"/>
        <v>1.6375521637730044</v>
      </c>
      <c r="T61" s="268">
        <f t="shared" si="69"/>
        <v>1.6041497854753146</v>
      </c>
      <c r="U61" s="268">
        <f t="shared" si="69"/>
        <v>1.7140929096441262</v>
      </c>
    </row>
    <row r="62" spans="2:23">
      <c r="B62" s="266" t="str">
        <f t="shared" si="67"/>
        <v>Outsourcing</v>
      </c>
      <c r="C62" s="267"/>
      <c r="D62" s="268">
        <f t="shared" ref="D62:P62" si="70">D7/D47</f>
        <v>1</v>
      </c>
      <c r="E62" s="268">
        <f t="shared" si="70"/>
        <v>1.0018437685383483</v>
      </c>
      <c r="F62" s="268">
        <f t="shared" si="70"/>
        <v>1.0547823419494422</v>
      </c>
      <c r="G62" s="268">
        <f t="shared" si="70"/>
        <v>1.1045877853242365</v>
      </c>
      <c r="H62" s="268">
        <f t="shared" si="70"/>
        <v>1.1745936413451494</v>
      </c>
      <c r="I62" s="268">
        <f t="shared" si="70"/>
        <v>1.1745936413451497</v>
      </c>
      <c r="J62" s="268">
        <f t="shared" si="70"/>
        <v>1.2047701953554784</v>
      </c>
      <c r="K62" s="268">
        <f t="shared" si="70"/>
        <v>1.2776518230766261</v>
      </c>
      <c r="L62" s="268">
        <f t="shared" si="70"/>
        <v>1.4209804764956833</v>
      </c>
      <c r="M62" s="268">
        <f t="shared" si="70"/>
        <v>1.4117429687885863</v>
      </c>
      <c r="N62" s="268">
        <f t="shared" si="70"/>
        <v>1.5405161178495135</v>
      </c>
      <c r="O62" s="268">
        <f t="shared" si="70"/>
        <v>1.6383288554086894</v>
      </c>
      <c r="P62" s="268">
        <f t="shared" si="70"/>
        <v>1.7755416954419401</v>
      </c>
      <c r="Q62" s="268">
        <f t="shared" ref="Q62:U62" si="71">Q7/Q47</f>
        <v>1.7980928163844314</v>
      </c>
      <c r="R62" s="268">
        <f t="shared" si="71"/>
        <v>1.7781082879666517</v>
      </c>
      <c r="S62" s="268">
        <f t="shared" si="71"/>
        <v>1.6375521637730039</v>
      </c>
      <c r="T62" s="268">
        <f t="shared" si="71"/>
        <v>1.6041497854753146</v>
      </c>
      <c r="U62" s="268">
        <f t="shared" si="71"/>
        <v>1.7140929096441262</v>
      </c>
    </row>
    <row r="63" spans="2:23">
      <c r="B63" s="266" t="str">
        <f t="shared" si="67"/>
        <v>Servicios Tecnicos</v>
      </c>
      <c r="C63" s="267"/>
      <c r="D63" s="268">
        <f t="shared" ref="D63:P63" si="72">D8/D48</f>
        <v>1</v>
      </c>
      <c r="E63" s="268">
        <f t="shared" si="72"/>
        <v>1.0018437685383483</v>
      </c>
      <c r="F63" s="268">
        <f t="shared" si="72"/>
        <v>1.0547823419494422</v>
      </c>
      <c r="G63" s="268">
        <f t="shared" si="72"/>
        <v>1.1045877853242365</v>
      </c>
      <c r="H63" s="268">
        <f t="shared" si="72"/>
        <v>1.1745936413451494</v>
      </c>
      <c r="I63" s="268">
        <f t="shared" si="72"/>
        <v>1.1745936413451494</v>
      </c>
      <c r="J63" s="268">
        <f t="shared" si="72"/>
        <v>1.2047701953554781</v>
      </c>
      <c r="K63" s="268">
        <f t="shared" si="72"/>
        <v>1.2776518230766263</v>
      </c>
      <c r="L63" s="268">
        <f t="shared" si="72"/>
        <v>1.4209804764956833</v>
      </c>
      <c r="M63" s="268">
        <f t="shared" si="72"/>
        <v>1.4117429687885863</v>
      </c>
      <c r="N63" s="268">
        <f t="shared" si="72"/>
        <v>1.5405161178495135</v>
      </c>
      <c r="O63" s="268">
        <f t="shared" si="72"/>
        <v>1.6383288554086899</v>
      </c>
      <c r="P63" s="268">
        <f t="shared" si="72"/>
        <v>1.7755416954419405</v>
      </c>
      <c r="Q63" s="268">
        <f t="shared" ref="Q63:U63" si="73">Q8/Q48</f>
        <v>1.7980928163844314</v>
      </c>
      <c r="R63" s="268">
        <f t="shared" si="73"/>
        <v>1.7781082879666517</v>
      </c>
      <c r="S63" s="268">
        <f t="shared" si="73"/>
        <v>1.6375521637730039</v>
      </c>
      <c r="T63" s="268">
        <f t="shared" si="73"/>
        <v>1.6041497854753148</v>
      </c>
      <c r="U63" s="268">
        <f t="shared" si="73"/>
        <v>1.714092909644126</v>
      </c>
    </row>
    <row r="64" spans="2:23">
      <c r="B64" s="266" t="str">
        <f t="shared" si="67"/>
        <v>Servicios Básicos</v>
      </c>
      <c r="C64" s="267"/>
      <c r="D64" s="268">
        <f t="shared" ref="D64:P64" si="74">D9/D49</f>
        <v>1</v>
      </c>
      <c r="E64" s="268">
        <f t="shared" si="74"/>
        <v>1.0018437685383483</v>
      </c>
      <c r="F64" s="268">
        <f t="shared" si="74"/>
        <v>1.0547823419494422</v>
      </c>
      <c r="G64" s="268">
        <f t="shared" si="74"/>
        <v>1.1045877853242365</v>
      </c>
      <c r="H64" s="268">
        <f t="shared" si="74"/>
        <v>1.1745936413451494</v>
      </c>
      <c r="I64" s="268">
        <f t="shared" si="74"/>
        <v>1.1745936413451494</v>
      </c>
      <c r="J64" s="268">
        <f t="shared" si="74"/>
        <v>1.2047701953554781</v>
      </c>
      <c r="K64" s="268">
        <f t="shared" si="74"/>
        <v>1.2776518230766258</v>
      </c>
      <c r="L64" s="268">
        <f t="shared" si="74"/>
        <v>1.4209804764956835</v>
      </c>
      <c r="M64" s="268">
        <f t="shared" si="74"/>
        <v>1.4117429687885863</v>
      </c>
      <c r="N64" s="268">
        <f t="shared" si="74"/>
        <v>1.5405161178495135</v>
      </c>
      <c r="O64" s="268">
        <f t="shared" si="74"/>
        <v>1.6383288554086897</v>
      </c>
      <c r="P64" s="268">
        <f t="shared" si="74"/>
        <v>1.7755416954419403</v>
      </c>
      <c r="Q64" s="268">
        <f t="shared" ref="Q64:U64" si="75">Q9/Q49</f>
        <v>1.7980928163844314</v>
      </c>
      <c r="R64" s="268">
        <f t="shared" si="75"/>
        <v>1.7781082879666517</v>
      </c>
      <c r="S64" s="268">
        <f t="shared" si="75"/>
        <v>1.6375521637730039</v>
      </c>
      <c r="T64" s="268">
        <f t="shared" si="75"/>
        <v>1.6041497854753146</v>
      </c>
      <c r="U64" s="268">
        <f t="shared" si="75"/>
        <v>1.7140929096441262</v>
      </c>
    </row>
    <row r="65" spans="2:21">
      <c r="B65" s="266" t="str">
        <f t="shared" si="67"/>
        <v>Mantenimiento</v>
      </c>
      <c r="C65" s="267"/>
      <c r="D65" s="268">
        <f t="shared" ref="D65:P65" si="76">D10/D50</f>
        <v>1</v>
      </c>
      <c r="E65" s="268">
        <f t="shared" si="76"/>
        <v>1.0018437685383483</v>
      </c>
      <c r="F65" s="268">
        <f t="shared" si="76"/>
        <v>1.0547823419494424</v>
      </c>
      <c r="G65" s="268">
        <f t="shared" si="76"/>
        <v>1.1045877853242363</v>
      </c>
      <c r="H65" s="268">
        <f t="shared" si="76"/>
        <v>1.1745936413451497</v>
      </c>
      <c r="I65" s="268">
        <f t="shared" si="76"/>
        <v>1.1745936413451494</v>
      </c>
      <c r="J65" s="268">
        <f t="shared" si="76"/>
        <v>1.2047701953554781</v>
      </c>
      <c r="K65" s="268">
        <f t="shared" si="76"/>
        <v>1.2776518230766261</v>
      </c>
      <c r="L65" s="268">
        <f t="shared" si="76"/>
        <v>1.4209804764956835</v>
      </c>
      <c r="M65" s="268">
        <f t="shared" si="76"/>
        <v>1.4117429687885865</v>
      </c>
      <c r="N65" s="268">
        <f t="shared" si="76"/>
        <v>1.5405161178495135</v>
      </c>
      <c r="O65" s="268">
        <f t="shared" si="76"/>
        <v>1.6383288554086894</v>
      </c>
      <c r="P65" s="268">
        <f t="shared" si="76"/>
        <v>1.7755416954419403</v>
      </c>
      <c r="Q65" s="268">
        <f t="shared" ref="Q65:U65" si="77">Q10/Q50</f>
        <v>1.7980928163844312</v>
      </c>
      <c r="R65" s="268">
        <f t="shared" si="77"/>
        <v>1.7781082879666514</v>
      </c>
      <c r="S65" s="268">
        <f t="shared" si="77"/>
        <v>1.6375521637730042</v>
      </c>
      <c r="T65" s="268">
        <f t="shared" si="77"/>
        <v>1.6041497854753144</v>
      </c>
      <c r="U65" s="268">
        <f t="shared" si="77"/>
        <v>1.7140929096441262</v>
      </c>
    </row>
    <row r="66" spans="2:21">
      <c r="B66" s="266" t="str">
        <f t="shared" si="67"/>
        <v>Materiales</v>
      </c>
      <c r="C66" s="267"/>
      <c r="D66" s="268">
        <f t="shared" ref="D66:P67" si="78">D11/D51</f>
        <v>1</v>
      </c>
      <c r="E66" s="268">
        <f t="shared" si="78"/>
        <v>1.0018437685383483</v>
      </c>
      <c r="F66" s="268">
        <f t="shared" si="78"/>
        <v>1.0547823419494424</v>
      </c>
      <c r="G66" s="268">
        <f t="shared" si="78"/>
        <v>1.1045877853242363</v>
      </c>
      <c r="H66" s="268">
        <f t="shared" si="78"/>
        <v>1.1745936413451494</v>
      </c>
      <c r="I66" s="268">
        <f t="shared" si="78"/>
        <v>1.1745936413451494</v>
      </c>
      <c r="J66" s="268">
        <f t="shared" si="78"/>
        <v>1.2047701953554781</v>
      </c>
      <c r="K66" s="268">
        <f t="shared" si="78"/>
        <v>1.2776518230766261</v>
      </c>
      <c r="L66" s="268">
        <f t="shared" si="78"/>
        <v>1.4209804764956835</v>
      </c>
      <c r="M66" s="268">
        <f t="shared" si="78"/>
        <v>1.4117429687885861</v>
      </c>
      <c r="N66" s="268">
        <f t="shared" si="78"/>
        <v>1.5405161178495135</v>
      </c>
      <c r="O66" s="268">
        <f t="shared" si="78"/>
        <v>1.6383288554086892</v>
      </c>
      <c r="P66" s="268">
        <f t="shared" si="78"/>
        <v>1.7755416954419403</v>
      </c>
      <c r="Q66" s="268">
        <f t="shared" ref="Q66:U67" si="79">Q11/Q51</f>
        <v>1.7980928163844312</v>
      </c>
      <c r="R66" s="268">
        <f t="shared" si="79"/>
        <v>1.7781082879666519</v>
      </c>
      <c r="S66" s="268">
        <f t="shared" si="79"/>
        <v>1.6375521637730042</v>
      </c>
      <c r="T66" s="268">
        <f t="shared" si="79"/>
        <v>1.6041497854753148</v>
      </c>
      <c r="U66" s="268">
        <f t="shared" si="79"/>
        <v>1.7140929096441264</v>
      </c>
    </row>
    <row r="67" spans="2:21">
      <c r="B67" s="266" t="str">
        <f t="shared" si="67"/>
        <v>Impuestos</v>
      </c>
      <c r="C67" s="267"/>
      <c r="D67" s="268">
        <f t="shared" si="78"/>
        <v>1</v>
      </c>
      <c r="E67" s="268">
        <f t="shared" si="78"/>
        <v>1.0018437685383483</v>
      </c>
      <c r="F67" s="268">
        <f t="shared" si="78"/>
        <v>1.0547823419494422</v>
      </c>
      <c r="G67" s="268">
        <f t="shared" si="78"/>
        <v>1.1045877853242363</v>
      </c>
      <c r="H67" s="268">
        <f t="shared" si="78"/>
        <v>1.1745936413451497</v>
      </c>
      <c r="I67" s="268">
        <f t="shared" si="78"/>
        <v>1.1745936413451497</v>
      </c>
      <c r="J67" s="268">
        <f t="shared" si="78"/>
        <v>1.2047701953554781</v>
      </c>
      <c r="K67" s="268">
        <f t="shared" si="78"/>
        <v>1.2776518230766261</v>
      </c>
      <c r="L67" s="268">
        <f t="shared" si="78"/>
        <v>1.4209804764956835</v>
      </c>
      <c r="M67" s="268">
        <f t="shared" si="78"/>
        <v>1.4117429687885865</v>
      </c>
      <c r="N67" s="268">
        <f t="shared" si="78"/>
        <v>1.5405161178495135</v>
      </c>
      <c r="O67" s="268">
        <f t="shared" si="78"/>
        <v>1.6383288554086894</v>
      </c>
      <c r="P67" s="268">
        <f t="shared" si="78"/>
        <v>1.7755416954419401</v>
      </c>
      <c r="Q67" s="268">
        <f t="shared" si="79"/>
        <v>1.7980928163844314</v>
      </c>
      <c r="R67" s="268">
        <f t="shared" si="79"/>
        <v>1.7781082879666517</v>
      </c>
      <c r="S67" s="268">
        <f t="shared" si="79"/>
        <v>1.6375521637730042</v>
      </c>
      <c r="T67" s="268">
        <f t="shared" si="79"/>
        <v>1.6041497854753146</v>
      </c>
      <c r="U67" s="268">
        <f t="shared" si="79"/>
        <v>1.7140929096441262</v>
      </c>
    </row>
    <row r="68" spans="2:21">
      <c r="B68" s="266" t="str">
        <f t="shared" si="67"/>
        <v>Seguros</v>
      </c>
      <c r="C68" s="267"/>
      <c r="D68" s="268">
        <f t="shared" ref="D68:P68" si="80">D13/D53</f>
        <v>1</v>
      </c>
      <c r="E68" s="268">
        <f t="shared" si="80"/>
        <v>1.0018437685383483</v>
      </c>
      <c r="F68" s="268">
        <f t="shared" si="80"/>
        <v>1.0547823419494422</v>
      </c>
      <c r="G68" s="268">
        <f t="shared" si="80"/>
        <v>1.1045877853242363</v>
      </c>
      <c r="H68" s="268">
        <f t="shared" si="80"/>
        <v>1.1745936413451494</v>
      </c>
      <c r="I68" s="268">
        <f t="shared" si="80"/>
        <v>1.1745936413451494</v>
      </c>
      <c r="J68" s="268">
        <f t="shared" si="80"/>
        <v>1.2047701953554781</v>
      </c>
      <c r="K68" s="268">
        <f t="shared" si="80"/>
        <v>1.2776518230766263</v>
      </c>
      <c r="L68" s="268">
        <f t="shared" si="80"/>
        <v>1.4209804764956833</v>
      </c>
      <c r="M68" s="268">
        <f t="shared" si="80"/>
        <v>1.4117429687885863</v>
      </c>
      <c r="N68" s="268">
        <f t="shared" si="80"/>
        <v>1.5405161178495135</v>
      </c>
      <c r="O68" s="268">
        <f t="shared" si="80"/>
        <v>1.6383288554086897</v>
      </c>
      <c r="P68" s="268">
        <f t="shared" si="80"/>
        <v>1.7755416954419403</v>
      </c>
      <c r="Q68" s="268">
        <f t="shared" ref="Q68:U68" si="81">Q13/Q53</f>
        <v>1.7980928163844314</v>
      </c>
      <c r="R68" s="268">
        <f t="shared" si="81"/>
        <v>1.7781082879666517</v>
      </c>
      <c r="S68" s="268">
        <f t="shared" si="81"/>
        <v>1.6375521637730039</v>
      </c>
      <c r="T68" s="268">
        <f t="shared" si="81"/>
        <v>1.6041497854753148</v>
      </c>
      <c r="U68" s="268">
        <f t="shared" si="81"/>
        <v>1.7140929096441262</v>
      </c>
    </row>
    <row r="69" spans="2:21">
      <c r="B69" s="266" t="str">
        <f t="shared" si="67"/>
        <v>Consultorias</v>
      </c>
      <c r="C69" s="267"/>
      <c r="D69" s="268">
        <f t="shared" ref="D69:P69" si="82">D14/D54</f>
        <v>1</v>
      </c>
      <c r="E69" s="268">
        <f t="shared" si="82"/>
        <v>1.0018437685383483</v>
      </c>
      <c r="F69" s="268">
        <f t="shared" si="82"/>
        <v>1.0547823419494422</v>
      </c>
      <c r="G69" s="268">
        <f t="shared" si="82"/>
        <v>1.1045877853242365</v>
      </c>
      <c r="H69" s="268">
        <f t="shared" si="82"/>
        <v>1.1745936413451497</v>
      </c>
      <c r="I69" s="268">
        <f t="shared" si="82"/>
        <v>1.1745936413451497</v>
      </c>
      <c r="J69" s="268">
        <f t="shared" si="82"/>
        <v>1.2047701953554781</v>
      </c>
      <c r="K69" s="268">
        <f t="shared" si="82"/>
        <v>1.2776518230766261</v>
      </c>
      <c r="L69" s="268">
        <f t="shared" si="82"/>
        <v>1.4209804764956835</v>
      </c>
      <c r="M69" s="268">
        <f t="shared" si="82"/>
        <v>1.4117429687885861</v>
      </c>
      <c r="N69" s="268">
        <f t="shared" si="82"/>
        <v>1.5405161178495137</v>
      </c>
      <c r="O69" s="268">
        <f t="shared" si="82"/>
        <v>1.6383288554086894</v>
      </c>
      <c r="P69" s="268">
        <f t="shared" si="82"/>
        <v>1.7755416954419403</v>
      </c>
      <c r="Q69" s="268">
        <f t="shared" ref="Q69:U69" si="83">Q14/Q54</f>
        <v>1.7980928163844314</v>
      </c>
      <c r="R69" s="268">
        <f t="shared" si="83"/>
        <v>1.7781082879666519</v>
      </c>
      <c r="S69" s="268">
        <f t="shared" si="83"/>
        <v>1.6375521637730042</v>
      </c>
      <c r="T69" s="268">
        <f t="shared" si="83"/>
        <v>1.6041497854753148</v>
      </c>
      <c r="U69" s="268">
        <f t="shared" si="83"/>
        <v>1.714092909644126</v>
      </c>
    </row>
    <row r="70" spans="2:21">
      <c r="B70" s="266" t="str">
        <f t="shared" si="67"/>
        <v>Servicios de Terceros</v>
      </c>
      <c r="C70" s="267"/>
      <c r="D70" s="268">
        <f t="shared" ref="D70:P70" si="84">D15/D55</f>
        <v>1</v>
      </c>
      <c r="E70" s="268">
        <f t="shared" si="84"/>
        <v>1.0018437685383483</v>
      </c>
      <c r="F70" s="268">
        <f t="shared" si="84"/>
        <v>1.0547823419494422</v>
      </c>
      <c r="G70" s="268">
        <f t="shared" si="84"/>
        <v>1.1045877853242363</v>
      </c>
      <c r="H70" s="268">
        <f t="shared" si="84"/>
        <v>1.1745936413451494</v>
      </c>
      <c r="I70" s="268">
        <f t="shared" si="84"/>
        <v>1.1745936413451494</v>
      </c>
      <c r="J70" s="268">
        <f t="shared" si="84"/>
        <v>1.2047701953554781</v>
      </c>
      <c r="K70" s="268">
        <f t="shared" si="84"/>
        <v>1.2776518230766261</v>
      </c>
      <c r="L70" s="268">
        <f t="shared" si="84"/>
        <v>1.4209804764956833</v>
      </c>
      <c r="M70" s="268">
        <f t="shared" si="84"/>
        <v>1.4117429687885863</v>
      </c>
      <c r="N70" s="268">
        <f t="shared" si="84"/>
        <v>1.5405161178495135</v>
      </c>
      <c r="O70" s="268">
        <f t="shared" si="84"/>
        <v>1.6383288554086897</v>
      </c>
      <c r="P70" s="268">
        <f t="shared" si="84"/>
        <v>1.7755416954419401</v>
      </c>
      <c r="Q70" s="268">
        <f t="shared" ref="Q70:U70" si="85">Q15/Q55</f>
        <v>1.7980928163844314</v>
      </c>
      <c r="R70" s="268">
        <f t="shared" si="85"/>
        <v>1.7781082879666517</v>
      </c>
      <c r="S70" s="268">
        <f t="shared" si="85"/>
        <v>1.6375521637730042</v>
      </c>
      <c r="T70" s="268">
        <f t="shared" si="85"/>
        <v>1.6041497854753146</v>
      </c>
      <c r="U70" s="268">
        <f t="shared" si="85"/>
        <v>1.7140929096441262</v>
      </c>
    </row>
    <row r="71" spans="2:21">
      <c r="B71" s="266" t="str">
        <f t="shared" si="67"/>
        <v>Otros Gastos</v>
      </c>
      <c r="C71" s="267"/>
      <c r="D71" s="268">
        <f t="shared" ref="D71:P71" si="86">D16/D56</f>
        <v>1</v>
      </c>
      <c r="E71" s="268">
        <f t="shared" si="86"/>
        <v>1.0018437685383483</v>
      </c>
      <c r="F71" s="268">
        <f t="shared" si="86"/>
        <v>1.0547823419494422</v>
      </c>
      <c r="G71" s="268">
        <f t="shared" si="86"/>
        <v>1.1045877853242365</v>
      </c>
      <c r="H71" s="268">
        <f t="shared" si="86"/>
        <v>1.1745936413451497</v>
      </c>
      <c r="I71" s="268">
        <f t="shared" si="86"/>
        <v>1.1745936413451497</v>
      </c>
      <c r="J71" s="268">
        <f t="shared" si="86"/>
        <v>1.2047701953554781</v>
      </c>
      <c r="K71" s="268">
        <f t="shared" si="86"/>
        <v>1.2776518230766261</v>
      </c>
      <c r="L71" s="268">
        <f t="shared" si="86"/>
        <v>1.4209804764956835</v>
      </c>
      <c r="M71" s="268">
        <f t="shared" si="86"/>
        <v>1.4117429687885863</v>
      </c>
      <c r="N71" s="268">
        <f t="shared" si="86"/>
        <v>1.5405161178495135</v>
      </c>
      <c r="O71" s="268">
        <f t="shared" si="86"/>
        <v>1.6383288554086894</v>
      </c>
      <c r="P71" s="268">
        <f t="shared" si="86"/>
        <v>1.7755416954419401</v>
      </c>
      <c r="Q71" s="268">
        <f t="shared" ref="Q71:U71" si="87">Q16/Q56</f>
        <v>1.7980928163844314</v>
      </c>
      <c r="R71" s="268">
        <f t="shared" si="87"/>
        <v>1.7781082879666517</v>
      </c>
      <c r="S71" s="268">
        <f t="shared" si="87"/>
        <v>1.6375521637730042</v>
      </c>
      <c r="T71" s="268">
        <f t="shared" si="87"/>
        <v>1.6041497854753146</v>
      </c>
      <c r="U71" s="268">
        <f t="shared" si="87"/>
        <v>1.7140929096441262</v>
      </c>
    </row>
    <row r="72" spans="2:21">
      <c r="B72" s="71"/>
      <c r="C72" s="71"/>
      <c r="G72" s="269"/>
    </row>
    <row r="73" spans="2:21">
      <c r="I73" s="258"/>
    </row>
    <row r="74" spans="2:21" ht="15.75" thickBot="1"/>
    <row r="75" spans="2:21">
      <c r="B75" s="17" t="s">
        <v>69</v>
      </c>
      <c r="C75" s="17"/>
      <c r="D75" s="164">
        <v>2001</v>
      </c>
      <c r="E75" s="6">
        <f>D75+1</f>
        <v>2002</v>
      </c>
      <c r="F75" s="6">
        <f>E75+1</f>
        <v>2003</v>
      </c>
      <c r="G75" s="6">
        <f>F75+1</f>
        <v>2004</v>
      </c>
      <c r="H75" s="7">
        <f>G75+1</f>
        <v>2005</v>
      </c>
      <c r="I75" s="6">
        <f>G75+1</f>
        <v>2005</v>
      </c>
      <c r="J75" s="6">
        <f t="shared" ref="J75:P75" si="88">I75+1</f>
        <v>2006</v>
      </c>
      <c r="K75" s="6">
        <f t="shared" si="88"/>
        <v>2007</v>
      </c>
      <c r="L75" s="6">
        <f t="shared" si="88"/>
        <v>2008</v>
      </c>
      <c r="M75" s="6">
        <f t="shared" si="88"/>
        <v>2009</v>
      </c>
      <c r="N75" s="6">
        <f t="shared" si="88"/>
        <v>2010</v>
      </c>
      <c r="O75" s="6">
        <f t="shared" si="88"/>
        <v>2011</v>
      </c>
      <c r="P75" s="6">
        <f t="shared" si="88"/>
        <v>2012</v>
      </c>
      <c r="Q75" s="6">
        <f t="shared" ref="Q75:U75" si="89">P75+1</f>
        <v>2013</v>
      </c>
      <c r="R75" s="6">
        <f t="shared" si="89"/>
        <v>2014</v>
      </c>
      <c r="S75" s="6">
        <f t="shared" si="89"/>
        <v>2015</v>
      </c>
      <c r="T75" s="6">
        <f t="shared" si="89"/>
        <v>2016</v>
      </c>
      <c r="U75" s="6">
        <f t="shared" si="89"/>
        <v>2017</v>
      </c>
    </row>
    <row r="76" spans="2:21">
      <c r="B76" s="165" t="s">
        <v>86</v>
      </c>
      <c r="C76" s="165"/>
      <c r="D76" s="181"/>
      <c r="E76" s="36">
        <f>SUMPRODUCT(D61:D71,E46:E56)</f>
        <v>10190211.608437251</v>
      </c>
      <c r="F76" s="36">
        <f>SUMPRODUCT(E61:E71,F46:F56)</f>
        <v>10850639.754387049</v>
      </c>
      <c r="G76" s="36">
        <f>SUMPRODUCT(F61:F71,G46:G56)</f>
        <v>11145713.956650393</v>
      </c>
      <c r="H76" s="36">
        <f>SUMPRODUCT(G61:G71,H46:H56)</f>
        <v>11646457.822093459</v>
      </c>
      <c r="I76" s="36"/>
      <c r="J76" s="36">
        <f t="shared" ref="J76:P76" si="90">SUMPRODUCT(I61:I71,J46:J56)</f>
        <v>13661297.798414366</v>
      </c>
      <c r="K76" s="36">
        <f t="shared" si="90"/>
        <v>13307244.598691598</v>
      </c>
      <c r="L76" s="36">
        <f t="shared" si="90"/>
        <v>13802274.666560339</v>
      </c>
      <c r="M76" s="36">
        <f t="shared" si="90"/>
        <v>16351740.489551641</v>
      </c>
      <c r="N76" s="36">
        <f t="shared" si="90"/>
        <v>15550029.012821166</v>
      </c>
      <c r="O76" s="36">
        <f t="shared" si="90"/>
        <v>18604110.662229329</v>
      </c>
      <c r="P76" s="36">
        <f t="shared" si="90"/>
        <v>20779840.66105672</v>
      </c>
      <c r="Q76" s="36">
        <f t="shared" ref="Q76:T76" si="91">SUMPRODUCT(P61:P71,Q46:Q56)</f>
        <v>23721795.165606752</v>
      </c>
      <c r="R76" s="36">
        <f t="shared" si="91"/>
        <v>25809009.019798022</v>
      </c>
      <c r="S76" s="36">
        <f t="shared" si="91"/>
        <v>27654574.79374674</v>
      </c>
      <c r="T76" s="36">
        <f t="shared" si="91"/>
        <v>25220878.309736267</v>
      </c>
      <c r="U76" s="36">
        <f>SUMPRODUCT(T61:T71,U46:U56)</f>
        <v>25151647.06296736</v>
      </c>
    </row>
    <row r="77" spans="2:21">
      <c r="B77" s="166" t="s">
        <v>75</v>
      </c>
      <c r="C77" s="166"/>
      <c r="D77" s="181"/>
      <c r="E77" s="36">
        <f>SUMPRODUCT(D61:D71,D46:D56)</f>
        <v>9051429</v>
      </c>
      <c r="F77" s="36">
        <f>SUMPRODUCT(E61:E71,E46:E56)</f>
        <v>10209000</v>
      </c>
      <c r="G77" s="36">
        <f>SUMPRODUCT(F61:F71,F46:F56)</f>
        <v>11424000</v>
      </c>
      <c r="H77" s="36">
        <f>SUMPRODUCT(G61:G71,G46:G56)</f>
        <v>11672000</v>
      </c>
      <c r="I77" s="36"/>
      <c r="J77" s="36">
        <f t="shared" ref="J77:P77" si="92">SUMPRODUCT(I61:I71,I46:I56)</f>
        <v>12580999.982234776</v>
      </c>
      <c r="K77" s="36">
        <f t="shared" si="92"/>
        <v>14012271</v>
      </c>
      <c r="L77" s="36">
        <f t="shared" si="92"/>
        <v>14112255.92</v>
      </c>
      <c r="M77" s="36">
        <f t="shared" si="92"/>
        <v>15350631.9</v>
      </c>
      <c r="N77" s="36">
        <f t="shared" si="92"/>
        <v>16245441.120000001</v>
      </c>
      <c r="O77" s="36">
        <f t="shared" si="92"/>
        <v>16968436.079999998</v>
      </c>
      <c r="P77" s="36">
        <f t="shared" si="92"/>
        <v>19785350.490000002</v>
      </c>
      <c r="Q77" s="36">
        <f t="shared" ref="Q77:U77" si="93">SUMPRODUCT(P61:P71,P46:P56)</f>
        <v>22520187.809999999</v>
      </c>
      <c r="R77" s="36">
        <f t="shared" si="93"/>
        <v>24023085.23</v>
      </c>
      <c r="S77" s="36">
        <f t="shared" si="93"/>
        <v>25522160.16</v>
      </c>
      <c r="T77" s="36">
        <f t="shared" si="93"/>
        <v>25468532.539999999</v>
      </c>
      <c r="U77" s="36">
        <f t="shared" si="93"/>
        <v>24706429.16</v>
      </c>
    </row>
    <row r="78" spans="2:21" ht="3.75" customHeight="1" thickBot="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21">
      <c r="B79" s="17" t="s">
        <v>70</v>
      </c>
      <c r="C79" s="17"/>
      <c r="D79" s="164">
        <v>2001</v>
      </c>
      <c r="E79" s="6">
        <f>D79+1</f>
        <v>2002</v>
      </c>
      <c r="F79" s="6">
        <f>E79+1</f>
        <v>2003</v>
      </c>
      <c r="G79" s="6">
        <f>F79+1</f>
        <v>2004</v>
      </c>
      <c r="H79" s="7">
        <f>G79+1</f>
        <v>2005</v>
      </c>
      <c r="I79" s="6">
        <f>G79+1</f>
        <v>2005</v>
      </c>
      <c r="J79" s="6">
        <f t="shared" ref="J79:P79" si="94">I79+1</f>
        <v>2006</v>
      </c>
      <c r="K79" s="6">
        <f t="shared" si="94"/>
        <v>2007</v>
      </c>
      <c r="L79" s="6">
        <f t="shared" si="94"/>
        <v>2008</v>
      </c>
      <c r="M79" s="6">
        <f t="shared" si="94"/>
        <v>2009</v>
      </c>
      <c r="N79" s="6">
        <f t="shared" si="94"/>
        <v>2010</v>
      </c>
      <c r="O79" s="6">
        <f t="shared" si="94"/>
        <v>2011</v>
      </c>
      <c r="P79" s="6">
        <f t="shared" si="94"/>
        <v>2012</v>
      </c>
      <c r="Q79" s="6">
        <f t="shared" ref="Q79:U79" si="95">P79+1</f>
        <v>2013</v>
      </c>
      <c r="R79" s="6">
        <f t="shared" si="95"/>
        <v>2014</v>
      </c>
      <c r="S79" s="6">
        <f t="shared" si="95"/>
        <v>2015</v>
      </c>
      <c r="T79" s="6">
        <f t="shared" si="95"/>
        <v>2016</v>
      </c>
      <c r="U79" s="6">
        <f t="shared" si="95"/>
        <v>2017</v>
      </c>
    </row>
    <row r="80" spans="2:21">
      <c r="B80" s="165" t="s">
        <v>86</v>
      </c>
      <c r="C80" s="165"/>
      <c r="D80" s="181"/>
      <c r="E80" s="36">
        <f>SUMPRODUCT(E61:E71,E46:E56)</f>
        <v>10209000</v>
      </c>
      <c r="F80" s="36">
        <f>SUMPRODUCT(F61:F71,F46:F56)</f>
        <v>11424000</v>
      </c>
      <c r="G80" s="36">
        <f>SUMPRODUCT(G61:G71,G46:G56)</f>
        <v>11672000</v>
      </c>
      <c r="H80" s="36">
        <f>SUMPRODUCT(H61:H71,H46:H56)</f>
        <v>12384579.554272298</v>
      </c>
      <c r="I80" s="36"/>
      <c r="J80" s="36">
        <f t="shared" ref="J80:P80" si="96">SUMPRODUCT(J61:J71,J46:J56)</f>
        <v>14012271</v>
      </c>
      <c r="K80" s="36">
        <f t="shared" si="96"/>
        <v>14112255.92</v>
      </c>
      <c r="L80" s="36">
        <f t="shared" si="96"/>
        <v>15350631.9</v>
      </c>
      <c r="M80" s="36">
        <f t="shared" si="96"/>
        <v>16245441.120000001</v>
      </c>
      <c r="N80" s="36">
        <f t="shared" si="96"/>
        <v>16968436.079999998</v>
      </c>
      <c r="O80" s="36">
        <f t="shared" si="96"/>
        <v>19785350.490000002</v>
      </c>
      <c r="P80" s="36">
        <f t="shared" si="96"/>
        <v>22520187.809999999</v>
      </c>
      <c r="Q80" s="36">
        <f t="shared" ref="Q80:U80" si="97">SUMPRODUCT(Q61:Q71,Q46:Q56)</f>
        <v>24023085.23</v>
      </c>
      <c r="R80" s="36">
        <f t="shared" si="97"/>
        <v>25522160.16</v>
      </c>
      <c r="S80" s="36">
        <f t="shared" si="97"/>
        <v>25468532.539999999</v>
      </c>
      <c r="T80" s="36">
        <f t="shared" si="97"/>
        <v>24706429.16</v>
      </c>
      <c r="U80" s="36">
        <f t="shared" si="97"/>
        <v>26875457.82</v>
      </c>
    </row>
    <row r="81" spans="2:21">
      <c r="B81" s="166" t="s">
        <v>75</v>
      </c>
      <c r="C81" s="166"/>
      <c r="D81" s="181"/>
      <c r="E81" s="36">
        <f>SUMPRODUCT(E61:E71,D46:D56)</f>
        <v>9068117.7400172949</v>
      </c>
      <c r="F81" s="36">
        <f>SUMPRODUCT(F61:F71,E46:E56)</f>
        <v>10748455.265307838</v>
      </c>
      <c r="G81" s="36">
        <f>SUMPRODUCT(G61:G71,F46:F56)</f>
        <v>11963426.346540904</v>
      </c>
      <c r="H81" s="36">
        <f>SUMPRODUCT(H61:H71,G46:G56)</f>
        <v>12411740.52794387</v>
      </c>
      <c r="I81" s="36"/>
      <c r="J81" s="36">
        <f t="shared" ref="J81:P81" si="98">SUMPRODUCT(J61:J71,I46:I56)</f>
        <v>12904219.189375274</v>
      </c>
      <c r="K81" s="36">
        <f t="shared" si="98"/>
        <v>14859932.340301096</v>
      </c>
      <c r="L81" s="36">
        <f t="shared" si="98"/>
        <v>15695387.25608499</v>
      </c>
      <c r="M81" s="36">
        <f t="shared" si="98"/>
        <v>15250840.535635332</v>
      </c>
      <c r="N81" s="36">
        <f t="shared" si="98"/>
        <v>17727280.702102825</v>
      </c>
      <c r="O81" s="36">
        <f t="shared" si="98"/>
        <v>18045821.227647528</v>
      </c>
      <c r="P81" s="36">
        <f t="shared" si="98"/>
        <v>21442407.388450921</v>
      </c>
      <c r="Q81" s="36">
        <f t="shared" ref="Q81:U81" si="99">SUMPRODUCT(Q61:Q71,P46:P56)</f>
        <v>22806216.282468233</v>
      </c>
      <c r="R81" s="36">
        <f t="shared" si="99"/>
        <v>23756085.648506183</v>
      </c>
      <c r="S81" s="36">
        <f t="shared" si="99"/>
        <v>23504681.282354496</v>
      </c>
      <c r="T81" s="36">
        <f t="shared" si="99"/>
        <v>24949031.801392674</v>
      </c>
      <c r="U81" s="36">
        <f t="shared" si="99"/>
        <v>26399726.153522942</v>
      </c>
    </row>
    <row r="82" spans="2:21" ht="3" customHeight="1" thickBot="1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21" ht="15.75" thickBot="1">
      <c r="D83" s="164">
        <v>2001</v>
      </c>
      <c r="E83" s="6">
        <f>D83+1</f>
        <v>2002</v>
      </c>
      <c r="F83" s="6">
        <f>E83+1</f>
        <v>2003</v>
      </c>
      <c r="G83" s="6">
        <f>F83+1</f>
        <v>2004</v>
      </c>
      <c r="H83" s="7">
        <f>G83+1</f>
        <v>2005</v>
      </c>
      <c r="I83" s="6">
        <f>G83+1</f>
        <v>2005</v>
      </c>
      <c r="J83" s="6">
        <f t="shared" ref="J83:P83" si="100">I83+1</f>
        <v>2006</v>
      </c>
      <c r="K83" s="6">
        <f t="shared" si="100"/>
        <v>2007</v>
      </c>
      <c r="L83" s="6">
        <f t="shared" si="100"/>
        <v>2008</v>
      </c>
      <c r="M83" s="6">
        <f t="shared" si="100"/>
        <v>2009</v>
      </c>
      <c r="N83" s="6">
        <f t="shared" si="100"/>
        <v>2010</v>
      </c>
      <c r="O83" s="6">
        <f t="shared" si="100"/>
        <v>2011</v>
      </c>
      <c r="P83" s="6">
        <f t="shared" si="100"/>
        <v>2012</v>
      </c>
      <c r="Q83" s="6">
        <f t="shared" ref="Q83:U83" si="101">P83+1</f>
        <v>2013</v>
      </c>
      <c r="R83" s="6">
        <f t="shared" si="101"/>
        <v>2014</v>
      </c>
      <c r="S83" s="6">
        <f t="shared" si="101"/>
        <v>2015</v>
      </c>
      <c r="T83" s="6">
        <f t="shared" si="101"/>
        <v>2016</v>
      </c>
      <c r="U83" s="6">
        <f t="shared" si="101"/>
        <v>2017</v>
      </c>
    </row>
    <row r="84" spans="2:21" ht="30.75" thickBot="1">
      <c r="B84" s="167" t="s">
        <v>68</v>
      </c>
      <c r="C84" s="167"/>
      <c r="D84" s="270"/>
      <c r="E84" s="42">
        <f t="shared" ref="E84:U84" si="102">((E76/E77)*(E80/E81))^0.5</f>
        <v>1.1258124665660252</v>
      </c>
      <c r="F84" s="42">
        <f t="shared" si="102"/>
        <v>1.0628504020361491</v>
      </c>
      <c r="G84" s="42">
        <f t="shared" si="102"/>
        <v>0.97564022729782862</v>
      </c>
      <c r="H84" s="42">
        <f t="shared" si="102"/>
        <v>0.9978116708441962</v>
      </c>
      <c r="I84" s="42"/>
      <c r="J84" s="42">
        <f t="shared" si="102"/>
        <v>1.0858674046343728</v>
      </c>
      <c r="K84" s="42">
        <f t="shared" si="102"/>
        <v>0.94968507236918243</v>
      </c>
      <c r="L84" s="42">
        <f t="shared" si="102"/>
        <v>0.97803460657198305</v>
      </c>
      <c r="M84" s="42">
        <f t="shared" si="102"/>
        <v>1.0652161159275564</v>
      </c>
      <c r="N84" s="42">
        <f t="shared" si="102"/>
        <v>0.95719339954870752</v>
      </c>
      <c r="O84" s="42">
        <f t="shared" si="102"/>
        <v>1.0963951288449754</v>
      </c>
      <c r="P84" s="42">
        <f t="shared" si="102"/>
        <v>1.0502639653292651</v>
      </c>
      <c r="Q84" s="42">
        <f t="shared" si="102"/>
        <v>1.0533568976308976</v>
      </c>
      <c r="R84" s="42">
        <f t="shared" si="102"/>
        <v>1.0743419828344014</v>
      </c>
      <c r="S84" s="42">
        <f t="shared" si="102"/>
        <v>1.0835514948726326</v>
      </c>
      <c r="T84" s="42">
        <f t="shared" si="102"/>
        <v>0.99027606989626216</v>
      </c>
      <c r="U84" s="42">
        <f t="shared" si="102"/>
        <v>1.0180203258060527</v>
      </c>
    </row>
    <row r="85" spans="2:21" ht="2.25" customHeight="1" thickBot="1">
      <c r="E85" s="271"/>
      <c r="F85" s="271"/>
      <c r="G85" s="271"/>
      <c r="H85" s="271"/>
      <c r="I85" s="271"/>
      <c r="J85" s="271"/>
      <c r="K85" s="271"/>
    </row>
    <row r="86" spans="2:21" ht="12" hidden="1" customHeight="1" thickBot="1">
      <c r="E86" s="271"/>
      <c r="F86" s="271"/>
      <c r="G86" s="271"/>
      <c r="H86" s="271"/>
      <c r="I86" s="271"/>
      <c r="J86" s="271"/>
      <c r="K86" s="271"/>
    </row>
    <row r="87" spans="2:21" ht="30.75" thickBot="1">
      <c r="B87" s="167" t="s">
        <v>68</v>
      </c>
      <c r="C87" s="17"/>
      <c r="D87" s="164"/>
      <c r="E87" s="6">
        <f>+E83</f>
        <v>2002</v>
      </c>
      <c r="F87" s="6">
        <f>E87+1</f>
        <v>2003</v>
      </c>
      <c r="G87" s="6">
        <f>F87+1</f>
        <v>2004</v>
      </c>
      <c r="H87" s="7">
        <f>G87+1</f>
        <v>2005</v>
      </c>
      <c r="I87" s="6">
        <f>G87+1</f>
        <v>2005</v>
      </c>
      <c r="J87" s="6">
        <f t="shared" ref="J87:P87" si="103">I87+1</f>
        <v>2006</v>
      </c>
      <c r="K87" s="194">
        <f t="shared" si="103"/>
        <v>2007</v>
      </c>
      <c r="L87" s="6">
        <f t="shared" si="103"/>
        <v>2008</v>
      </c>
      <c r="M87" s="194">
        <f t="shared" si="103"/>
        <v>2009</v>
      </c>
      <c r="N87" s="6">
        <f t="shared" si="103"/>
        <v>2010</v>
      </c>
      <c r="O87" s="194">
        <f t="shared" si="103"/>
        <v>2011</v>
      </c>
      <c r="P87" s="6">
        <f t="shared" si="103"/>
        <v>2012</v>
      </c>
      <c r="Q87" s="194">
        <f t="shared" ref="Q87:U87" si="104">P87+1</f>
        <v>2013</v>
      </c>
      <c r="R87" s="6">
        <f t="shared" si="104"/>
        <v>2014</v>
      </c>
      <c r="S87" s="194">
        <f t="shared" si="104"/>
        <v>2015</v>
      </c>
      <c r="T87" s="6">
        <f t="shared" si="104"/>
        <v>2016</v>
      </c>
      <c r="U87" s="194">
        <f t="shared" si="104"/>
        <v>2017</v>
      </c>
    </row>
    <row r="88" spans="2:21" ht="15.75" thickBot="1">
      <c r="B88" s="609"/>
      <c r="C88" s="610"/>
      <c r="D88" s="610"/>
      <c r="E88" s="611">
        <f>LN(E84)</f>
        <v>0.11850496750399925</v>
      </c>
      <c r="F88" s="611">
        <f>LN(F84)</f>
        <v>6.0954357599285733E-2</v>
      </c>
      <c r="G88" s="611">
        <f>LN(G84)</f>
        <v>-2.4661380097836538E-2</v>
      </c>
      <c r="H88" s="611">
        <f>LN(H84)</f>
        <v>-2.1907270469396192E-3</v>
      </c>
      <c r="I88" s="611"/>
      <c r="J88" s="611">
        <f t="shared" ref="J88:U88" si="105">LN(J84)</f>
        <v>8.2379118877384902E-2</v>
      </c>
      <c r="K88" s="611">
        <f t="shared" si="105"/>
        <v>-5.1624852116021629E-2</v>
      </c>
      <c r="L88" s="611">
        <f t="shared" si="105"/>
        <v>-2.2210224530428133E-2</v>
      </c>
      <c r="M88" s="611">
        <f t="shared" si="105"/>
        <v>6.3177704328316764E-2</v>
      </c>
      <c r="N88" s="611">
        <f t="shared" si="105"/>
        <v>-4.3749818553904543E-2</v>
      </c>
      <c r="O88" s="611">
        <f t="shared" si="105"/>
        <v>9.2027642573595456E-2</v>
      </c>
      <c r="P88" s="611">
        <f t="shared" si="105"/>
        <v>4.9041528126546427E-2</v>
      </c>
      <c r="Q88" s="611">
        <f t="shared" si="105"/>
        <v>5.198210984905384E-2</v>
      </c>
      <c r="R88" s="611">
        <f t="shared" si="105"/>
        <v>7.1708365173180119E-2</v>
      </c>
      <c r="S88" s="611">
        <f t="shared" si="105"/>
        <v>8.0244067281759812E-2</v>
      </c>
      <c r="T88" s="611">
        <f t="shared" si="105"/>
        <v>-9.7715162462280979E-3</v>
      </c>
      <c r="U88" s="611">
        <f t="shared" si="105"/>
        <v>1.7859884339665708E-2</v>
      </c>
    </row>
    <row r="89" spans="2:21">
      <c r="B89" s="612"/>
      <c r="C89" s="612"/>
      <c r="D89" s="612"/>
      <c r="E89" s="613"/>
      <c r="F89" s="613"/>
      <c r="G89" s="613"/>
      <c r="H89" s="613"/>
      <c r="I89" s="613"/>
      <c r="J89" s="613"/>
      <c r="K89" s="613"/>
      <c r="L89" s="612"/>
      <c r="M89" s="612"/>
      <c r="N89" s="612"/>
      <c r="O89" s="612"/>
      <c r="P89" s="612"/>
      <c r="Q89" s="677"/>
      <c r="R89" s="677"/>
      <c r="S89" s="677"/>
      <c r="T89" s="677"/>
      <c r="U89" s="614">
        <f>+AVERAGE($E$88:U88)</f>
        <v>3.335445169133934E-2</v>
      </c>
    </row>
    <row r="90" spans="2:21" ht="15.75" thickBot="1"/>
    <row r="91" spans="2:21">
      <c r="B91" s="17" t="s">
        <v>80</v>
      </c>
      <c r="C91" s="17"/>
      <c r="D91" s="164">
        <v>2001</v>
      </c>
      <c r="E91" s="6">
        <f>D91+1</f>
        <v>2002</v>
      </c>
      <c r="F91" s="6">
        <f>E91+1</f>
        <v>2003</v>
      </c>
      <c r="G91" s="6">
        <f>F91+1</f>
        <v>2004</v>
      </c>
      <c r="H91" s="7">
        <f>G91+1</f>
        <v>2005</v>
      </c>
      <c r="I91" s="6">
        <f>G91+1</f>
        <v>2005</v>
      </c>
      <c r="J91" s="6">
        <f t="shared" ref="J91:P91" si="106">I91+1</f>
        <v>2006</v>
      </c>
      <c r="K91" s="6">
        <f t="shared" si="106"/>
        <v>2007</v>
      </c>
      <c r="L91" s="6">
        <f t="shared" si="106"/>
        <v>2008</v>
      </c>
      <c r="M91" s="6">
        <f t="shared" si="106"/>
        <v>2009</v>
      </c>
      <c r="N91" s="6">
        <f t="shared" si="106"/>
        <v>2010</v>
      </c>
      <c r="O91" s="6">
        <f t="shared" si="106"/>
        <v>2011</v>
      </c>
      <c r="P91" s="6">
        <f t="shared" si="106"/>
        <v>2012</v>
      </c>
      <c r="Q91" s="6">
        <f t="shared" ref="Q91:U91" si="107">P91+1</f>
        <v>2013</v>
      </c>
      <c r="R91" s="6">
        <f t="shared" si="107"/>
        <v>2014</v>
      </c>
      <c r="S91" s="6">
        <f t="shared" si="107"/>
        <v>2015</v>
      </c>
      <c r="T91" s="6">
        <f t="shared" si="107"/>
        <v>2016</v>
      </c>
      <c r="U91" s="6">
        <f t="shared" si="107"/>
        <v>2017</v>
      </c>
    </row>
    <row r="92" spans="2:21">
      <c r="B92" s="165" t="s">
        <v>86</v>
      </c>
      <c r="C92" s="165"/>
      <c r="D92" s="181"/>
      <c r="E92" s="36">
        <f>SUMPRODUCT(D46:D56,E61:E71)</f>
        <v>9068117.7400172949</v>
      </c>
      <c r="F92" s="36">
        <f>SUMPRODUCT(E46:E56,F61:F71)</f>
        <v>10748455.265307838</v>
      </c>
      <c r="G92" s="36">
        <f>SUMPRODUCT(F46:F56,G61:G71)</f>
        <v>11963426.346540904</v>
      </c>
      <c r="H92" s="36">
        <f>SUMPRODUCT(G46:G56,H61:H71)</f>
        <v>12411740.52794387</v>
      </c>
      <c r="I92" s="36"/>
      <c r="J92" s="36">
        <f t="shared" ref="J92:P92" si="108">SUMPRODUCT(I46:I56,J61:J71)</f>
        <v>12904219.189375274</v>
      </c>
      <c r="K92" s="36">
        <f t="shared" si="108"/>
        <v>14859932.340301096</v>
      </c>
      <c r="L92" s="36">
        <f t="shared" si="108"/>
        <v>15695387.25608499</v>
      </c>
      <c r="M92" s="36">
        <f t="shared" si="108"/>
        <v>15250840.535635332</v>
      </c>
      <c r="N92" s="36">
        <f t="shared" si="108"/>
        <v>17727280.702102825</v>
      </c>
      <c r="O92" s="36">
        <f t="shared" si="108"/>
        <v>18045821.227647528</v>
      </c>
      <c r="P92" s="36">
        <f t="shared" si="108"/>
        <v>21442407.388450921</v>
      </c>
      <c r="Q92" s="36">
        <f t="shared" ref="Q92:U92" si="109">SUMPRODUCT(P46:P56,Q61:Q71)</f>
        <v>22806216.282468233</v>
      </c>
      <c r="R92" s="36">
        <f t="shared" si="109"/>
        <v>23756085.648506183</v>
      </c>
      <c r="S92" s="36">
        <f t="shared" si="109"/>
        <v>23504681.282354496</v>
      </c>
      <c r="T92" s="36">
        <f t="shared" si="109"/>
        <v>24949031.801392674</v>
      </c>
      <c r="U92" s="36">
        <f t="shared" si="109"/>
        <v>26399726.153522942</v>
      </c>
    </row>
    <row r="93" spans="2:21">
      <c r="B93" s="166" t="s">
        <v>75</v>
      </c>
      <c r="C93" s="166"/>
      <c r="D93" s="181"/>
      <c r="E93" s="36">
        <f>SUMPRODUCT(D46:D56,D61:D71)</f>
        <v>9051429</v>
      </c>
      <c r="F93" s="36">
        <f>SUMPRODUCT(E46:E56,E61:E71)</f>
        <v>10209000</v>
      </c>
      <c r="G93" s="36">
        <f>SUMPRODUCT(F46:F56,F61:F71)</f>
        <v>11424000</v>
      </c>
      <c r="H93" s="36">
        <f>SUMPRODUCT(G46:G56,G61:G71)</f>
        <v>11672000</v>
      </c>
      <c r="I93" s="36"/>
      <c r="J93" s="36">
        <f t="shared" ref="J93:P93" si="110">SUMPRODUCT(I46:I56,I61:I71)</f>
        <v>12580999.982234776</v>
      </c>
      <c r="K93" s="36">
        <f t="shared" si="110"/>
        <v>14012271</v>
      </c>
      <c r="L93" s="36">
        <f t="shared" si="110"/>
        <v>14112255.92</v>
      </c>
      <c r="M93" s="36">
        <f t="shared" si="110"/>
        <v>15350631.9</v>
      </c>
      <c r="N93" s="36">
        <f t="shared" si="110"/>
        <v>16245441.120000001</v>
      </c>
      <c r="O93" s="36">
        <f t="shared" si="110"/>
        <v>16968436.079999998</v>
      </c>
      <c r="P93" s="36">
        <f t="shared" si="110"/>
        <v>19785350.490000002</v>
      </c>
      <c r="Q93" s="36">
        <f t="shared" ref="Q93:U93" si="111">SUMPRODUCT(P46:P56,P61:P71)</f>
        <v>22520187.809999999</v>
      </c>
      <c r="R93" s="36">
        <f t="shared" si="111"/>
        <v>24023085.23</v>
      </c>
      <c r="S93" s="36">
        <f t="shared" si="111"/>
        <v>25522160.16</v>
      </c>
      <c r="T93" s="36">
        <f t="shared" si="111"/>
        <v>25468532.539999999</v>
      </c>
      <c r="U93" s="36">
        <f t="shared" si="111"/>
        <v>24706429.16</v>
      </c>
    </row>
    <row r="94" spans="2:21" ht="15.75" thickBot="1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21">
      <c r="B95" s="17" t="s">
        <v>81</v>
      </c>
      <c r="C95" s="17"/>
      <c r="D95" s="164">
        <v>2001</v>
      </c>
      <c r="E95" s="6">
        <f>D95+1</f>
        <v>2002</v>
      </c>
      <c r="F95" s="6">
        <f>E95+1</f>
        <v>2003</v>
      </c>
      <c r="G95" s="6">
        <f>F95+1</f>
        <v>2004</v>
      </c>
      <c r="H95" s="7">
        <f>G95+1</f>
        <v>2005</v>
      </c>
      <c r="I95" s="6">
        <f>G95+1</f>
        <v>2005</v>
      </c>
      <c r="J95" s="6">
        <f t="shared" ref="J95:P95" si="112">I95+1</f>
        <v>2006</v>
      </c>
      <c r="K95" s="6">
        <f t="shared" si="112"/>
        <v>2007</v>
      </c>
      <c r="L95" s="6">
        <f t="shared" si="112"/>
        <v>2008</v>
      </c>
      <c r="M95" s="6">
        <f t="shared" si="112"/>
        <v>2009</v>
      </c>
      <c r="N95" s="6">
        <f t="shared" si="112"/>
        <v>2010</v>
      </c>
      <c r="O95" s="6">
        <f t="shared" si="112"/>
        <v>2011</v>
      </c>
      <c r="P95" s="6">
        <f t="shared" si="112"/>
        <v>2012</v>
      </c>
      <c r="Q95" s="6">
        <f t="shared" ref="Q95:U95" si="113">P95+1</f>
        <v>2013</v>
      </c>
      <c r="R95" s="6">
        <f t="shared" si="113"/>
        <v>2014</v>
      </c>
      <c r="S95" s="6">
        <f t="shared" si="113"/>
        <v>2015</v>
      </c>
      <c r="T95" s="6">
        <f t="shared" si="113"/>
        <v>2016</v>
      </c>
      <c r="U95" s="6">
        <f t="shared" si="113"/>
        <v>2017</v>
      </c>
    </row>
    <row r="96" spans="2:21">
      <c r="B96" s="165" t="s">
        <v>86</v>
      </c>
      <c r="C96" s="165"/>
      <c r="D96" s="181"/>
      <c r="E96" s="36">
        <f>SUMPRODUCT(E46:E56,E61:E71)</f>
        <v>10209000</v>
      </c>
      <c r="F96" s="36">
        <f t="shared" ref="F96:K96" si="114">SUMPRODUCT(F46:F56,F61:F71)</f>
        <v>11424000</v>
      </c>
      <c r="G96" s="36">
        <f t="shared" si="114"/>
        <v>11672000</v>
      </c>
      <c r="H96" s="36">
        <f t="shared" si="114"/>
        <v>12384579.554272298</v>
      </c>
      <c r="I96" s="36"/>
      <c r="J96" s="36">
        <f t="shared" si="114"/>
        <v>14012271</v>
      </c>
      <c r="K96" s="36">
        <f t="shared" si="114"/>
        <v>14112255.92</v>
      </c>
      <c r="L96" s="36">
        <f>SUMPRODUCT(L46:L56,L61:L71)</f>
        <v>15350631.9</v>
      </c>
      <c r="M96" s="36">
        <f>SUMPRODUCT(M46:M56,M61:M71)</f>
        <v>16245441.120000001</v>
      </c>
      <c r="N96" s="36">
        <f>SUMPRODUCT(N46:N56,N61:N71)</f>
        <v>16968436.079999998</v>
      </c>
      <c r="O96" s="36">
        <f>SUMPRODUCT(O46:O56,O61:O71)</f>
        <v>19785350.490000002</v>
      </c>
      <c r="P96" s="36">
        <f>SUMPRODUCT(P46:P56,P61:P71)</f>
        <v>22520187.809999999</v>
      </c>
      <c r="Q96" s="36">
        <f t="shared" ref="Q96:U96" si="115">SUMPRODUCT(Q46:Q56,Q61:Q71)</f>
        <v>24023085.23</v>
      </c>
      <c r="R96" s="36">
        <f t="shared" si="115"/>
        <v>25522160.16</v>
      </c>
      <c r="S96" s="36">
        <f t="shared" si="115"/>
        <v>25468532.539999999</v>
      </c>
      <c r="T96" s="36">
        <f t="shared" si="115"/>
        <v>24706429.16</v>
      </c>
      <c r="U96" s="36">
        <f t="shared" si="115"/>
        <v>26875457.82</v>
      </c>
    </row>
    <row r="97" spans="2:21">
      <c r="B97" s="166" t="s">
        <v>75</v>
      </c>
      <c r="C97" s="166"/>
      <c r="D97" s="181"/>
      <c r="E97" s="36">
        <f>SUMPRODUCT(E46:E56,D61:D71)</f>
        <v>10190211.608437251</v>
      </c>
      <c r="F97" s="36">
        <f t="shared" ref="F97:K97" si="116">SUMPRODUCT(F46:F56,E61:E71)</f>
        <v>10850639.754387049</v>
      </c>
      <c r="G97" s="36">
        <f t="shared" si="116"/>
        <v>11145713.956650393</v>
      </c>
      <c r="H97" s="36">
        <f t="shared" si="116"/>
        <v>11646457.822093459</v>
      </c>
      <c r="I97" s="36"/>
      <c r="J97" s="36">
        <f t="shared" si="116"/>
        <v>13661297.798414366</v>
      </c>
      <c r="K97" s="36">
        <f t="shared" si="116"/>
        <v>13307244.598691598</v>
      </c>
      <c r="L97" s="36">
        <f>SUMPRODUCT(L46:L56,K61:K71)</f>
        <v>13802274.666560339</v>
      </c>
      <c r="M97" s="36">
        <f>SUMPRODUCT(M46:M56,L61:L71)</f>
        <v>16351740.489551641</v>
      </c>
      <c r="N97" s="36">
        <f>SUMPRODUCT(N46:N56,M61:M71)</f>
        <v>15550029.012821166</v>
      </c>
      <c r="O97" s="36">
        <f>SUMPRODUCT(O46:O56,N61:N71)</f>
        <v>18604110.662229329</v>
      </c>
      <c r="P97" s="36">
        <f>SUMPRODUCT(P46:P56,O61:O71)</f>
        <v>20779840.66105672</v>
      </c>
      <c r="Q97" s="36">
        <f t="shared" ref="Q97:U97" si="117">SUMPRODUCT(Q46:Q56,P61:P71)</f>
        <v>23721795.165606752</v>
      </c>
      <c r="R97" s="36">
        <f t="shared" si="117"/>
        <v>25809009.019798022</v>
      </c>
      <c r="S97" s="36">
        <f t="shared" si="117"/>
        <v>27654574.79374674</v>
      </c>
      <c r="T97" s="36">
        <f t="shared" si="117"/>
        <v>25220878.309736267</v>
      </c>
      <c r="U97" s="36">
        <f t="shared" si="117"/>
        <v>25151647.06296736</v>
      </c>
    </row>
    <row r="98" spans="2:21" ht="15.75" thickBot="1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21" ht="15.75" thickBot="1">
      <c r="D99" s="164">
        <v>2001</v>
      </c>
      <c r="E99" s="6">
        <f>D99+1</f>
        <v>2002</v>
      </c>
      <c r="F99" s="6">
        <f>E99+1</f>
        <v>2003</v>
      </c>
      <c r="G99" s="6">
        <f>F99+1</f>
        <v>2004</v>
      </c>
      <c r="H99" s="7">
        <f>G99+1</f>
        <v>2005</v>
      </c>
      <c r="I99" s="6">
        <f>G99+1</f>
        <v>2005</v>
      </c>
      <c r="J99" s="6">
        <f t="shared" ref="J99:P99" si="118">I99+1</f>
        <v>2006</v>
      </c>
      <c r="K99" s="6">
        <f t="shared" si="118"/>
        <v>2007</v>
      </c>
      <c r="L99" s="6">
        <f t="shared" si="118"/>
        <v>2008</v>
      </c>
      <c r="M99" s="6">
        <f t="shared" si="118"/>
        <v>2009</v>
      </c>
      <c r="N99" s="6">
        <f t="shared" si="118"/>
        <v>2010</v>
      </c>
      <c r="O99" s="6">
        <f t="shared" si="118"/>
        <v>2011</v>
      </c>
      <c r="P99" s="6">
        <f t="shared" si="118"/>
        <v>2012</v>
      </c>
      <c r="Q99" s="6">
        <f t="shared" ref="Q99:U99" si="119">P99+1</f>
        <v>2013</v>
      </c>
      <c r="R99" s="6">
        <f t="shared" si="119"/>
        <v>2014</v>
      </c>
      <c r="S99" s="6">
        <f t="shared" si="119"/>
        <v>2015</v>
      </c>
      <c r="T99" s="6">
        <f t="shared" si="119"/>
        <v>2016</v>
      </c>
      <c r="U99" s="6">
        <f t="shared" si="119"/>
        <v>2017</v>
      </c>
    </row>
    <row r="100" spans="2:21" ht="15.75" thickBot="1">
      <c r="B100" s="167" t="s">
        <v>82</v>
      </c>
      <c r="C100" s="167"/>
      <c r="D100" s="270"/>
      <c r="E100" s="42">
        <f>((E92/E93)*(E96/E97))^0.5</f>
        <v>1.0018437685383483</v>
      </c>
      <c r="F100" s="42">
        <f>((F92/F93)*(F96/F97))^0.5</f>
        <v>1.0528411465675225</v>
      </c>
      <c r="G100" s="42">
        <f>((G92/G93)*(G96/G97))^0.5</f>
        <v>1.0472186927994491</v>
      </c>
      <c r="H100" s="42">
        <f>((H92/H93)*(H96/H97))^0.5</f>
        <v>1.0633773584598927</v>
      </c>
      <c r="I100" s="42"/>
      <c r="J100" s="42">
        <f t="shared" ref="J100:U100" si="120">((J92/J93)*(J96/J97))^0.5</f>
        <v>1.025691058548359</v>
      </c>
      <c r="K100" s="42">
        <f t="shared" si="120"/>
        <v>1.0604942154131258</v>
      </c>
      <c r="L100" s="42">
        <f t="shared" si="120"/>
        <v>1.1121813085774164</v>
      </c>
      <c r="M100" s="42">
        <f t="shared" si="120"/>
        <v>0.9934992015302857</v>
      </c>
      <c r="N100" s="42">
        <f t="shared" si="120"/>
        <v>1.0912157183764315</v>
      </c>
      <c r="O100" s="42">
        <f t="shared" si="120"/>
        <v>1.0634934853493891</v>
      </c>
      <c r="P100" s="42">
        <f t="shared" si="120"/>
        <v>1.0837517080775718</v>
      </c>
      <c r="Q100" s="42">
        <f t="shared" si="120"/>
        <v>1.0127009807769556</v>
      </c>
      <c r="R100" s="42">
        <f t="shared" si="120"/>
        <v>0.98888570810378729</v>
      </c>
      <c r="S100" s="42">
        <f t="shared" si="120"/>
        <v>0.92095187613439455</v>
      </c>
      <c r="T100" s="42">
        <f t="shared" si="120"/>
        <v>0.97960225082495767</v>
      </c>
      <c r="U100" s="42">
        <f t="shared" si="120"/>
        <v>1.0685366947427761</v>
      </c>
    </row>
    <row r="101" spans="2:21" ht="12" customHeight="1">
      <c r="B101" s="2"/>
      <c r="E101" s="271"/>
      <c r="F101" s="271"/>
      <c r="G101" s="271"/>
      <c r="H101" s="271"/>
      <c r="I101" s="271"/>
      <c r="J101" s="271"/>
      <c r="K101" s="271"/>
    </row>
    <row r="102" spans="2:21" ht="12" customHeight="1" thickBot="1">
      <c r="B102" s="2"/>
      <c r="E102" s="271"/>
      <c r="F102" s="271"/>
      <c r="G102" s="271"/>
      <c r="H102" s="271"/>
      <c r="I102" s="271"/>
      <c r="J102" s="271"/>
      <c r="K102" s="271"/>
    </row>
    <row r="103" spans="2:21" ht="30.75" thickBot="1">
      <c r="B103" s="169" t="s">
        <v>396</v>
      </c>
      <c r="C103" s="17"/>
      <c r="D103" s="164"/>
      <c r="E103" s="6">
        <f>+E99</f>
        <v>2002</v>
      </c>
      <c r="F103" s="6">
        <f>E103+1</f>
        <v>2003</v>
      </c>
      <c r="G103" s="6">
        <f>F103+1</f>
        <v>2004</v>
      </c>
      <c r="H103" s="7">
        <f>G103+1</f>
        <v>2005</v>
      </c>
      <c r="I103" s="6">
        <f>G103+1</f>
        <v>2005</v>
      </c>
      <c r="J103" s="6">
        <f t="shared" ref="J103:P103" si="121">I103+1</f>
        <v>2006</v>
      </c>
      <c r="K103" s="194">
        <f t="shared" si="121"/>
        <v>2007</v>
      </c>
      <c r="L103" s="6">
        <f t="shared" si="121"/>
        <v>2008</v>
      </c>
      <c r="M103" s="194">
        <f t="shared" si="121"/>
        <v>2009</v>
      </c>
      <c r="N103" s="6">
        <f t="shared" si="121"/>
        <v>2010</v>
      </c>
      <c r="O103" s="194">
        <f t="shared" si="121"/>
        <v>2011</v>
      </c>
      <c r="P103" s="6">
        <f t="shared" si="121"/>
        <v>2012</v>
      </c>
      <c r="Q103" s="194">
        <f t="shared" ref="Q103:U103" si="122">P103+1</f>
        <v>2013</v>
      </c>
      <c r="R103" s="6">
        <f t="shared" si="122"/>
        <v>2014</v>
      </c>
      <c r="S103" s="194">
        <f t="shared" si="122"/>
        <v>2015</v>
      </c>
      <c r="T103" s="6">
        <f t="shared" si="122"/>
        <v>2016</v>
      </c>
      <c r="U103" s="194">
        <f t="shared" si="122"/>
        <v>2017</v>
      </c>
    </row>
    <row r="104" spans="2:21" ht="15.75" thickBot="1">
      <c r="B104" s="609"/>
      <c r="C104" s="610"/>
      <c r="D104" s="610"/>
      <c r="E104" s="611">
        <f>LN(E100)</f>
        <v>1.842070883538213E-3</v>
      </c>
      <c r="F104" s="611">
        <f>LN(F100)</f>
        <v>5.1492363811064326E-2</v>
      </c>
      <c r="G104" s="611">
        <f>LN(G100)</f>
        <v>4.6137785721092638E-2</v>
      </c>
      <c r="H104" s="611">
        <f>LN(H100)</f>
        <v>6.1450030211903373E-2</v>
      </c>
      <c r="I104" s="611"/>
      <c r="J104" s="611">
        <f t="shared" ref="J104:U104" si="123">LN(J100)</f>
        <v>2.5366588879132661E-2</v>
      </c>
      <c r="K104" s="611">
        <f t="shared" si="123"/>
        <v>5.8735040423212544E-2</v>
      </c>
      <c r="L104" s="611">
        <f t="shared" si="123"/>
        <v>0.10632322981947649</v>
      </c>
      <c r="M104" s="611">
        <f t="shared" si="123"/>
        <v>-6.522020684311975E-3</v>
      </c>
      <c r="N104" s="611">
        <f t="shared" si="123"/>
        <v>8.729241267379774E-2</v>
      </c>
      <c r="O104" s="611">
        <f t="shared" si="123"/>
        <v>6.1559229968860762E-2</v>
      </c>
      <c r="P104" s="611">
        <f t="shared" si="123"/>
        <v>8.0428825192176992E-2</v>
      </c>
      <c r="Q104" s="611">
        <f t="shared" si="123"/>
        <v>1.262099983292724E-2</v>
      </c>
      <c r="R104" s="611">
        <f t="shared" si="123"/>
        <v>-1.1176517127558301E-2</v>
      </c>
      <c r="S104" s="611">
        <f t="shared" si="123"/>
        <v>-8.2347495846186822E-2</v>
      </c>
      <c r="T104" s="611">
        <f t="shared" si="123"/>
        <v>-2.0608656208767281E-2</v>
      </c>
      <c r="U104" s="611">
        <f t="shared" si="123"/>
        <v>6.6290137482914305E-2</v>
      </c>
    </row>
    <row r="105" spans="2:21">
      <c r="B105" s="612"/>
      <c r="C105" s="612"/>
      <c r="D105" s="612"/>
      <c r="E105" s="613"/>
      <c r="F105" s="613"/>
      <c r="G105" s="613"/>
      <c r="H105" s="613"/>
      <c r="I105" s="613"/>
      <c r="J105" s="613"/>
      <c r="K105" s="613"/>
      <c r="L105" s="612"/>
      <c r="M105" s="612"/>
      <c r="N105" s="612"/>
      <c r="O105" s="612"/>
      <c r="P105" s="612"/>
      <c r="Q105" s="678"/>
      <c r="R105" s="678"/>
      <c r="S105" s="678"/>
      <c r="T105" s="678"/>
      <c r="U105" s="621">
        <f>+AVERAGE($E$104:U104)</f>
        <v>3.3680251564579558E-2</v>
      </c>
    </row>
  </sheetData>
  <mergeCells count="1">
    <mergeCell ref="B3:I3"/>
  </mergeCells>
  <phoneticPr fontId="0" type="noConversion"/>
  <pageMargins left="0.75" right="0.75" top="1" bottom="1" header="0" footer="0"/>
  <pageSetup scale="29" orientation="landscape" horizontalDpi="300" verticalDpi="300" r:id="rId1"/>
  <headerFooter alignWithMargins="0"/>
  <ignoredErrors>
    <ignoredError sqref="B6:U11 B110:U114 B90:C104 B89:C89 B106:C106 B105:C105 B53:C66 B52:C52 B68:C88 B67:C67 B13:C34 B12:C12 B36:C51 B35:C35 B107:C109 D36:U51 D13:U34 D68:U88 D53:U66 Q105:U105 D105:N105 D106:U106 Q89:U89 D89:N89 D90:U104 D107:U109 D12:W12 V107:W109 O105:P105 V90:W104 O89:P89 V89:W89 V106:W106 V105:W105 D67:W67 V53:W66 V68:W88 D35:W35 V13:W34 D52:W52 V36:W5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2:W55"/>
  <sheetViews>
    <sheetView showGridLines="0" zoomScaleNormal="100" workbookViewId="0">
      <selection activeCell="J19" sqref="J19"/>
    </sheetView>
  </sheetViews>
  <sheetFormatPr baseColWidth="10" defaultColWidth="9.140625" defaultRowHeight="15"/>
  <cols>
    <col min="1" max="2" width="9.140625" style="1"/>
    <col min="3" max="3" width="5.140625" style="1" customWidth="1"/>
    <col min="4" max="4" width="22.42578125" style="1" customWidth="1"/>
    <col min="5" max="5" width="8.140625" style="1" customWidth="1"/>
    <col min="6" max="22" width="8.28515625" style="1" customWidth="1"/>
    <col min="23" max="16384" width="9.140625" style="1"/>
  </cols>
  <sheetData>
    <row r="2" spans="3:22">
      <c r="C2" s="1" t="s">
        <v>524</v>
      </c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3:22" ht="15.75" thickBot="1">
      <c r="G3" s="588"/>
      <c r="H3" s="588"/>
      <c r="I3" s="588"/>
      <c r="J3" s="588"/>
      <c r="K3" s="588"/>
      <c r="L3" s="588"/>
      <c r="M3" s="375"/>
      <c r="N3" s="375"/>
      <c r="O3" s="375"/>
      <c r="P3" s="375"/>
      <c r="R3" s="375"/>
      <c r="S3" s="375"/>
      <c r="T3" s="375"/>
      <c r="U3" s="375"/>
      <c r="V3" s="375"/>
    </row>
    <row r="4" spans="3:22" ht="15.75" thickBot="1">
      <c r="C4" s="40" t="s">
        <v>6</v>
      </c>
      <c r="D4" s="38"/>
      <c r="E4" s="38"/>
      <c r="F4" s="581">
        <v>2001</v>
      </c>
      <c r="G4" s="581">
        <v>2002</v>
      </c>
      <c r="H4" s="581">
        <v>2003</v>
      </c>
      <c r="I4" s="581">
        <v>2004</v>
      </c>
      <c r="J4" s="581">
        <v>2005</v>
      </c>
      <c r="K4" s="581">
        <v>2006</v>
      </c>
      <c r="L4" s="581">
        <v>2007</v>
      </c>
      <c r="M4" s="581">
        <v>2008</v>
      </c>
      <c r="N4" s="581">
        <v>2009</v>
      </c>
      <c r="O4" s="581">
        <v>2010</v>
      </c>
      <c r="P4" s="581">
        <v>2011</v>
      </c>
      <c r="Q4" s="581">
        <v>2012</v>
      </c>
      <c r="R4" s="581">
        <v>2013</v>
      </c>
      <c r="S4" s="581">
        <v>2014</v>
      </c>
      <c r="T4" s="581">
        <v>2015</v>
      </c>
      <c r="U4" s="581">
        <v>2016</v>
      </c>
      <c r="V4" s="581">
        <v>2017</v>
      </c>
    </row>
    <row r="5" spans="3:22">
      <c r="C5" s="272">
        <v>1</v>
      </c>
      <c r="D5" s="273" t="s">
        <v>65</v>
      </c>
      <c r="E5" s="274"/>
      <c r="F5" s="659">
        <v>0.51926465808173572</v>
      </c>
      <c r="G5" s="659">
        <v>0.61191236058597387</v>
      </c>
      <c r="H5" s="660">
        <v>0.58384621348631172</v>
      </c>
      <c r="I5" s="659">
        <v>1.1582319649861637</v>
      </c>
      <c r="J5" s="659">
        <v>1.1541174914417243</v>
      </c>
      <c r="K5" s="659">
        <v>1.1931171030960497</v>
      </c>
      <c r="L5" s="659">
        <v>1.2469744368364659</v>
      </c>
      <c r="M5" s="661">
        <v>1.1117346118022764</v>
      </c>
      <c r="N5" s="661">
        <v>1.0550836912484811</v>
      </c>
      <c r="O5" s="661">
        <v>1.2886834321084057</v>
      </c>
      <c r="P5" s="661">
        <v>0.88106724594082875</v>
      </c>
      <c r="Q5" s="661">
        <v>0.75062024044604059</v>
      </c>
      <c r="R5" s="661">
        <v>0.68358600564384386</v>
      </c>
      <c r="S5" s="661">
        <v>0.58495361018846459</v>
      </c>
      <c r="T5" s="661">
        <v>0.51400000000000001</v>
      </c>
      <c r="U5" s="661">
        <v>0.53200000000000003</v>
      </c>
      <c r="V5" s="661">
        <v>0.50900000000000001</v>
      </c>
    </row>
    <row r="6" spans="3:22">
      <c r="C6" s="275">
        <v>2</v>
      </c>
      <c r="D6" s="276" t="s">
        <v>254</v>
      </c>
      <c r="E6" s="277" t="s">
        <v>10</v>
      </c>
      <c r="F6" s="662">
        <v>5.2155817495828698</v>
      </c>
      <c r="G6" s="662">
        <v>5.3475926646298904</v>
      </c>
      <c r="H6" s="662">
        <v>5.2821680057292024</v>
      </c>
      <c r="I6" s="662">
        <v>5.2718889888012193</v>
      </c>
      <c r="J6" s="662">
        <v>5.241063911506048</v>
      </c>
      <c r="K6" s="662">
        <v>5.199544130876312</v>
      </c>
      <c r="L6" s="662">
        <v>5.2621738533655185</v>
      </c>
      <c r="M6" s="663">
        <v>5.4453726937804747</v>
      </c>
      <c r="N6" s="663">
        <v>5.2433962546702357</v>
      </c>
      <c r="O6" s="663">
        <v>5.2821505166621607</v>
      </c>
      <c r="P6" s="663">
        <v>5.410220153368563</v>
      </c>
      <c r="Q6" s="663">
        <v>5.3815301748350386</v>
      </c>
      <c r="R6" s="663">
        <v>5.2130670342610257</v>
      </c>
      <c r="S6" s="663">
        <v>5.2766660390626781</v>
      </c>
      <c r="T6" s="663">
        <v>5.2312982394253655</v>
      </c>
      <c r="U6" s="663">
        <v>5.180278601565246</v>
      </c>
      <c r="V6" s="663">
        <v>5.1538501312231766</v>
      </c>
    </row>
    <row r="7" spans="3:22">
      <c r="C7" s="278">
        <v>3</v>
      </c>
      <c r="D7" s="279" t="s">
        <v>252</v>
      </c>
      <c r="E7" s="280" t="s">
        <v>10</v>
      </c>
      <c r="F7" s="662">
        <v>6.8365767098144907</v>
      </c>
      <c r="G7" s="662">
        <v>6.2508503473066233</v>
      </c>
      <c r="H7" s="662">
        <v>6.5374993515763702</v>
      </c>
      <c r="I7" s="662">
        <v>6.5332905294406984</v>
      </c>
      <c r="J7" s="662">
        <v>6.4749211227791994</v>
      </c>
      <c r="K7" s="662">
        <v>6.5659369992990202</v>
      </c>
      <c r="L7" s="662">
        <v>6.4247979532628934</v>
      </c>
      <c r="M7" s="663">
        <v>5.6457661375021253</v>
      </c>
      <c r="N7" s="663">
        <v>6.028633112153317</v>
      </c>
      <c r="O7" s="663">
        <v>6.0326254842960481</v>
      </c>
      <c r="P7" s="663">
        <v>5.7944989904353799</v>
      </c>
      <c r="Q7" s="663">
        <v>5.8780931199596695</v>
      </c>
      <c r="R7" s="663">
        <v>6.2912540752553312</v>
      </c>
      <c r="S7" s="663">
        <v>6.2508746168898384</v>
      </c>
      <c r="T7" s="663">
        <v>6.1809168595409592</v>
      </c>
      <c r="U7" s="663">
        <v>6.2359911690396377</v>
      </c>
      <c r="V7" s="663">
        <v>6.3760297112569324</v>
      </c>
    </row>
    <row r="8" spans="3:22">
      <c r="C8" s="275">
        <v>4</v>
      </c>
      <c r="D8" s="276" t="s">
        <v>253</v>
      </c>
      <c r="E8" s="277" t="s">
        <v>10</v>
      </c>
      <c r="F8" s="662">
        <v>6.50608285494698</v>
      </c>
      <c r="G8" s="662">
        <v>6.1417588825489284</v>
      </c>
      <c r="H8" s="662">
        <v>4.2897405032673879</v>
      </c>
      <c r="I8" s="662">
        <v>3.4961481463190647</v>
      </c>
      <c r="J8" s="662">
        <v>1.9961320895288293</v>
      </c>
      <c r="K8" s="662">
        <v>1.5948790270031683</v>
      </c>
      <c r="L8" s="662">
        <v>1.3802573759827761</v>
      </c>
      <c r="M8" s="663">
        <v>2.7077796176046167</v>
      </c>
      <c r="N8" s="663">
        <v>2.9170746974760124</v>
      </c>
      <c r="O8" s="663">
        <v>1.7213991211559858</v>
      </c>
      <c r="P8" s="663">
        <v>1.9105221783047868</v>
      </c>
      <c r="Q8" s="663">
        <v>1.5710342555994721</v>
      </c>
      <c r="R8" s="663">
        <v>1.5858089763550292</v>
      </c>
      <c r="S8" s="663">
        <v>1.62251025848936</v>
      </c>
      <c r="T8" s="663">
        <v>2.0071119655198593</v>
      </c>
      <c r="U8" s="663">
        <v>1.9975514288025729</v>
      </c>
      <c r="V8" s="663">
        <v>1.4507051819271501</v>
      </c>
    </row>
    <row r="9" spans="3:22" hidden="1">
      <c r="C9" s="275">
        <v>5</v>
      </c>
      <c r="D9" s="276" t="s">
        <v>50</v>
      </c>
      <c r="E9" s="277"/>
      <c r="F9" s="662"/>
      <c r="G9" s="662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</row>
    <row r="10" spans="3:22" hidden="1">
      <c r="C10" s="275">
        <v>6</v>
      </c>
      <c r="D10" s="276" t="s">
        <v>51</v>
      </c>
      <c r="E10" s="277" t="s">
        <v>10</v>
      </c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</row>
    <row r="11" spans="3:22">
      <c r="C11" s="281"/>
      <c r="D11" s="282" t="s">
        <v>20</v>
      </c>
      <c r="E11" s="186" t="s">
        <v>10</v>
      </c>
      <c r="F11" s="283">
        <f t="shared" ref="F11:S11" si="0">+F6+F5*F7+F8+F9+F10</f>
        <v>15.27165727220123</v>
      </c>
      <c r="G11" s="283">
        <f t="shared" si="0"/>
        <v>15.314324138868869</v>
      </c>
      <c r="H11" s="283">
        <f t="shared" si="0"/>
        <v>13.388802751083674</v>
      </c>
      <c r="I11" s="283">
        <f t="shared" si="0"/>
        <v>16.335103062859879</v>
      </c>
      <c r="J11" s="283">
        <f t="shared" si="0"/>
        <v>14.71001572453984</v>
      </c>
      <c r="K11" s="283">
        <f t="shared" si="0"/>
        <v>14.628354889594297</v>
      </c>
      <c r="L11" s="283">
        <f t="shared" si="0"/>
        <v>14.653990038906368</v>
      </c>
      <c r="M11" s="283">
        <f t="shared" si="0"/>
        <v>14.429745936587453</v>
      </c>
      <c r="N11" s="283">
        <f t="shared" si="0"/>
        <v>14.521183429299787</v>
      </c>
      <c r="O11" s="283">
        <f t="shared" si="0"/>
        <v>14.777694151545411</v>
      </c>
      <c r="P11" s="283">
        <f t="shared" si="0"/>
        <v>12.426085598783162</v>
      </c>
      <c r="Q11" s="283">
        <f t="shared" si="0"/>
        <v>11.364780101502854</v>
      </c>
      <c r="R11" s="283">
        <f t="shared" si="0"/>
        <v>11.0994892544104</v>
      </c>
      <c r="S11" s="283">
        <f t="shared" si="0"/>
        <v>10.555647971537184</v>
      </c>
      <c r="T11" s="283">
        <f t="shared" ref="T11:V11" si="1">+T6+T5*T7+T8+T9+T10</f>
        <v>10.415401470749279</v>
      </c>
      <c r="U11" s="283">
        <f t="shared" si="1"/>
        <v>10.495377332296908</v>
      </c>
      <c r="V11" s="283">
        <f t="shared" si="1"/>
        <v>9.8499544361801057</v>
      </c>
    </row>
    <row r="12" spans="3:22">
      <c r="C12" s="275">
        <v>5</v>
      </c>
      <c r="D12" s="276" t="s">
        <v>21</v>
      </c>
      <c r="E12" s="277"/>
      <c r="F12" s="664">
        <v>8.3433179856115092E-2</v>
      </c>
      <c r="G12" s="664">
        <v>9.0084280575539563E-2</v>
      </c>
      <c r="H12" s="664">
        <v>0.10096979958088363</v>
      </c>
      <c r="I12" s="664">
        <v>5.0513543884733419E-2</v>
      </c>
      <c r="J12" s="664">
        <v>6.9667334013260487E-2</v>
      </c>
      <c r="K12" s="664">
        <v>9.0342799999999987E-2</v>
      </c>
      <c r="L12" s="664">
        <v>6.431588296760711E-2</v>
      </c>
      <c r="M12" s="665">
        <v>6.6997927333122861E-2</v>
      </c>
      <c r="N12" s="665">
        <v>7.2025045522793346E-2</v>
      </c>
      <c r="O12" s="665">
        <v>7.4584645790871471E-2</v>
      </c>
      <c r="P12" s="665">
        <v>7.832469168163772E-2</v>
      </c>
      <c r="Q12" s="665">
        <v>8.5026267883964474E-2</v>
      </c>
      <c r="R12" s="665">
        <f>11545/131657</f>
        <v>8.7689982302498151E-2</v>
      </c>
      <c r="S12" s="665">
        <f>10602/117892</f>
        <v>8.9929766226715974E-2</v>
      </c>
      <c r="T12" s="808">
        <f>9640/103109</f>
        <v>9.3493293504931671E-2</v>
      </c>
      <c r="U12" s="808">
        <f>8585/87233</f>
        <v>9.8414590808524299E-2</v>
      </c>
      <c r="V12" s="808">
        <f>7747/87233</f>
        <v>8.880813453624202E-2</v>
      </c>
    </row>
    <row r="13" spans="3:22">
      <c r="C13" s="275">
        <v>6</v>
      </c>
      <c r="D13" s="276" t="s">
        <v>22</v>
      </c>
      <c r="E13" s="277"/>
      <c r="F13" s="666">
        <v>0</v>
      </c>
      <c r="G13" s="666">
        <v>0</v>
      </c>
      <c r="H13" s="666">
        <v>0.17450841386515425</v>
      </c>
      <c r="I13" s="666">
        <v>0.58709747725167549</v>
      </c>
      <c r="J13" s="666">
        <v>0.59103269925483559</v>
      </c>
      <c r="K13" s="666">
        <v>0.58826926503203925</v>
      </c>
      <c r="L13" s="667">
        <v>0.5953466114998337</v>
      </c>
      <c r="M13" s="668">
        <v>0.57269727840225537</v>
      </c>
      <c r="N13" s="668">
        <v>0.49246948240294086</v>
      </c>
      <c r="O13" s="668">
        <v>0.58069448528428991</v>
      </c>
      <c r="P13" s="668">
        <v>0.47770378950488857</v>
      </c>
      <c r="Q13" s="668">
        <v>0.44188431970580688</v>
      </c>
      <c r="R13" s="668">
        <f>+(131657-73800)/(131657-73800+127927)</f>
        <v>0.31142078973431514</v>
      </c>
      <c r="S13" s="668">
        <f>+(117892-99526)/(117892-99526+163479)</f>
        <v>0.10099810277983998</v>
      </c>
      <c r="T13" s="668">
        <f>+(103109-121823)/(103109-121823+197061)*0+0</f>
        <v>0</v>
      </c>
      <c r="U13" s="668">
        <f>+(87233-164371)/(87233-164371+261110)*0+0</f>
        <v>0</v>
      </c>
      <c r="V13" s="668">
        <f>+(0-114526)/(0-114526+317569)*0+0</f>
        <v>0</v>
      </c>
    </row>
    <row r="14" spans="3:22">
      <c r="C14" s="275">
        <v>7</v>
      </c>
      <c r="D14" s="276" t="s">
        <v>23</v>
      </c>
      <c r="E14" s="277"/>
      <c r="F14" s="666">
        <v>1</v>
      </c>
      <c r="G14" s="666">
        <v>1</v>
      </c>
      <c r="H14" s="666">
        <v>0.82549158613484575</v>
      </c>
      <c r="I14" s="666">
        <v>0.41290252274832451</v>
      </c>
      <c r="J14" s="666">
        <v>0.40896730074516441</v>
      </c>
      <c r="K14" s="666">
        <v>0.41173073496796075</v>
      </c>
      <c r="L14" s="667">
        <v>0.4046533885001663</v>
      </c>
      <c r="M14" s="668">
        <v>0.42730272159774463</v>
      </c>
      <c r="N14" s="668">
        <v>0.50753051759705914</v>
      </c>
      <c r="O14" s="668">
        <v>0.41930551471571009</v>
      </c>
      <c r="P14" s="668">
        <v>0.52229621049511143</v>
      </c>
      <c r="Q14" s="668">
        <v>0.55811568029419312</v>
      </c>
      <c r="R14" s="668">
        <f>1-R13</f>
        <v>0.68857921026568492</v>
      </c>
      <c r="S14" s="668">
        <f>1-S13</f>
        <v>0.89900189722016</v>
      </c>
      <c r="T14" s="668">
        <f>1-T13</f>
        <v>1</v>
      </c>
      <c r="U14" s="668">
        <f>1-U13</f>
        <v>1</v>
      </c>
      <c r="V14" s="668">
        <f>1-V13</f>
        <v>1</v>
      </c>
    </row>
    <row r="15" spans="3:22">
      <c r="C15" s="281"/>
      <c r="D15" s="282" t="s">
        <v>250</v>
      </c>
      <c r="E15" s="186"/>
      <c r="F15" s="283">
        <v>0.35400000000000009</v>
      </c>
      <c r="G15" s="283">
        <v>0.25900000000000001</v>
      </c>
      <c r="H15" s="283">
        <v>0.25900000000000001</v>
      </c>
      <c r="I15" s="283">
        <v>0.25900000000000001</v>
      </c>
      <c r="J15" s="283">
        <v>0.25900000000000001</v>
      </c>
      <c r="K15" s="283">
        <v>0.25900000000000001</v>
      </c>
      <c r="L15" s="283">
        <v>0.25900000000000001</v>
      </c>
      <c r="M15" s="283">
        <v>0.25900000000000001</v>
      </c>
      <c r="N15" s="283">
        <v>0.25900000000000001</v>
      </c>
      <c r="O15" s="283">
        <v>0.25900000000000001</v>
      </c>
      <c r="P15" s="283">
        <v>0.25900000000000001</v>
      </c>
      <c r="Q15" s="283">
        <v>0.25900000000000001</v>
      </c>
      <c r="R15" s="283">
        <v>0.25900000000000001</v>
      </c>
      <c r="S15" s="283">
        <v>0.25900000000000001</v>
      </c>
      <c r="T15" s="283">
        <v>0.25900000000000001</v>
      </c>
      <c r="U15" s="283">
        <v>0.25900000000000001</v>
      </c>
      <c r="V15" s="283">
        <v>0.25900000000000001</v>
      </c>
    </row>
    <row r="16" spans="3:22">
      <c r="C16" s="275"/>
      <c r="D16" s="284"/>
      <c r="E16" s="285"/>
      <c r="F16" s="669"/>
      <c r="G16" s="669"/>
      <c r="H16" s="669"/>
      <c r="I16" s="669"/>
      <c r="J16" s="669"/>
      <c r="K16" s="669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</row>
    <row r="17" spans="3:23">
      <c r="C17" s="275"/>
      <c r="D17" s="284"/>
      <c r="E17" s="286"/>
      <c r="F17" s="670"/>
      <c r="G17" s="670"/>
      <c r="H17" s="670"/>
      <c r="I17" s="670"/>
      <c r="J17" s="670"/>
      <c r="K17" s="670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</row>
    <row r="18" spans="3:23">
      <c r="C18" s="287"/>
      <c r="D18" s="288" t="s">
        <v>24</v>
      </c>
      <c r="E18" s="289" t="s">
        <v>10</v>
      </c>
      <c r="F18" s="672">
        <f>+F19+F20</f>
        <v>15.27165727220123</v>
      </c>
      <c r="G18" s="672">
        <f t="shared" ref="G18:S18" si="2">+G19+G20</f>
        <v>15.314324138868869</v>
      </c>
      <c r="H18" s="672">
        <f t="shared" si="2"/>
        <v>12.357991915808508</v>
      </c>
      <c r="I18" s="672">
        <f t="shared" si="2"/>
        <v>8.9423425908777929</v>
      </c>
      <c r="J18" s="672">
        <f t="shared" si="2"/>
        <v>9.0670327549403282</v>
      </c>
      <c r="K18" s="672">
        <f t="shared" si="2"/>
        <v>9.9610539485338183</v>
      </c>
      <c r="L18" s="672">
        <f t="shared" si="2"/>
        <v>8.7670937298786562</v>
      </c>
      <c r="M18" s="672">
        <f t="shared" si="2"/>
        <v>9.0090519312601351</v>
      </c>
      <c r="N18" s="672">
        <f t="shared" si="2"/>
        <v>9.9982808854439398</v>
      </c>
      <c r="O18" s="672">
        <f t="shared" si="2"/>
        <v>9.4057057866002989</v>
      </c>
      <c r="P18" s="672">
        <f t="shared" si="2"/>
        <v>9.2626231698160417</v>
      </c>
      <c r="Q18" s="672">
        <f t="shared" si="2"/>
        <v>9.1269304712344486</v>
      </c>
      <c r="R18" s="672">
        <f t="shared" si="2"/>
        <v>9.6664361755003867</v>
      </c>
      <c r="S18" s="672">
        <f t="shared" si="2"/>
        <v>10.162578273529926</v>
      </c>
      <c r="T18" s="672">
        <f t="shared" ref="T18:V18" si="3">+T19+T20</f>
        <v>10.415401470749279</v>
      </c>
      <c r="U18" s="672">
        <f t="shared" si="3"/>
        <v>10.495377332296908</v>
      </c>
      <c r="V18" s="672">
        <f t="shared" si="3"/>
        <v>9.8499544361801057</v>
      </c>
      <c r="W18" s="195"/>
    </row>
    <row r="19" spans="3:23">
      <c r="C19" s="290"/>
      <c r="D19" s="276" t="s">
        <v>36</v>
      </c>
      <c r="E19" s="291" t="s">
        <v>10</v>
      </c>
      <c r="F19" s="673">
        <f>+F11*F14</f>
        <v>15.27165727220123</v>
      </c>
      <c r="G19" s="673">
        <f>+G11*G14</f>
        <v>15.314324138868869</v>
      </c>
      <c r="H19" s="673">
        <f>+H11*H14</f>
        <v>11.052344019438648</v>
      </c>
      <c r="I19" s="673">
        <f>+I11*I14</f>
        <v>6.7448052640087264</v>
      </c>
      <c r="J19" s="673">
        <f>+J11*J14</f>
        <v>6.0159154247839819</v>
      </c>
      <c r="K19" s="673">
        <f t="shared" ref="K19:R19" si="4">+K11*K14</f>
        <v>6.0229433100648224</v>
      </c>
      <c r="L19" s="673">
        <f t="shared" si="4"/>
        <v>5.9297867242911453</v>
      </c>
      <c r="M19" s="673">
        <f t="shared" si="4"/>
        <v>6.1658697106678151</v>
      </c>
      <c r="N19" s="673">
        <f t="shared" si="4"/>
        <v>7.3699437419943594</v>
      </c>
      <c r="O19" s="673">
        <f t="shared" si="4"/>
        <v>6.196368652525087</v>
      </c>
      <c r="P19" s="673">
        <f t="shared" si="4"/>
        <v>6.4900974195323231</v>
      </c>
      <c r="Q19" s="673">
        <f t="shared" si="4"/>
        <v>6.3428619777441746</v>
      </c>
      <c r="R19" s="673">
        <f t="shared" si="4"/>
        <v>7.6428775451543691</v>
      </c>
      <c r="S19" s="673">
        <f t="shared" ref="S19:V19" si="5">+S11*S14</f>
        <v>9.4895475528000617</v>
      </c>
      <c r="T19" s="673">
        <f t="shared" si="5"/>
        <v>10.415401470749279</v>
      </c>
      <c r="U19" s="673">
        <f t="shared" si="5"/>
        <v>10.495377332296908</v>
      </c>
      <c r="V19" s="673">
        <f t="shared" si="5"/>
        <v>9.8499544361801057</v>
      </c>
      <c r="W19" s="195"/>
    </row>
    <row r="20" spans="3:23" ht="15.75" thickBot="1">
      <c r="C20" s="292"/>
      <c r="D20" s="293" t="s">
        <v>37</v>
      </c>
      <c r="E20" s="294" t="s">
        <v>10</v>
      </c>
      <c r="F20" s="674">
        <f>+F13*F12*(1-F15)*100</f>
        <v>0</v>
      </c>
      <c r="G20" s="674">
        <f>+G13*G12*(1-G15)*100</f>
        <v>0</v>
      </c>
      <c r="H20" s="674">
        <f>+H13*H12*(1-H15)*100</f>
        <v>1.3056478963698608</v>
      </c>
      <c r="I20" s="674">
        <f t="shared" ref="I20:R20" si="6">+I13*I12*(1-I15)*100</f>
        <v>2.1975373268690674</v>
      </c>
      <c r="J20" s="674">
        <f t="shared" si="6"/>
        <v>3.0511173301563459</v>
      </c>
      <c r="K20" s="674">
        <f t="shared" si="6"/>
        <v>3.9381106384689955</v>
      </c>
      <c r="L20" s="674">
        <f t="shared" si="6"/>
        <v>2.8373070055875109</v>
      </c>
      <c r="M20" s="674">
        <f t="shared" si="6"/>
        <v>2.843182220592321</v>
      </c>
      <c r="N20" s="674">
        <f t="shared" si="6"/>
        <v>2.6283371434495795</v>
      </c>
      <c r="O20" s="674">
        <f t="shared" si="6"/>
        <v>3.2093371340752124</v>
      </c>
      <c r="P20" s="674">
        <f t="shared" si="6"/>
        <v>2.7725257502837186</v>
      </c>
      <c r="Q20" s="674">
        <f t="shared" si="6"/>
        <v>2.7840684934902735</v>
      </c>
      <c r="R20" s="674">
        <f t="shared" si="6"/>
        <v>2.023558630346018</v>
      </c>
      <c r="S20" s="674">
        <f t="shared" ref="S20:V20" si="7">+S13*S12*(1-S15)*100</f>
        <v>0.67303072072986359</v>
      </c>
      <c r="T20" s="674">
        <f t="shared" si="7"/>
        <v>0</v>
      </c>
      <c r="U20" s="674">
        <f t="shared" si="7"/>
        <v>0</v>
      </c>
      <c r="V20" s="674">
        <f t="shared" si="7"/>
        <v>0</v>
      </c>
      <c r="W20" s="195"/>
    </row>
    <row r="21" spans="3:23">
      <c r="G21" s="588"/>
      <c r="H21" s="588"/>
      <c r="I21" s="588"/>
      <c r="J21" s="588"/>
      <c r="K21" s="588"/>
      <c r="L21" s="588"/>
      <c r="M21" s="375"/>
      <c r="N21" s="375"/>
      <c r="O21" s="375"/>
      <c r="P21" s="375"/>
    </row>
    <row r="22" spans="3:23" ht="20.25" customHeight="1">
      <c r="G22" s="588"/>
      <c r="H22" s="588"/>
      <c r="I22" s="588"/>
      <c r="J22" s="588"/>
      <c r="K22" s="588"/>
      <c r="L22" s="588"/>
      <c r="M22" s="375"/>
      <c r="N22" s="375"/>
      <c r="O22" s="375"/>
      <c r="P22" s="375"/>
    </row>
    <row r="23" spans="3:23" ht="20.25" customHeight="1"/>
    <row r="24" spans="3:23" ht="20.25" customHeight="1"/>
    <row r="25" spans="3:23" ht="20.25" customHeight="1"/>
    <row r="26" spans="3:23" ht="20.25" customHeight="1"/>
    <row r="27" spans="3:23" ht="15.75" thickBot="1">
      <c r="F27" s="581">
        <v>2001</v>
      </c>
      <c r="G27" s="581">
        <v>2002</v>
      </c>
      <c r="H27" s="581">
        <v>2003</v>
      </c>
      <c r="I27" s="581">
        <v>2004</v>
      </c>
      <c r="J27" s="581">
        <v>2005</v>
      </c>
      <c r="K27" s="581">
        <v>2006</v>
      </c>
      <c r="L27" s="581">
        <v>2007</v>
      </c>
      <c r="M27" s="581">
        <v>2008</v>
      </c>
      <c r="N27" s="581">
        <v>2009</v>
      </c>
      <c r="O27" s="581">
        <v>2010</v>
      </c>
      <c r="P27" s="581">
        <v>2011</v>
      </c>
      <c r="Q27" s="581">
        <v>2012</v>
      </c>
      <c r="R27" s="581">
        <v>2013</v>
      </c>
      <c r="S27" s="581">
        <v>2014</v>
      </c>
      <c r="T27" s="581">
        <v>2015</v>
      </c>
      <c r="U27" s="581">
        <v>2016</v>
      </c>
      <c r="V27" s="581">
        <v>2017</v>
      </c>
    </row>
    <row r="28" spans="3:23">
      <c r="D28" s="806" t="s">
        <v>524</v>
      </c>
      <c r="E28" s="807"/>
      <c r="F28" s="803">
        <f t="shared" ref="F28:V28" si="8">+F18</f>
        <v>15.27165727220123</v>
      </c>
      <c r="G28" s="804">
        <f t="shared" si="8"/>
        <v>15.314324138868869</v>
      </c>
      <c r="H28" s="804">
        <f t="shared" si="8"/>
        <v>12.357991915808508</v>
      </c>
      <c r="I28" s="804">
        <f t="shared" si="8"/>
        <v>8.9423425908777929</v>
      </c>
      <c r="J28" s="804">
        <f t="shared" si="8"/>
        <v>9.0670327549403282</v>
      </c>
      <c r="K28" s="804">
        <f t="shared" si="8"/>
        <v>9.9610539485338183</v>
      </c>
      <c r="L28" s="804">
        <f t="shared" si="8"/>
        <v>8.7670937298786562</v>
      </c>
      <c r="M28" s="804">
        <f t="shared" si="8"/>
        <v>9.0090519312601351</v>
      </c>
      <c r="N28" s="804">
        <f t="shared" si="8"/>
        <v>9.9982808854439398</v>
      </c>
      <c r="O28" s="804">
        <f t="shared" si="8"/>
        <v>9.4057057866002989</v>
      </c>
      <c r="P28" s="804">
        <f t="shared" si="8"/>
        <v>9.2626231698160417</v>
      </c>
      <c r="Q28" s="804">
        <f t="shared" si="8"/>
        <v>9.1269304712344486</v>
      </c>
      <c r="R28" s="804">
        <f t="shared" si="8"/>
        <v>9.6664361755003867</v>
      </c>
      <c r="S28" s="804">
        <f t="shared" si="8"/>
        <v>10.162578273529926</v>
      </c>
      <c r="T28" s="804">
        <f t="shared" si="8"/>
        <v>10.415401470749279</v>
      </c>
      <c r="U28" s="804">
        <f t="shared" si="8"/>
        <v>10.495377332296908</v>
      </c>
      <c r="V28" s="805">
        <f t="shared" si="8"/>
        <v>9.8499544361801057</v>
      </c>
    </row>
    <row r="38" spans="17:22">
      <c r="Q38"/>
      <c r="R38"/>
      <c r="S38"/>
      <c r="T38"/>
      <c r="U38"/>
      <c r="V38"/>
    </row>
    <row r="39" spans="17:22">
      <c r="Q39"/>
      <c r="R39"/>
      <c r="S39"/>
      <c r="T39"/>
      <c r="U39"/>
      <c r="V39"/>
    </row>
    <row r="40" spans="17:22">
      <c r="Q40"/>
      <c r="R40"/>
      <c r="S40"/>
      <c r="T40"/>
      <c r="U40"/>
      <c r="V40"/>
    </row>
    <row r="41" spans="17:22">
      <c r="Q41"/>
      <c r="R41"/>
      <c r="S41"/>
      <c r="T41"/>
      <c r="U41"/>
      <c r="V41"/>
    </row>
    <row r="42" spans="17:22">
      <c r="Q42"/>
      <c r="R42"/>
      <c r="S42"/>
      <c r="T42"/>
      <c r="U42"/>
      <c r="V42"/>
    </row>
    <row r="43" spans="17:22">
      <c r="Q43"/>
      <c r="R43"/>
      <c r="S43"/>
      <c r="T43"/>
      <c r="U43"/>
      <c r="V43"/>
    </row>
    <row r="44" spans="17:22">
      <c r="Q44"/>
      <c r="R44"/>
      <c r="S44"/>
      <c r="T44"/>
      <c r="U44"/>
      <c r="V44"/>
    </row>
    <row r="45" spans="17:22">
      <c r="Q45"/>
      <c r="R45"/>
      <c r="S45"/>
      <c r="T45"/>
      <c r="U45"/>
      <c r="V45"/>
    </row>
    <row r="46" spans="17:22">
      <c r="Q46"/>
      <c r="R46"/>
      <c r="S46"/>
      <c r="T46"/>
      <c r="U46"/>
      <c r="V46"/>
    </row>
    <row r="47" spans="17:22">
      <c r="Q47"/>
      <c r="R47"/>
      <c r="S47"/>
      <c r="T47"/>
      <c r="U47"/>
      <c r="V47"/>
    </row>
    <row r="48" spans="17:22">
      <c r="Q48"/>
      <c r="R48"/>
      <c r="S48"/>
      <c r="T48"/>
      <c r="U48"/>
      <c r="V48"/>
    </row>
    <row r="49" spans="17:22">
      <c r="Q49"/>
      <c r="R49"/>
      <c r="S49"/>
      <c r="T49"/>
      <c r="U49"/>
      <c r="V49"/>
    </row>
    <row r="50" spans="17:22">
      <c r="Q50"/>
      <c r="R50"/>
      <c r="S50"/>
      <c r="T50"/>
      <c r="U50"/>
      <c r="V50"/>
    </row>
    <row r="51" spans="17:22">
      <c r="Q51"/>
      <c r="R51"/>
      <c r="S51"/>
      <c r="T51"/>
      <c r="U51"/>
      <c r="V51"/>
    </row>
    <row r="52" spans="17:22">
      <c r="Q52"/>
      <c r="R52"/>
      <c r="S52"/>
      <c r="T52"/>
      <c r="U52"/>
      <c r="V52"/>
    </row>
    <row r="53" spans="17:22">
      <c r="Q53"/>
      <c r="R53"/>
      <c r="S53"/>
      <c r="T53"/>
      <c r="U53"/>
      <c r="V53"/>
    </row>
    <row r="54" spans="17:22">
      <c r="Q54"/>
      <c r="R54"/>
      <c r="S54"/>
      <c r="T54"/>
      <c r="U54"/>
      <c r="V54"/>
    </row>
    <row r="55" spans="17:22">
      <c r="Q55"/>
      <c r="R55"/>
      <c r="S55"/>
      <c r="T55"/>
      <c r="U55"/>
      <c r="V55"/>
    </row>
  </sheetData>
  <phoneticPr fontId="33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I44"/>
  <sheetViews>
    <sheetView showGridLines="0" zoomScale="85" zoomScaleNormal="85" workbookViewId="0"/>
  </sheetViews>
  <sheetFormatPr baseColWidth="10" defaultColWidth="9.140625" defaultRowHeight="15"/>
  <cols>
    <col min="1" max="1" width="9.140625" style="1"/>
    <col min="2" max="20" width="11.85546875" style="1" customWidth="1"/>
    <col min="21" max="24" width="12" style="1" bestFit="1" customWidth="1"/>
    <col min="25" max="25" width="11" style="1" bestFit="1" customWidth="1"/>
    <col min="26" max="42" width="12" style="1" bestFit="1" customWidth="1"/>
    <col min="43" max="169" width="9.140625" style="1"/>
    <col min="170" max="170" width="10" style="1" bestFit="1" customWidth="1"/>
    <col min="171" max="181" width="9.85546875" style="1" bestFit="1" customWidth="1"/>
    <col min="182" max="202" width="9.140625" style="1"/>
    <col min="203" max="204" width="12" style="1" bestFit="1" customWidth="1"/>
    <col min="205" max="205" width="10.7109375" style="1" customWidth="1"/>
    <col min="206" max="16384" width="9.140625" style="1"/>
  </cols>
  <sheetData>
    <row r="1" spans="1:217">
      <c r="EP1" s="588"/>
      <c r="EQ1" s="588"/>
      <c r="ER1" s="588"/>
      <c r="ES1" s="588"/>
      <c r="ET1" s="588"/>
      <c r="EU1" s="588"/>
      <c r="EV1" s="588"/>
      <c r="EW1" s="588"/>
      <c r="EX1" s="588"/>
      <c r="EY1" s="588"/>
      <c r="EZ1" s="588"/>
    </row>
    <row r="2" spans="1:217">
      <c r="A2" s="338" t="s">
        <v>404</v>
      </c>
    </row>
    <row r="3" spans="1:217">
      <c r="B3" s="1">
        <v>2000</v>
      </c>
      <c r="N3" s="1">
        <v>2001</v>
      </c>
      <c r="Z3" s="1">
        <v>2002</v>
      </c>
      <c r="AL3" s="1">
        <v>2003</v>
      </c>
      <c r="AX3" s="1">
        <v>2004</v>
      </c>
      <c r="BJ3" s="1">
        <v>2005</v>
      </c>
      <c r="BV3" s="1">
        <v>2006</v>
      </c>
      <c r="CH3" s="1">
        <v>2007</v>
      </c>
      <c r="CT3" s="1">
        <v>2008</v>
      </c>
      <c r="DF3" s="1">
        <v>2009</v>
      </c>
      <c r="DR3" s="1">
        <v>2010</v>
      </c>
      <c r="ED3" s="1">
        <v>2011</v>
      </c>
      <c r="EP3" s="1">
        <v>2012</v>
      </c>
      <c r="FB3" s="1">
        <f>+EP3+1</f>
        <v>2013</v>
      </c>
      <c r="FN3" s="1">
        <f>+FB3+1</f>
        <v>2014</v>
      </c>
      <c r="FZ3" s="1">
        <f>+FN3+1</f>
        <v>2015</v>
      </c>
      <c r="GL3" s="1">
        <f>+FZ3+1</f>
        <v>2016</v>
      </c>
      <c r="GX3" s="1">
        <f>+GL3+1</f>
        <v>2017</v>
      </c>
    </row>
    <row r="4" spans="1:217">
      <c r="B4" s="1" t="s">
        <v>91</v>
      </c>
      <c r="C4" s="1" t="s">
        <v>92</v>
      </c>
      <c r="D4" s="1" t="s">
        <v>93</v>
      </c>
      <c r="E4" s="1" t="s">
        <v>94</v>
      </c>
      <c r="F4" s="1" t="s">
        <v>95</v>
      </c>
      <c r="G4" s="1" t="s">
        <v>96</v>
      </c>
      <c r="H4" s="1" t="s">
        <v>97</v>
      </c>
      <c r="I4" s="1" t="s">
        <v>98</v>
      </c>
      <c r="J4" s="1" t="s">
        <v>99</v>
      </c>
      <c r="K4" s="1" t="s">
        <v>100</v>
      </c>
      <c r="L4" s="1" t="s">
        <v>101</v>
      </c>
      <c r="M4" s="1" t="s">
        <v>102</v>
      </c>
      <c r="N4" s="1" t="s">
        <v>91</v>
      </c>
      <c r="O4" s="1" t="s">
        <v>92</v>
      </c>
      <c r="P4" s="1" t="s">
        <v>93</v>
      </c>
      <c r="Q4" s="1" t="s">
        <v>94</v>
      </c>
      <c r="R4" s="1" t="s">
        <v>95</v>
      </c>
      <c r="S4" s="1" t="s">
        <v>96</v>
      </c>
      <c r="T4" s="1" t="s">
        <v>97</v>
      </c>
      <c r="U4" s="1" t="s">
        <v>98</v>
      </c>
      <c r="V4" s="1" t="s">
        <v>99</v>
      </c>
      <c r="W4" s="1" t="s">
        <v>100</v>
      </c>
      <c r="X4" s="1" t="s">
        <v>101</v>
      </c>
      <c r="Y4" s="1" t="s">
        <v>102</v>
      </c>
      <c r="Z4" s="1" t="s">
        <v>91</v>
      </c>
      <c r="AA4" s="1" t="s">
        <v>92</v>
      </c>
      <c r="AB4" s="1" t="s">
        <v>93</v>
      </c>
      <c r="AC4" s="1" t="s">
        <v>94</v>
      </c>
      <c r="AD4" s="1" t="s">
        <v>95</v>
      </c>
      <c r="AE4" s="1" t="s">
        <v>96</v>
      </c>
      <c r="AF4" s="1" t="s">
        <v>97</v>
      </c>
      <c r="AG4" s="1" t="s">
        <v>98</v>
      </c>
      <c r="AH4" s="1" t="s">
        <v>99</v>
      </c>
      <c r="AI4" s="1" t="s">
        <v>100</v>
      </c>
      <c r="AJ4" s="1" t="s">
        <v>101</v>
      </c>
      <c r="AK4" s="1" t="s">
        <v>102</v>
      </c>
      <c r="AL4" s="1" t="s">
        <v>91</v>
      </c>
      <c r="AM4" s="1" t="s">
        <v>92</v>
      </c>
      <c r="AN4" s="1" t="s">
        <v>93</v>
      </c>
      <c r="AO4" s="1" t="s">
        <v>94</v>
      </c>
      <c r="AP4" s="1" t="s">
        <v>95</v>
      </c>
      <c r="AQ4" s="1" t="s">
        <v>96</v>
      </c>
      <c r="AR4" s="1" t="s">
        <v>97</v>
      </c>
      <c r="AS4" s="1" t="s">
        <v>98</v>
      </c>
      <c r="AT4" s="1" t="s">
        <v>99</v>
      </c>
      <c r="AU4" s="1" t="s">
        <v>100</v>
      </c>
      <c r="AV4" s="1" t="s">
        <v>101</v>
      </c>
      <c r="AW4" s="1" t="s">
        <v>102</v>
      </c>
      <c r="AX4" s="1" t="s">
        <v>91</v>
      </c>
      <c r="AY4" s="1" t="s">
        <v>92</v>
      </c>
      <c r="AZ4" s="1" t="s">
        <v>93</v>
      </c>
      <c r="BA4" s="1" t="s">
        <v>94</v>
      </c>
      <c r="BB4" s="1" t="s">
        <v>95</v>
      </c>
      <c r="BC4" s="1" t="s">
        <v>96</v>
      </c>
      <c r="BD4" s="1" t="s">
        <v>97</v>
      </c>
      <c r="BE4" s="1" t="s">
        <v>98</v>
      </c>
      <c r="BF4" s="1" t="s">
        <v>99</v>
      </c>
      <c r="BG4" s="1" t="s">
        <v>100</v>
      </c>
      <c r="BH4" s="1" t="s">
        <v>101</v>
      </c>
      <c r="BI4" s="1" t="s">
        <v>102</v>
      </c>
      <c r="BJ4" s="1" t="s">
        <v>91</v>
      </c>
      <c r="BK4" s="1" t="s">
        <v>92</v>
      </c>
      <c r="BL4" s="1" t="s">
        <v>93</v>
      </c>
      <c r="BM4" s="1" t="s">
        <v>94</v>
      </c>
      <c r="BN4" s="1" t="s">
        <v>95</v>
      </c>
      <c r="BO4" s="1" t="s">
        <v>96</v>
      </c>
      <c r="BP4" s="1" t="s">
        <v>97</v>
      </c>
      <c r="BQ4" s="1" t="s">
        <v>98</v>
      </c>
      <c r="BR4" s="1" t="s">
        <v>99</v>
      </c>
      <c r="BS4" s="1" t="s">
        <v>100</v>
      </c>
      <c r="BT4" s="1" t="s">
        <v>101</v>
      </c>
      <c r="BU4" s="1" t="s">
        <v>102</v>
      </c>
      <c r="BV4" s="1" t="s">
        <v>91</v>
      </c>
      <c r="BW4" s="1" t="s">
        <v>92</v>
      </c>
      <c r="BX4" s="1" t="s">
        <v>93</v>
      </c>
      <c r="BY4" s="1" t="s">
        <v>94</v>
      </c>
      <c r="BZ4" s="1" t="s">
        <v>95</v>
      </c>
      <c r="CA4" s="1" t="s">
        <v>96</v>
      </c>
      <c r="CB4" s="1" t="s">
        <v>97</v>
      </c>
      <c r="CC4" s="1" t="s">
        <v>98</v>
      </c>
      <c r="CD4" s="1" t="s">
        <v>99</v>
      </c>
      <c r="CE4" s="1" t="s">
        <v>100</v>
      </c>
      <c r="CF4" s="1" t="s">
        <v>101</v>
      </c>
      <c r="CG4" s="1" t="s">
        <v>102</v>
      </c>
      <c r="CH4" s="1" t="s">
        <v>91</v>
      </c>
      <c r="CI4" s="1" t="s">
        <v>92</v>
      </c>
      <c r="CJ4" s="1" t="s">
        <v>93</v>
      </c>
      <c r="CK4" s="1" t="s">
        <v>94</v>
      </c>
      <c r="CL4" s="1" t="s">
        <v>95</v>
      </c>
      <c r="CM4" s="1" t="s">
        <v>96</v>
      </c>
      <c r="CN4" s="1" t="s">
        <v>97</v>
      </c>
      <c r="CO4" s="1" t="s">
        <v>98</v>
      </c>
      <c r="CP4" s="1" t="s">
        <v>223</v>
      </c>
      <c r="CQ4" s="1" t="s">
        <v>224</v>
      </c>
      <c r="CR4" s="1" t="s">
        <v>235</v>
      </c>
      <c r="CS4" s="1" t="s">
        <v>236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223</v>
      </c>
      <c r="DC4" s="1" t="s">
        <v>224</v>
      </c>
      <c r="DD4" s="1" t="s">
        <v>235</v>
      </c>
      <c r="DE4" s="1" t="s">
        <v>236</v>
      </c>
      <c r="DF4" s="1" t="s">
        <v>91</v>
      </c>
      <c r="DG4" s="1" t="s">
        <v>92</v>
      </c>
      <c r="DH4" s="1" t="s">
        <v>93</v>
      </c>
      <c r="DI4" s="1" t="s">
        <v>94</v>
      </c>
      <c r="DJ4" s="1" t="s">
        <v>95</v>
      </c>
      <c r="DK4" s="1" t="s">
        <v>96</v>
      </c>
      <c r="DL4" s="1" t="s">
        <v>97</v>
      </c>
      <c r="DM4" s="1" t="s">
        <v>98</v>
      </c>
      <c r="DN4" s="1" t="s">
        <v>223</v>
      </c>
      <c r="DO4" s="1" t="s">
        <v>224</v>
      </c>
      <c r="DP4" s="1" t="s">
        <v>235</v>
      </c>
      <c r="DQ4" s="1" t="s">
        <v>236</v>
      </c>
      <c r="DR4" s="1" t="s">
        <v>91</v>
      </c>
      <c r="DS4" s="1" t="s">
        <v>92</v>
      </c>
      <c r="DT4" s="1" t="s">
        <v>93</v>
      </c>
      <c r="DU4" s="1" t="s">
        <v>94</v>
      </c>
      <c r="DV4" s="1" t="s">
        <v>95</v>
      </c>
      <c r="DW4" s="1" t="s">
        <v>96</v>
      </c>
      <c r="DX4" s="1" t="s">
        <v>97</v>
      </c>
      <c r="DY4" s="1" t="s">
        <v>98</v>
      </c>
      <c r="DZ4" s="1" t="s">
        <v>223</v>
      </c>
      <c r="EA4" s="1" t="s">
        <v>224</v>
      </c>
      <c r="EB4" s="1" t="s">
        <v>235</v>
      </c>
      <c r="EC4" s="1" t="s">
        <v>236</v>
      </c>
      <c r="ED4" s="1" t="s">
        <v>91</v>
      </c>
      <c r="EE4" s="1" t="s">
        <v>92</v>
      </c>
      <c r="EF4" s="1" t="s">
        <v>93</v>
      </c>
      <c r="EG4" s="1" t="s">
        <v>94</v>
      </c>
      <c r="EH4" s="1" t="s">
        <v>95</v>
      </c>
      <c r="EI4" s="1" t="s">
        <v>96</v>
      </c>
      <c r="EJ4" s="1" t="s">
        <v>97</v>
      </c>
      <c r="EK4" s="1" t="s">
        <v>98</v>
      </c>
      <c r="EL4" s="1" t="s">
        <v>223</v>
      </c>
      <c r="EM4" s="1" t="s">
        <v>224</v>
      </c>
      <c r="EN4" s="1" t="s">
        <v>235</v>
      </c>
      <c r="EO4" s="1" t="s">
        <v>236</v>
      </c>
      <c r="EP4" s="1" t="s">
        <v>91</v>
      </c>
      <c r="EQ4" s="1" t="s">
        <v>92</v>
      </c>
      <c r="ER4" s="1" t="s">
        <v>93</v>
      </c>
      <c r="ES4" s="1" t="s">
        <v>94</v>
      </c>
      <c r="ET4" s="1" t="s">
        <v>95</v>
      </c>
      <c r="EU4" s="1" t="s">
        <v>96</v>
      </c>
      <c r="EV4" s="1" t="s">
        <v>97</v>
      </c>
      <c r="EW4" s="1" t="s">
        <v>98</v>
      </c>
      <c r="EX4" s="1" t="s">
        <v>223</v>
      </c>
      <c r="EY4" s="1" t="s">
        <v>224</v>
      </c>
      <c r="EZ4" s="1" t="s">
        <v>235</v>
      </c>
      <c r="FA4" s="1" t="s">
        <v>236</v>
      </c>
      <c r="FB4" s="1" t="s">
        <v>91</v>
      </c>
      <c r="FC4" s="1" t="s">
        <v>92</v>
      </c>
      <c r="FD4" s="1" t="s">
        <v>93</v>
      </c>
      <c r="FE4" s="1" t="s">
        <v>94</v>
      </c>
      <c r="FF4" s="1" t="s">
        <v>95</v>
      </c>
      <c r="FG4" s="1" t="s">
        <v>96</v>
      </c>
      <c r="FH4" s="1" t="s">
        <v>97</v>
      </c>
      <c r="FI4" s="1" t="s">
        <v>98</v>
      </c>
      <c r="FJ4" s="1" t="s">
        <v>223</v>
      </c>
      <c r="FK4" s="1" t="s">
        <v>224</v>
      </c>
      <c r="FL4" s="1" t="s">
        <v>235</v>
      </c>
      <c r="FM4" s="1" t="s">
        <v>236</v>
      </c>
      <c r="FN4" s="1" t="s">
        <v>91</v>
      </c>
      <c r="FO4" s="1" t="s">
        <v>92</v>
      </c>
      <c r="FP4" s="1" t="s">
        <v>93</v>
      </c>
      <c r="FQ4" s="1" t="s">
        <v>94</v>
      </c>
      <c r="FR4" s="1" t="s">
        <v>95</v>
      </c>
      <c r="FS4" s="1" t="s">
        <v>96</v>
      </c>
      <c r="FT4" s="1" t="s">
        <v>97</v>
      </c>
      <c r="FU4" s="1" t="s">
        <v>98</v>
      </c>
      <c r="FV4" s="1" t="s">
        <v>223</v>
      </c>
      <c r="FW4" s="1" t="s">
        <v>224</v>
      </c>
      <c r="FX4" s="1" t="s">
        <v>235</v>
      </c>
      <c r="FY4" s="1" t="s">
        <v>236</v>
      </c>
      <c r="FZ4" s="1" t="s">
        <v>91</v>
      </c>
      <c r="GA4" s="1" t="s">
        <v>92</v>
      </c>
      <c r="GB4" s="1" t="s">
        <v>93</v>
      </c>
      <c r="GC4" s="1" t="s">
        <v>94</v>
      </c>
      <c r="GD4" s="1" t="s">
        <v>95</v>
      </c>
      <c r="GE4" s="1" t="s">
        <v>96</v>
      </c>
      <c r="GF4" s="1" t="s">
        <v>97</v>
      </c>
      <c r="GG4" s="1" t="s">
        <v>98</v>
      </c>
      <c r="GH4" s="1" t="s">
        <v>223</v>
      </c>
      <c r="GI4" s="1" t="s">
        <v>224</v>
      </c>
      <c r="GJ4" s="1" t="s">
        <v>235</v>
      </c>
      <c r="GK4" s="1" t="s">
        <v>236</v>
      </c>
      <c r="GL4" s="1" t="s">
        <v>91</v>
      </c>
      <c r="GM4" s="1" t="s">
        <v>92</v>
      </c>
      <c r="GN4" s="1" t="s">
        <v>93</v>
      </c>
      <c r="GO4" s="1" t="s">
        <v>94</v>
      </c>
      <c r="GP4" s="1" t="s">
        <v>95</v>
      </c>
      <c r="GQ4" s="1" t="s">
        <v>96</v>
      </c>
      <c r="GR4" s="1" t="s">
        <v>97</v>
      </c>
      <c r="GS4" s="1" t="s">
        <v>98</v>
      </c>
      <c r="GT4" s="1" t="s">
        <v>223</v>
      </c>
      <c r="GU4" s="1" t="s">
        <v>224</v>
      </c>
      <c r="GV4" s="1" t="s">
        <v>235</v>
      </c>
      <c r="GW4" s="1" t="s">
        <v>236</v>
      </c>
      <c r="GX4" s="1" t="s">
        <v>91</v>
      </c>
      <c r="GY4" s="1" t="s">
        <v>92</v>
      </c>
      <c r="GZ4" s="1" t="s">
        <v>93</v>
      </c>
      <c r="HA4" s="1" t="s">
        <v>94</v>
      </c>
      <c r="HB4" s="1" t="s">
        <v>95</v>
      </c>
      <c r="HC4" s="1" t="s">
        <v>96</v>
      </c>
      <c r="HD4" s="1" t="s">
        <v>97</v>
      </c>
      <c r="HE4" s="1" t="s">
        <v>98</v>
      </c>
      <c r="HF4" s="1" t="s">
        <v>223</v>
      </c>
      <c r="HG4" s="1" t="s">
        <v>224</v>
      </c>
      <c r="HH4" s="1" t="s">
        <v>235</v>
      </c>
      <c r="HI4" s="1" t="s">
        <v>236</v>
      </c>
    </row>
    <row r="5" spans="1:217">
      <c r="B5" s="1">
        <v>99.652087653210046</v>
      </c>
      <c r="C5" s="1">
        <v>100.02718817918029</v>
      </c>
      <c r="D5" s="1">
        <v>100.17795616709957</v>
      </c>
      <c r="E5" s="1">
        <v>100.84199628038508</v>
      </c>
      <c r="F5" s="1">
        <v>101.20881738240162</v>
      </c>
      <c r="G5" s="1">
        <v>101.32507735150422</v>
      </c>
      <c r="H5" s="1">
        <v>101.91369949579865</v>
      </c>
      <c r="I5" s="1">
        <v>101.79919160289018</v>
      </c>
      <c r="J5" s="1">
        <v>102.80556413322637</v>
      </c>
      <c r="K5" s="1">
        <v>103.37041100350133</v>
      </c>
      <c r="L5" s="1">
        <v>104.40237831639925</v>
      </c>
      <c r="M5" s="1">
        <v>104.15377220386735</v>
      </c>
      <c r="N5" s="1">
        <v>104.14997463663596</v>
      </c>
      <c r="O5" s="1">
        <v>104.54000398557532</v>
      </c>
      <c r="P5" s="1">
        <v>103.89212123239682</v>
      </c>
      <c r="Q5" s="1">
        <v>103.78917455733863</v>
      </c>
      <c r="R5" s="1">
        <v>104.69389016952539</v>
      </c>
      <c r="S5" s="1">
        <v>104.40572378921193</v>
      </c>
      <c r="T5" s="1">
        <v>103.20176231245046</v>
      </c>
      <c r="U5" s="1">
        <v>102.57420258180834</v>
      </c>
      <c r="V5" s="1">
        <v>102.74272404445568</v>
      </c>
      <c r="W5" s="1">
        <v>101.70141612176413</v>
      </c>
      <c r="X5" s="1">
        <v>100.73372387353731</v>
      </c>
      <c r="Y5" s="1">
        <v>100</v>
      </c>
      <c r="Z5" s="1">
        <v>100.40860249556948</v>
      </c>
      <c r="AA5" s="1">
        <v>100.45595941828618</v>
      </c>
      <c r="AB5" s="1">
        <v>100.49677164979865</v>
      </c>
      <c r="AC5" s="1">
        <v>101.63244434874316</v>
      </c>
      <c r="AD5" s="1">
        <v>101.85303872733202</v>
      </c>
      <c r="AE5" s="1">
        <v>102.1169127660043</v>
      </c>
      <c r="AF5" s="1">
        <v>103.06019877534158</v>
      </c>
      <c r="AG5" s="1">
        <v>103.65902223022681</v>
      </c>
      <c r="AH5" s="1">
        <v>104.90179044092906</v>
      </c>
      <c r="AI5" s="1">
        <v>105.2373568437134</v>
      </c>
      <c r="AJ5" s="1">
        <v>105.09528258098868</v>
      </c>
      <c r="AK5" s="1">
        <v>104.30329004005733</v>
      </c>
      <c r="AL5" s="1">
        <v>104.30328175662112</v>
      </c>
      <c r="AM5" s="1">
        <v>105.2155193760601</v>
      </c>
      <c r="AN5" s="1">
        <v>106.50858344677239</v>
      </c>
      <c r="AO5" s="1">
        <v>106.49843843766233</v>
      </c>
      <c r="AP5" s="1">
        <v>106.0704952833234</v>
      </c>
      <c r="AQ5" s="1">
        <v>105.99989801536842</v>
      </c>
      <c r="AR5" s="1">
        <v>105.57342439439049</v>
      </c>
      <c r="AS5" s="1">
        <v>105.90405801089204</v>
      </c>
      <c r="AT5" s="1">
        <v>106.58648890578158</v>
      </c>
      <c r="AU5" s="1">
        <v>106.5809061286111</v>
      </c>
      <c r="AV5" s="1">
        <v>106.72138104099747</v>
      </c>
      <c r="AW5" s="1">
        <v>107.14885876976248</v>
      </c>
      <c r="AX5" s="1">
        <v>107.40616960892768</v>
      </c>
      <c r="AY5" s="1">
        <v>108.9367194084442</v>
      </c>
      <c r="AZ5" s="1">
        <v>109.94822404524778</v>
      </c>
      <c r="BA5" s="1">
        <v>110.8060523020099</v>
      </c>
      <c r="BB5" s="1">
        <v>111.92285067375968</v>
      </c>
      <c r="BC5" s="1">
        <v>112.60295974735601</v>
      </c>
      <c r="BD5" s="1">
        <v>112.56848460342694</v>
      </c>
      <c r="BE5" s="1">
        <v>112.385307024063</v>
      </c>
      <c r="BF5" s="1">
        <v>112.40656270974891</v>
      </c>
      <c r="BG5" s="1">
        <v>112.81335695707222</v>
      </c>
      <c r="BH5" s="1">
        <v>113.96213003986395</v>
      </c>
      <c r="BI5" s="1">
        <v>113.23338619408175</v>
      </c>
      <c r="BJ5" s="1">
        <v>113.59923916948735</v>
      </c>
      <c r="BK5" s="1">
        <v>113.56701789678854</v>
      </c>
      <c r="BL5" s="1">
        <v>114.4082885999302</v>
      </c>
      <c r="BM5" s="1">
        <v>115.26658422369663</v>
      </c>
      <c r="BN5" s="1">
        <v>115.80116458279744</v>
      </c>
      <c r="BO5" s="1">
        <v>116.13077195920572</v>
      </c>
      <c r="BP5" s="1">
        <v>116.26759620592526</v>
      </c>
      <c r="BQ5" s="1">
        <v>117.47058373178474</v>
      </c>
      <c r="BR5" s="1">
        <v>118.82913199000227</v>
      </c>
      <c r="BS5" s="1">
        <v>120.04210002110518</v>
      </c>
      <c r="BT5" s="1">
        <v>120.53131225875981</v>
      </c>
      <c r="BU5" s="1">
        <v>121.57555070587975</v>
      </c>
      <c r="BV5" s="1">
        <v>121.6112775546824</v>
      </c>
      <c r="BW5" s="1">
        <v>120.70955601641144</v>
      </c>
      <c r="BX5" s="1">
        <v>121.68500660868075</v>
      </c>
      <c r="BY5" s="1">
        <v>122.03695234177765</v>
      </c>
      <c r="BZ5" s="1">
        <v>122.37099109771859</v>
      </c>
      <c r="CA5" s="1">
        <v>122.60961217500288</v>
      </c>
      <c r="CB5" s="1">
        <v>122.61094852624052</v>
      </c>
      <c r="CC5" s="1">
        <v>122.85022684241926</v>
      </c>
      <c r="CD5" s="1">
        <v>122.95226932864003</v>
      </c>
      <c r="CE5" s="1">
        <v>122.62554575290264</v>
      </c>
      <c r="CF5" s="1">
        <v>122.21888857056334</v>
      </c>
      <c r="CG5" s="1">
        <v>121.43813121660891</v>
      </c>
      <c r="CH5" s="1">
        <v>120.66668405670565</v>
      </c>
      <c r="CI5" s="1">
        <v>119.42959362383326</v>
      </c>
      <c r="CJ5" s="1">
        <v>119.77516926503047</v>
      </c>
      <c r="CK5" s="1">
        <v>120.15560691251514</v>
      </c>
      <c r="CL5" s="1">
        <v>121.71979289918376</v>
      </c>
      <c r="CM5" s="1">
        <v>123.30130654018605</v>
      </c>
      <c r="CN5" s="1">
        <v>123.77327240472513</v>
      </c>
      <c r="CO5" s="1">
        <v>124.72226544277653</v>
      </c>
      <c r="CP5" s="1">
        <v>124.82429382127</v>
      </c>
      <c r="CQ5" s="1">
        <v>123.90552988950094</v>
      </c>
      <c r="CR5" s="1">
        <v>124.16694439475245</v>
      </c>
      <c r="CS5" s="1">
        <v>124.52516949023639</v>
      </c>
      <c r="CT5" s="1">
        <v>124.51076368860873</v>
      </c>
      <c r="CU5" s="1">
        <v>125.7236314124759</v>
      </c>
      <c r="CV5" s="1">
        <v>125.67040101574807</v>
      </c>
      <c r="CW5" s="1">
        <v>125.70667004133857</v>
      </c>
      <c r="CX5" s="1">
        <v>127.7464789002189</v>
      </c>
      <c r="CY5" s="1">
        <v>130.87036319254275</v>
      </c>
      <c r="CZ5" s="1">
        <v>132.14556105613684</v>
      </c>
      <c r="DA5" s="1">
        <v>134.33341770013146</v>
      </c>
      <c r="DB5" s="1">
        <v>136.66394708511936</v>
      </c>
      <c r="DC5" s="1">
        <v>137.25509968975732</v>
      </c>
      <c r="DD5" s="1">
        <v>136.60371381962011</v>
      </c>
      <c r="DE5" s="1">
        <v>134.94986973105762</v>
      </c>
      <c r="DF5" s="1">
        <v>131.59850208862181</v>
      </c>
      <c r="DG5" s="1">
        <v>129.32688916162792</v>
      </c>
      <c r="DH5" s="1">
        <v>128.45210018087192</v>
      </c>
      <c r="DI5" s="1">
        <v>126.84958181641611</v>
      </c>
      <c r="DJ5" s="1">
        <v>125.26247815023662</v>
      </c>
      <c r="DK5" s="1">
        <v>124.70754111713961</v>
      </c>
      <c r="DL5" s="1">
        <v>125.03769054090704</v>
      </c>
      <c r="DM5" s="1">
        <v>124.62119134202403</v>
      </c>
      <c r="DN5" s="1">
        <v>125.18126902388202</v>
      </c>
      <c r="DO5" s="1">
        <v>124.953613792468</v>
      </c>
      <c r="DP5" s="1">
        <v>125.27965165499897</v>
      </c>
      <c r="DQ5" s="1">
        <v>125.91119080018373</v>
      </c>
      <c r="DR5" s="1">
        <v>126.82509287259285</v>
      </c>
      <c r="DS5" s="1">
        <v>126.73852436298898</v>
      </c>
      <c r="DT5" s="1">
        <v>126.95273984852717</v>
      </c>
      <c r="DU5" s="1">
        <v>128.07690400709879</v>
      </c>
      <c r="DV5" s="1">
        <v>130.43463956185508</v>
      </c>
      <c r="DW5" s="1">
        <v>130.50591387129424</v>
      </c>
      <c r="DX5" s="1">
        <v>129.93162000084138</v>
      </c>
      <c r="DY5" s="1">
        <v>129.55839657918105</v>
      </c>
      <c r="DZ5" s="1">
        <v>129.29535774385371</v>
      </c>
      <c r="EA5" s="1">
        <v>129.65985016485641</v>
      </c>
      <c r="EB5" s="1">
        <v>131.47420498607568</v>
      </c>
      <c r="EC5" s="1">
        <v>132.04062752123852</v>
      </c>
      <c r="ED5" s="1">
        <v>133.35597649458998</v>
      </c>
      <c r="EE5" s="1">
        <v>133.77740097289163</v>
      </c>
      <c r="EF5" s="1">
        <v>133.77900239408908</v>
      </c>
      <c r="EG5" s="1">
        <v>134.49653292634326</v>
      </c>
      <c r="EH5" s="1">
        <v>134.50895044441515</v>
      </c>
      <c r="EI5" s="1">
        <v>135.65682425665966</v>
      </c>
      <c r="EJ5" s="1">
        <v>135.86761078787936</v>
      </c>
      <c r="EK5" s="1">
        <v>136.4485734716514</v>
      </c>
      <c r="EL5" s="1">
        <v>137.50998361153199</v>
      </c>
      <c r="EM5" s="1">
        <v>137.81619222198381</v>
      </c>
      <c r="EN5" s="1">
        <v>138.41296086696596</v>
      </c>
      <c r="EO5" s="1">
        <v>138.40726380426105</v>
      </c>
      <c r="EP5" s="1">
        <v>137.60795194140809</v>
      </c>
      <c r="EQ5" s="1">
        <v>138.19941879890857</v>
      </c>
      <c r="ER5" s="1">
        <v>139.60658616844032</v>
      </c>
      <c r="ES5" s="1">
        <v>139.82890117205133</v>
      </c>
      <c r="ET5" s="1">
        <v>139.39344545875466</v>
      </c>
      <c r="EU5" s="1">
        <v>139.11073423892205</v>
      </c>
      <c r="EV5" s="1">
        <v>136.86868334273552</v>
      </c>
      <c r="EW5" s="1">
        <v>136.94355253407554</v>
      </c>
      <c r="EX5" s="1">
        <v>137.94143117711656</v>
      </c>
      <c r="EY5" s="1">
        <v>137.44788191344517</v>
      </c>
      <c r="EZ5" s="1">
        <v>136.7160514522329</v>
      </c>
      <c r="FA5" s="1">
        <v>136.32284993549843</v>
      </c>
      <c r="FB5" s="1">
        <v>135.18917885126481</v>
      </c>
      <c r="FC5" s="1">
        <v>136.5550791768629</v>
      </c>
      <c r="FD5" s="1">
        <v>137.506764461122</v>
      </c>
      <c r="FE5" s="1">
        <v>137.1440144091616</v>
      </c>
      <c r="FF5" s="1">
        <v>136.07896046333482</v>
      </c>
      <c r="FG5" s="1">
        <v>137.68694744885539</v>
      </c>
      <c r="FH5" s="1">
        <v>139.39831909612553</v>
      </c>
      <c r="FI5" s="1">
        <v>140.73323937017426</v>
      </c>
      <c r="FJ5" s="1">
        <v>141.17524365753593</v>
      </c>
      <c r="FK5" s="1">
        <v>140.04965254764278</v>
      </c>
      <c r="FL5" s="1">
        <v>139.12298129940751</v>
      </c>
      <c r="FM5" s="1">
        <v>139.62091638371223</v>
      </c>
      <c r="FN5" s="1">
        <v>139.82216342024256</v>
      </c>
      <c r="FO5" s="1">
        <v>139.96475055299268</v>
      </c>
      <c r="FP5" s="1">
        <v>140.42892732253389</v>
      </c>
      <c r="FQ5" s="1">
        <v>140.12069332367324</v>
      </c>
      <c r="FR5" s="1">
        <v>139.8251288005055</v>
      </c>
      <c r="FS5" s="1">
        <v>139.53926419225044</v>
      </c>
      <c r="FT5" s="1">
        <v>139.50788578688926</v>
      </c>
      <c r="FU5" s="1">
        <v>139.55490267132134</v>
      </c>
      <c r="FV5" s="1">
        <v>140.04516336042911</v>
      </c>
      <c r="FW5" s="1">
        <v>140.64882253188128</v>
      </c>
      <c r="FX5" s="1">
        <v>140.20229897204251</v>
      </c>
      <c r="FY5" s="1">
        <v>139.14590956608478</v>
      </c>
      <c r="FZ5" s="1">
        <v>137.46838252459503</v>
      </c>
      <c r="GA5" s="1">
        <v>138.19538312070924</v>
      </c>
      <c r="GB5" s="1">
        <v>139.7633399188858</v>
      </c>
      <c r="GC5" s="1">
        <v>139.38638183892584</v>
      </c>
      <c r="GD5" s="1">
        <v>140.55134206586374</v>
      </c>
      <c r="GE5" s="1">
        <v>140.63387188725486</v>
      </c>
      <c r="GF5" s="1">
        <v>140.15602176046932</v>
      </c>
      <c r="GG5" s="1">
        <v>140.17420450236159</v>
      </c>
      <c r="GH5" s="1">
        <v>139.95394280099868</v>
      </c>
      <c r="GI5" s="1">
        <v>139.87398399773966</v>
      </c>
      <c r="GJ5" s="1">
        <v>140.69115835175543</v>
      </c>
      <c r="GK5" s="1">
        <v>140.46986099690963</v>
      </c>
      <c r="GL5" s="1">
        <v>139.89892245556933</v>
      </c>
      <c r="GM5" s="1">
        <v>140.52748608331055</v>
      </c>
      <c r="GN5" s="1">
        <v>139.90423700784694</v>
      </c>
      <c r="GO5" s="1">
        <v>138.55371337303632</v>
      </c>
      <c r="GP5" s="1">
        <v>139.22034339769598</v>
      </c>
      <c r="GQ5" s="1">
        <v>140.39523012358359</v>
      </c>
      <c r="GR5" s="1">
        <v>139.45435677132716</v>
      </c>
      <c r="GS5" s="1">
        <v>139.66281742978845</v>
      </c>
      <c r="GT5" s="1">
        <v>141.1231755166049</v>
      </c>
      <c r="GU5" s="1">
        <v>141.74560465327772</v>
      </c>
      <c r="GV5" s="1">
        <v>142.06558005299337</v>
      </c>
      <c r="GW5" s="1">
        <v>143.02423230917216</v>
      </c>
      <c r="GX5" s="1">
        <v>143.15447242346281</v>
      </c>
      <c r="GY5" s="1">
        <v>141.66076635024024</v>
      </c>
      <c r="GZ5" s="1">
        <v>141.58283593396942</v>
      </c>
      <c r="HA5" s="1">
        <v>141.03997374673503</v>
      </c>
      <c r="HB5" s="1">
        <v>141.24500749582484</v>
      </c>
      <c r="HC5" s="1">
        <v>141.53729170642725</v>
      </c>
      <c r="HD5" s="1">
        <v>140.96339753936437</v>
      </c>
      <c r="HE5" s="1">
        <v>141.40418124896667</v>
      </c>
      <c r="HF5" s="1">
        <v>142.20043322876072</v>
      </c>
      <c r="HG5" s="1">
        <v>142.71213579103855</v>
      </c>
      <c r="HH5" s="1">
        <v>142.90578849986355</v>
      </c>
      <c r="HI5" s="1">
        <v>143.26939818812301</v>
      </c>
    </row>
    <row r="6" spans="1:217"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</row>
    <row r="7" spans="1:217">
      <c r="A7" s="295"/>
      <c r="B7" s="295">
        <v>2000</v>
      </c>
      <c r="C7" s="295">
        <v>2001</v>
      </c>
      <c r="D7" s="295">
        <v>2002</v>
      </c>
      <c r="E7" s="295">
        <v>2003</v>
      </c>
      <c r="F7" s="295">
        <v>2004</v>
      </c>
      <c r="G7" s="295">
        <v>2005</v>
      </c>
      <c r="H7" s="295">
        <v>2006</v>
      </c>
      <c r="I7" s="295">
        <v>2007</v>
      </c>
      <c r="J7" s="295">
        <v>2008</v>
      </c>
      <c r="K7" s="295">
        <v>2009</v>
      </c>
      <c r="L7" s="295">
        <v>2010</v>
      </c>
      <c r="M7" s="295">
        <v>2011</v>
      </c>
      <c r="N7" s="295">
        <v>2012</v>
      </c>
      <c r="O7" s="295">
        <v>2013</v>
      </c>
      <c r="P7" s="295">
        <v>2014</v>
      </c>
      <c r="Q7" s="295">
        <v>2015</v>
      </c>
      <c r="R7" s="295">
        <v>2016</v>
      </c>
      <c r="S7" s="295">
        <v>2017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217" s="66" customFormat="1">
      <c r="A8" s="62" t="s">
        <v>103</v>
      </c>
      <c r="B8" s="296">
        <f>AVERAGE(B5:M5)</f>
        <v>101.80651164745535</v>
      </c>
      <c r="C8" s="296">
        <f>AVERAGE(N5:Y5)</f>
        <v>103.03539310872502</v>
      </c>
      <c r="D8" s="296">
        <f>AVERAGE(Z5:AK5)</f>
        <v>102.76838919308257</v>
      </c>
      <c r="E8" s="296">
        <f>AVERAGE(AL5:AW5)</f>
        <v>106.09261113052027</v>
      </c>
      <c r="F8" s="296">
        <f>AVERAGE(AX5:BI5)</f>
        <v>111.58268360950017</v>
      </c>
      <c r="G8" s="296">
        <f>AVERAGE(BJ5:BU5)</f>
        <v>116.95744511211355</v>
      </c>
      <c r="H8" s="296">
        <f>AVERAGE(BV5:CG5)</f>
        <v>122.14328383597071</v>
      </c>
      <c r="I8" s="296">
        <f>AVERAGE(CH5:CS5)</f>
        <v>122.5804690617263</v>
      </c>
      <c r="J8" s="296">
        <f>+AVERAGE(CT5:DE5)</f>
        <v>131.01499311106298</v>
      </c>
      <c r="K8" s="296">
        <f>+AVERAGE(DF5:DQ5)</f>
        <v>126.4318083057815</v>
      </c>
      <c r="L8" s="296">
        <f>+AVERAGE(DR5:EC5)</f>
        <v>129.29115596003365</v>
      </c>
      <c r="M8" s="296">
        <f>+AVERAGE(ED5:EO5)</f>
        <v>135.83643935443851</v>
      </c>
      <c r="N8" s="296">
        <f>+AVERAGE(EP5:FA5)</f>
        <v>137.99895734446577</v>
      </c>
      <c r="O8" s="296">
        <f>+AVERAGE(FB5:FM5)</f>
        <v>138.35510809709999</v>
      </c>
      <c r="P8" s="296">
        <f>+AVERAGE(FN5:FY5)</f>
        <v>139.90049254173721</v>
      </c>
      <c r="Q8" s="296">
        <f>+AVERAGE(FZ5:GK5)</f>
        <v>139.77648948053906</v>
      </c>
      <c r="R8" s="296">
        <f>+AVERAGE(GL5:GW5)</f>
        <v>140.46464159785054</v>
      </c>
      <c r="S8" s="296">
        <f>+AVERAGE(GX5:HI5)</f>
        <v>141.97297351273133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217">
      <c r="N9" s="591"/>
      <c r="S9" s="582"/>
    </row>
    <row r="10" spans="1:217">
      <c r="A10" s="338" t="s">
        <v>405</v>
      </c>
    </row>
    <row r="11" spans="1:217">
      <c r="B11" s="1">
        <v>2000</v>
      </c>
      <c r="N11" s="1">
        <v>2001</v>
      </c>
      <c r="Z11" s="1">
        <v>2002</v>
      </c>
      <c r="AL11" s="1">
        <v>2003</v>
      </c>
      <c r="AX11" s="1">
        <v>2004</v>
      </c>
      <c r="BJ11" s="1">
        <v>2005</v>
      </c>
      <c r="BV11" s="1">
        <v>2006</v>
      </c>
      <c r="CH11" s="1">
        <v>2007</v>
      </c>
    </row>
    <row r="12" spans="1:217">
      <c r="B12" s="1" t="s">
        <v>91</v>
      </c>
      <c r="C12" s="1" t="s">
        <v>92</v>
      </c>
      <c r="D12" s="1" t="s">
        <v>93</v>
      </c>
      <c r="E12" s="1" t="s">
        <v>94</v>
      </c>
      <c r="F12" s="1" t="s">
        <v>95</v>
      </c>
      <c r="G12" s="1" t="s">
        <v>96</v>
      </c>
      <c r="H12" s="1" t="s">
        <v>97</v>
      </c>
      <c r="I12" s="1" t="s">
        <v>98</v>
      </c>
      <c r="J12" s="1" t="s">
        <v>99</v>
      </c>
      <c r="K12" s="1" t="s">
        <v>100</v>
      </c>
      <c r="L12" s="1" t="s">
        <v>101</v>
      </c>
      <c r="M12" s="1" t="s">
        <v>102</v>
      </c>
      <c r="N12" s="1" t="s">
        <v>91</v>
      </c>
      <c r="O12" s="1" t="s">
        <v>92</v>
      </c>
      <c r="P12" s="1" t="s">
        <v>93</v>
      </c>
      <c r="Q12" s="1" t="s">
        <v>94</v>
      </c>
      <c r="R12" s="1" t="s">
        <v>95</v>
      </c>
      <c r="S12" s="1" t="s">
        <v>96</v>
      </c>
      <c r="T12" s="1" t="s">
        <v>97</v>
      </c>
      <c r="U12" s="1" t="s">
        <v>98</v>
      </c>
      <c r="V12" s="1" t="s">
        <v>99</v>
      </c>
      <c r="W12" s="1" t="s">
        <v>100</v>
      </c>
      <c r="X12" s="1" t="s">
        <v>101</v>
      </c>
      <c r="Y12" s="1" t="s">
        <v>102</v>
      </c>
      <c r="Z12" s="1" t="s">
        <v>91</v>
      </c>
      <c r="AA12" s="1" t="s">
        <v>92</v>
      </c>
      <c r="AB12" s="1" t="s">
        <v>93</v>
      </c>
      <c r="AC12" s="1" t="s">
        <v>94</v>
      </c>
      <c r="AD12" s="1" t="s">
        <v>95</v>
      </c>
      <c r="AE12" s="1" t="s">
        <v>96</v>
      </c>
      <c r="AF12" s="1" t="s">
        <v>97</v>
      </c>
      <c r="AG12" s="1" t="s">
        <v>98</v>
      </c>
      <c r="AH12" s="1" t="s">
        <v>99</v>
      </c>
      <c r="AI12" s="1" t="s">
        <v>100</v>
      </c>
      <c r="AJ12" s="1" t="s">
        <v>101</v>
      </c>
      <c r="AK12" s="1" t="s">
        <v>102</v>
      </c>
      <c r="AL12" s="1" t="s">
        <v>91</v>
      </c>
      <c r="AM12" s="1" t="s">
        <v>92</v>
      </c>
      <c r="AN12" s="1" t="s">
        <v>93</v>
      </c>
      <c r="AO12" s="1" t="s">
        <v>94</v>
      </c>
      <c r="AP12" s="1" t="s">
        <v>95</v>
      </c>
      <c r="AQ12" s="1" t="s">
        <v>96</v>
      </c>
      <c r="AR12" s="1" t="s">
        <v>97</v>
      </c>
      <c r="AS12" s="1" t="s">
        <v>98</v>
      </c>
      <c r="AT12" s="1" t="s">
        <v>99</v>
      </c>
      <c r="AU12" s="1" t="s">
        <v>100</v>
      </c>
      <c r="AV12" s="1" t="s">
        <v>101</v>
      </c>
      <c r="AW12" s="1" t="s">
        <v>102</v>
      </c>
      <c r="AX12" s="1" t="s">
        <v>91</v>
      </c>
      <c r="AY12" s="1" t="s">
        <v>92</v>
      </c>
      <c r="AZ12" s="1" t="s">
        <v>93</v>
      </c>
      <c r="BA12" s="1" t="s">
        <v>94</v>
      </c>
      <c r="BB12" s="1" t="s">
        <v>95</v>
      </c>
      <c r="BC12" s="1" t="s">
        <v>96</v>
      </c>
      <c r="BD12" s="1" t="s">
        <v>97</v>
      </c>
      <c r="BE12" s="1" t="s">
        <v>98</v>
      </c>
      <c r="BF12" s="1" t="s">
        <v>99</v>
      </c>
      <c r="BG12" s="1" t="s">
        <v>100</v>
      </c>
      <c r="BH12" s="1" t="s">
        <v>101</v>
      </c>
      <c r="BI12" s="1" t="s">
        <v>102</v>
      </c>
      <c r="BJ12" s="1" t="s">
        <v>91</v>
      </c>
      <c r="BK12" s="1" t="s">
        <v>92</v>
      </c>
      <c r="BL12" s="1" t="s">
        <v>93</v>
      </c>
      <c r="BM12" s="1" t="s">
        <v>94</v>
      </c>
      <c r="BN12" s="1" t="s">
        <v>95</v>
      </c>
      <c r="BO12" s="1" t="s">
        <v>96</v>
      </c>
      <c r="BP12" s="1" t="s">
        <v>97</v>
      </c>
      <c r="BQ12" s="1" t="s">
        <v>98</v>
      </c>
      <c r="BR12" s="1" t="s">
        <v>99</v>
      </c>
      <c r="BS12" s="1" t="s">
        <v>100</v>
      </c>
      <c r="BT12" s="1" t="s">
        <v>101</v>
      </c>
      <c r="BU12" s="1" t="s">
        <v>102</v>
      </c>
      <c r="BV12" s="1" t="s">
        <v>91</v>
      </c>
      <c r="BW12" s="1" t="s">
        <v>92</v>
      </c>
      <c r="BX12" s="1" t="s">
        <v>93</v>
      </c>
      <c r="BY12" s="1" t="s">
        <v>94</v>
      </c>
      <c r="BZ12" s="1" t="s">
        <v>95</v>
      </c>
      <c r="CA12" s="1" t="s">
        <v>96</v>
      </c>
      <c r="CB12" s="1" t="s">
        <v>97</v>
      </c>
      <c r="CC12" s="1" t="s">
        <v>98</v>
      </c>
      <c r="CD12" s="1" t="s">
        <v>99</v>
      </c>
      <c r="CE12" s="1" t="s">
        <v>100</v>
      </c>
      <c r="CF12" s="1" t="s">
        <v>101</v>
      </c>
      <c r="CG12" s="1" t="s">
        <v>102</v>
      </c>
      <c r="CH12" s="1" t="s">
        <v>91</v>
      </c>
      <c r="CI12" s="1" t="s">
        <v>92</v>
      </c>
      <c r="CJ12" s="1" t="s">
        <v>93</v>
      </c>
      <c r="CK12" s="1" t="s">
        <v>94</v>
      </c>
      <c r="CL12" s="1" t="s">
        <v>95</v>
      </c>
      <c r="CM12" s="1" t="s">
        <v>96</v>
      </c>
      <c r="CN12" s="1" t="s">
        <v>97</v>
      </c>
      <c r="CO12" s="1" t="s">
        <v>98</v>
      </c>
      <c r="CP12" s="1" t="s">
        <v>223</v>
      </c>
      <c r="CQ12" s="1" t="s">
        <v>224</v>
      </c>
      <c r="CR12" s="1" t="s">
        <v>235</v>
      </c>
      <c r="CS12" s="1" t="s">
        <v>236</v>
      </c>
      <c r="EP12" s="1">
        <v>2012</v>
      </c>
      <c r="FB12" s="374">
        <v>41275</v>
      </c>
      <c r="FC12" s="374">
        <v>41306</v>
      </c>
      <c r="FD12" s="374">
        <v>41334</v>
      </c>
      <c r="FE12" s="374">
        <v>41365</v>
      </c>
      <c r="FF12" s="374">
        <v>41395</v>
      </c>
      <c r="FG12" s="374">
        <v>41426</v>
      </c>
      <c r="FH12" s="374">
        <v>41456</v>
      </c>
      <c r="FI12" s="374">
        <v>41487</v>
      </c>
      <c r="FJ12" s="374">
        <v>41518</v>
      </c>
      <c r="FK12" s="374">
        <v>41548</v>
      </c>
      <c r="FL12" s="374">
        <v>41579</v>
      </c>
      <c r="FM12" s="374">
        <v>41609</v>
      </c>
      <c r="FN12" s="374">
        <v>41640</v>
      </c>
      <c r="FO12" s="374">
        <v>41671</v>
      </c>
      <c r="FP12" s="374">
        <v>41699</v>
      </c>
      <c r="FQ12" s="374">
        <v>41730</v>
      </c>
      <c r="FR12" s="374">
        <v>41760</v>
      </c>
      <c r="FS12" s="374">
        <v>41791</v>
      </c>
      <c r="FT12" s="374">
        <v>41821</v>
      </c>
      <c r="FU12" s="374">
        <v>41852</v>
      </c>
      <c r="FV12" s="374">
        <v>41883</v>
      </c>
      <c r="FW12" s="374">
        <v>41913</v>
      </c>
      <c r="FX12" s="374">
        <v>41944</v>
      </c>
      <c r="FY12" s="374">
        <v>41974</v>
      </c>
      <c r="FZ12" s="374">
        <v>42005</v>
      </c>
      <c r="GA12" s="374">
        <v>42036</v>
      </c>
      <c r="GB12" s="374">
        <v>42064</v>
      </c>
      <c r="GC12" s="374">
        <v>42095</v>
      </c>
      <c r="GD12" s="374">
        <v>42125</v>
      </c>
      <c r="GE12" s="374">
        <v>42156</v>
      </c>
      <c r="GF12" s="374">
        <v>42186</v>
      </c>
      <c r="GG12" s="374">
        <v>42217</v>
      </c>
      <c r="GH12" s="374">
        <v>42248</v>
      </c>
      <c r="GI12" s="374">
        <v>42278</v>
      </c>
      <c r="GJ12" s="374">
        <v>42309</v>
      </c>
      <c r="GK12" s="374">
        <v>42339</v>
      </c>
      <c r="GL12" s="374">
        <v>42370</v>
      </c>
      <c r="GM12" s="374">
        <v>42401</v>
      </c>
      <c r="GN12" s="374">
        <v>42430</v>
      </c>
      <c r="GO12" s="374">
        <v>42461</v>
      </c>
      <c r="GP12" s="374">
        <v>42491</v>
      </c>
      <c r="GQ12" s="374">
        <v>42522</v>
      </c>
      <c r="GR12" s="374">
        <v>42552</v>
      </c>
      <c r="GS12" s="374">
        <v>42583</v>
      </c>
      <c r="GT12" s="374">
        <v>42614</v>
      </c>
      <c r="GU12" s="374">
        <v>42644</v>
      </c>
      <c r="GV12" s="374">
        <v>42675</v>
      </c>
      <c r="GW12" s="374">
        <v>42705</v>
      </c>
      <c r="GX12" s="374">
        <v>42736</v>
      </c>
      <c r="GY12" s="374">
        <v>42767</v>
      </c>
      <c r="GZ12" s="374">
        <v>42795</v>
      </c>
      <c r="HA12" s="374">
        <v>42826</v>
      </c>
      <c r="HB12" s="374">
        <v>42856</v>
      </c>
      <c r="HC12" s="374">
        <v>42887</v>
      </c>
      <c r="HD12" s="374">
        <v>42917</v>
      </c>
      <c r="HE12" s="374">
        <v>42948</v>
      </c>
      <c r="HF12" s="374">
        <v>42979</v>
      </c>
      <c r="HG12" s="374">
        <v>43009</v>
      </c>
      <c r="HH12" s="374">
        <v>43040</v>
      </c>
      <c r="HI12" s="374">
        <v>43070</v>
      </c>
    </row>
    <row r="13" spans="1:217">
      <c r="B13" s="1">
        <v>94.930191858312824</v>
      </c>
      <c r="C13" s="1">
        <v>95.427992732802508</v>
      </c>
      <c r="D13" s="1">
        <v>95.895455492531497</v>
      </c>
      <c r="E13" s="1">
        <v>96.467146229803063</v>
      </c>
      <c r="F13" s="1">
        <v>96.569706418102257</v>
      </c>
      <c r="G13" s="1">
        <v>96.730318810365333</v>
      </c>
      <c r="H13" s="1">
        <v>97.156825511998193</v>
      </c>
      <c r="I13" s="1">
        <v>97.606580510305079</v>
      </c>
      <c r="J13" s="1">
        <v>98.331866128754172</v>
      </c>
      <c r="K13" s="1">
        <v>98.874947510230669</v>
      </c>
      <c r="L13" s="1">
        <v>99.798141257002484</v>
      </c>
      <c r="M13" s="1">
        <v>100.27199232948195</v>
      </c>
      <c r="N13" s="1">
        <v>100.41543842252561</v>
      </c>
      <c r="O13" s="1">
        <v>100.50374650409448</v>
      </c>
      <c r="P13" s="1">
        <v>100.85963758290275</v>
      </c>
      <c r="Q13" s="1">
        <v>100.9969040126439</v>
      </c>
      <c r="R13" s="1">
        <v>101.06291888668099</v>
      </c>
      <c r="S13" s="1">
        <v>101.22799771163282</v>
      </c>
      <c r="T13" s="1">
        <v>101.09819957339919</v>
      </c>
      <c r="U13" s="1">
        <v>100.78592972532228</v>
      </c>
      <c r="V13" s="1">
        <v>100.69859850215246</v>
      </c>
      <c r="W13" s="1">
        <v>100.44338158209216</v>
      </c>
      <c r="X13" s="1">
        <v>99.99366968440961</v>
      </c>
      <c r="Y13" s="1">
        <v>100</v>
      </c>
      <c r="Z13" s="1">
        <v>99.736262365683075</v>
      </c>
      <c r="AA13" s="1">
        <v>99.767115384615352</v>
      </c>
      <c r="AB13" s="1">
        <v>100.07630671158108</v>
      </c>
      <c r="AC13" s="1">
        <v>100.4313197168685</v>
      </c>
      <c r="AD13" s="1">
        <v>100.50076859116494</v>
      </c>
      <c r="AE13" s="1">
        <v>100.97521831826708</v>
      </c>
      <c r="AF13" s="1">
        <v>101.20859351014838</v>
      </c>
      <c r="AG13" s="1">
        <v>101.43324151458299</v>
      </c>
      <c r="AH13" s="1">
        <v>102.03290039229063</v>
      </c>
      <c r="AI13" s="1">
        <v>102.254941369606</v>
      </c>
      <c r="AJ13" s="1">
        <v>102.521639732219</v>
      </c>
      <c r="AK13" s="1">
        <v>102.56662928534881</v>
      </c>
      <c r="AL13" s="1">
        <v>102.69188502046734</v>
      </c>
      <c r="AM13" s="1">
        <v>103.15225236653592</v>
      </c>
      <c r="AN13" s="1">
        <v>105.63735171840356</v>
      </c>
      <c r="AO13" s="1">
        <v>105.93496066433568</v>
      </c>
      <c r="AP13" s="1">
        <v>105.58369595343682</v>
      </c>
      <c r="AQ13" s="1">
        <v>105.50467646682584</v>
      </c>
      <c r="AR13" s="1">
        <v>105.5210153718233</v>
      </c>
      <c r="AS13" s="1">
        <v>105.63757216868498</v>
      </c>
      <c r="AT13" s="1">
        <v>105.96766086048103</v>
      </c>
      <c r="AU13" s="1">
        <v>105.96685900989253</v>
      </c>
      <c r="AV13" s="1">
        <v>105.93093115725738</v>
      </c>
      <c r="AW13" s="1">
        <v>106.19206922650517</v>
      </c>
      <c r="AX13" s="1">
        <v>106.35454620075046</v>
      </c>
      <c r="AY13" s="1">
        <v>106.5968223392461</v>
      </c>
      <c r="AZ13" s="1">
        <v>107.26153600972199</v>
      </c>
      <c r="BA13" s="1">
        <v>107.52077402780147</v>
      </c>
      <c r="BB13" s="1">
        <v>107.61594949258057</v>
      </c>
      <c r="BC13" s="1">
        <v>107.86505106174313</v>
      </c>
      <c r="BD13" s="1">
        <v>108.27458670902269</v>
      </c>
      <c r="BE13" s="1">
        <v>108.4076269614532</v>
      </c>
      <c r="BF13" s="1">
        <v>108.681882888453</v>
      </c>
      <c r="BG13" s="1">
        <v>109.21706602848373</v>
      </c>
      <c r="BH13" s="1">
        <v>110.27048300784581</v>
      </c>
      <c r="BI13" s="1">
        <v>110.43923418045367</v>
      </c>
      <c r="BJ13" s="1">
        <v>110.1718709491728</v>
      </c>
      <c r="BK13" s="1">
        <v>110.03592412161009</v>
      </c>
      <c r="BL13" s="1">
        <v>110.54151298396727</v>
      </c>
      <c r="BM13" s="1">
        <v>110.69871769998296</v>
      </c>
      <c r="BN13" s="1">
        <v>110.58386736738871</v>
      </c>
      <c r="BO13" s="1">
        <v>110.80880436636531</v>
      </c>
      <c r="BP13" s="1">
        <v>110.80534261470238</v>
      </c>
      <c r="BQ13" s="1">
        <v>111.19369478082892</v>
      </c>
      <c r="BR13" s="1">
        <v>111.78072083404402</v>
      </c>
      <c r="BS13" s="1">
        <v>112.00799164250384</v>
      </c>
      <c r="BT13" s="1">
        <v>112.24781084768891</v>
      </c>
      <c r="BU13" s="1">
        <v>112.5767591250213</v>
      </c>
      <c r="BV13" s="1">
        <v>112.55861461709023</v>
      </c>
      <c r="BW13" s="1">
        <v>112.5618593296947</v>
      </c>
      <c r="BX13" s="1">
        <v>112.96151117175511</v>
      </c>
      <c r="BY13" s="1">
        <v>113.16814855875832</v>
      </c>
      <c r="BZ13" s="1">
        <v>112.94204588094834</v>
      </c>
      <c r="CA13" s="1">
        <v>113.13194716868502</v>
      </c>
      <c r="CB13" s="1">
        <v>113.47094384274261</v>
      </c>
      <c r="CC13" s="1">
        <v>113.69485331741429</v>
      </c>
      <c r="CD13" s="1">
        <v>113.68850865597817</v>
      </c>
      <c r="CE13" s="1">
        <v>113.4651969981238</v>
      </c>
      <c r="CF13" s="1">
        <v>113.37565538120415</v>
      </c>
      <c r="CG13" s="1">
        <v>113.46264625618281</v>
      </c>
      <c r="CH13" s="1">
        <v>113.26920731707311</v>
      </c>
      <c r="CI13" s="1">
        <v>113.29264540337709</v>
      </c>
      <c r="CJ13" s="1">
        <v>113.54913269657168</v>
      </c>
      <c r="CK13" s="1">
        <v>113.66943416339758</v>
      </c>
      <c r="CL13" s="1">
        <v>113.97050081016545</v>
      </c>
      <c r="CM13" s="1">
        <v>114.72904485758141</v>
      </c>
      <c r="CN13" s="1">
        <v>115.0533773238956</v>
      </c>
      <c r="CO13" s="1">
        <v>115.34525989254645</v>
      </c>
      <c r="CP13" s="1">
        <v>115.56505543237247</v>
      </c>
      <c r="CQ13" s="1">
        <v>115.77382014327135</v>
      </c>
      <c r="CR13" s="1">
        <v>115.94618987719598</v>
      </c>
      <c r="CS13" s="1">
        <v>116.43300805901413</v>
      </c>
      <c r="CT13" s="1">
        <v>116.46629455909942</v>
      </c>
      <c r="CU13" s="1">
        <v>116.65311039570187</v>
      </c>
      <c r="CV13" s="1">
        <v>117.32104404741597</v>
      </c>
      <c r="CW13" s="1">
        <v>117.62867772471431</v>
      </c>
      <c r="CX13" s="1">
        <v>117.76445612314512</v>
      </c>
      <c r="CY13" s="1">
        <v>118.56037118369433</v>
      </c>
      <c r="CZ13" s="1">
        <v>119.23368987719596</v>
      </c>
      <c r="DA13" s="1">
        <v>119.96366749104554</v>
      </c>
      <c r="DB13" s="1">
        <v>120.97555219171072</v>
      </c>
      <c r="DC13" s="1">
        <v>121.95419495139008</v>
      </c>
      <c r="DD13" s="1">
        <v>122.61484393655124</v>
      </c>
      <c r="DE13" s="1">
        <v>122.52565346239126</v>
      </c>
      <c r="DF13" s="1">
        <v>121.64818501620331</v>
      </c>
      <c r="DG13" s="1">
        <v>121.16662651373017</v>
      </c>
      <c r="DH13" s="1">
        <v>121.78910881801126</v>
      </c>
      <c r="DI13" s="1">
        <v>121.92257355449428</v>
      </c>
      <c r="DJ13" s="1">
        <v>121.96831400307009</v>
      </c>
      <c r="DK13" s="1">
        <v>122.04394635851952</v>
      </c>
      <c r="DL13" s="1">
        <v>122.29159666552958</v>
      </c>
      <c r="DM13" s="1">
        <v>122.13112783557906</v>
      </c>
      <c r="DN13" s="1">
        <v>122.26993625277159</v>
      </c>
      <c r="DO13" s="1">
        <v>122.15365619136959</v>
      </c>
      <c r="DP13" s="1">
        <v>122.20479745863895</v>
      </c>
      <c r="DQ13" s="1">
        <v>122.72943757462049</v>
      </c>
      <c r="DR13" s="1">
        <v>123.39950118026179</v>
      </c>
      <c r="DS13" s="1">
        <v>123.6355850511257</v>
      </c>
      <c r="DT13" s="1">
        <v>124.00226048079053</v>
      </c>
      <c r="DU13" s="1">
        <v>124.22189631248932</v>
      </c>
      <c r="DV13" s="1">
        <v>124.56925342998464</v>
      </c>
      <c r="DW13" s="1">
        <v>124.6964797755202</v>
      </c>
      <c r="DX13" s="1">
        <v>125.16864156632694</v>
      </c>
      <c r="DY13" s="1">
        <v>125.2166002594235</v>
      </c>
      <c r="DZ13" s="1">
        <v>125.45074271627151</v>
      </c>
      <c r="EA13" s="1">
        <v>125.82070883670899</v>
      </c>
      <c r="EB13" s="1">
        <v>126.04116282127325</v>
      </c>
      <c r="EC13" s="1">
        <v>126.76913356796862</v>
      </c>
      <c r="ED13" s="1">
        <v>127.42680972740065</v>
      </c>
      <c r="EE13" s="1">
        <v>127.54172832229658</v>
      </c>
      <c r="EF13" s="1">
        <v>128.11475753180966</v>
      </c>
      <c r="EG13" s="1">
        <v>128.5296256341037</v>
      </c>
      <c r="EH13" s="1">
        <v>128.51708001867641</v>
      </c>
      <c r="EI13" s="1">
        <v>129.07502195840436</v>
      </c>
      <c r="EJ13" s="1">
        <v>129.68839292891863</v>
      </c>
      <c r="EK13" s="1">
        <v>130.07672267661604</v>
      </c>
      <c r="EL13" s="1">
        <v>130.6996823644252</v>
      </c>
      <c r="EM13" s="1">
        <v>131.0055293818651</v>
      </c>
      <c r="EN13" s="1">
        <v>131.34502173217641</v>
      </c>
      <c r="EO13" s="1">
        <v>132.05507465629799</v>
      </c>
      <c r="EP13" s="1">
        <v>132.03853872486354</v>
      </c>
      <c r="EQ13" s="1">
        <v>132.66671541738449</v>
      </c>
      <c r="ER13" s="1">
        <v>133.56963635148389</v>
      </c>
      <c r="ES13" s="1">
        <v>134.06832689101142</v>
      </c>
      <c r="ET13" s="1">
        <v>134.29136464301553</v>
      </c>
      <c r="EU13" s="1">
        <v>134.49005924899794</v>
      </c>
      <c r="EV13" s="1">
        <v>134.58514510035394</v>
      </c>
      <c r="EW13" s="1">
        <v>135.00835485336006</v>
      </c>
      <c r="EX13" s="1">
        <v>135.32596722925553</v>
      </c>
      <c r="EY13" s="1">
        <v>135.41899558429984</v>
      </c>
      <c r="EZ13" s="1">
        <v>135.4594516668088</v>
      </c>
      <c r="FA13" s="1">
        <v>136.17125427566947</v>
      </c>
      <c r="FB13" s="1">
        <v>136.62001019576158</v>
      </c>
      <c r="FC13" s="1">
        <v>137.22749186783639</v>
      </c>
      <c r="FD13" s="1">
        <v>138.65763186120583</v>
      </c>
      <c r="FE13" s="1">
        <v>138.64694057223261</v>
      </c>
      <c r="FF13" s="1">
        <v>138.56358435579054</v>
      </c>
      <c r="FG13" s="1">
        <v>138.93004820876681</v>
      </c>
      <c r="FH13" s="1">
        <v>139.65302755423846</v>
      </c>
      <c r="FI13" s="1">
        <v>140.31970586815629</v>
      </c>
      <c r="FJ13" s="1">
        <v>140.71176222290205</v>
      </c>
      <c r="FK13" s="1">
        <v>140.84708976326112</v>
      </c>
      <c r="FL13" s="1">
        <v>141.15182993987719</v>
      </c>
      <c r="FM13" s="1">
        <v>142.16051619335241</v>
      </c>
      <c r="FN13" s="1">
        <v>142.30636340761987</v>
      </c>
      <c r="FO13" s="1">
        <v>143.23264484834982</v>
      </c>
      <c r="FP13" s="1">
        <v>144.4115446935443</v>
      </c>
      <c r="FQ13" s="1">
        <v>144.81869040674567</v>
      </c>
      <c r="FR13" s="1">
        <v>144.92362575648133</v>
      </c>
      <c r="FS13" s="1">
        <v>145.13432487329436</v>
      </c>
      <c r="FT13" s="1">
        <v>145.54885416322705</v>
      </c>
      <c r="FU13" s="1">
        <v>145.17924478057307</v>
      </c>
      <c r="FV13" s="1">
        <v>145.35743771991727</v>
      </c>
      <c r="FW13" s="1">
        <v>145.74770605370543</v>
      </c>
      <c r="FX13" s="1">
        <v>145.80463174464867</v>
      </c>
      <c r="FY13" s="1">
        <v>146.14574527694865</v>
      </c>
      <c r="FZ13" s="1">
        <v>145.84364176285604</v>
      </c>
      <c r="GA13" s="1">
        <v>146.03689075225995</v>
      </c>
      <c r="GB13" s="1">
        <v>147.53771038623569</v>
      </c>
      <c r="GC13" s="1">
        <v>147.98595148746375</v>
      </c>
      <c r="GD13" s="1">
        <v>149.13445872953267</v>
      </c>
      <c r="GE13" s="1">
        <v>150.01181940344108</v>
      </c>
      <c r="GF13" s="1">
        <v>151.03867504914291</v>
      </c>
      <c r="GG13" s="1">
        <v>151.3152947943459</v>
      </c>
      <c r="GH13" s="1">
        <v>151.51453095486525</v>
      </c>
      <c r="GI13" s="1">
        <v>151.68715728279039</v>
      </c>
      <c r="GJ13" s="1">
        <v>151.82980296381965</v>
      </c>
      <c r="GK13" s="1">
        <v>152.7473000020467</v>
      </c>
      <c r="GL13" s="1">
        <v>153.1079703931434</v>
      </c>
      <c r="GM13" s="1">
        <v>153.67723151562768</v>
      </c>
      <c r="GN13" s="1">
        <v>154.59230688265396</v>
      </c>
      <c r="GO13" s="1">
        <v>154.33686388030873</v>
      </c>
      <c r="GP13" s="1">
        <v>154.8927841401586</v>
      </c>
      <c r="GQ13" s="1">
        <v>155.26299717503835</v>
      </c>
      <c r="GR13" s="1">
        <v>155.55472136485162</v>
      </c>
      <c r="GS13" s="1">
        <v>155.86039595844704</v>
      </c>
      <c r="GT13" s="1">
        <v>156.16471939137389</v>
      </c>
      <c r="GU13" s="1">
        <v>156.58959274172781</v>
      </c>
      <c r="GV13" s="1">
        <v>157.30154528848286</v>
      </c>
      <c r="GW13" s="1">
        <v>158.12420620401238</v>
      </c>
      <c r="GX13" s="1">
        <v>158.50303799765481</v>
      </c>
      <c r="GY13" s="1">
        <v>158.5751784320953</v>
      </c>
      <c r="GZ13" s="1">
        <v>159.65513988357066</v>
      </c>
      <c r="HA13" s="1">
        <v>159.95865556457866</v>
      </c>
      <c r="HB13" s="1">
        <v>159.76861847974587</v>
      </c>
      <c r="HC13" s="1">
        <v>159.94980808673034</v>
      </c>
      <c r="HD13" s="1">
        <v>160.16529180217037</v>
      </c>
      <c r="HE13" s="1">
        <v>161.18269709873354</v>
      </c>
      <c r="HF13" s="1">
        <v>161.51457562674824</v>
      </c>
      <c r="HG13" s="1">
        <v>161.57220373334894</v>
      </c>
      <c r="HH13" s="1">
        <v>161.92198111338055</v>
      </c>
      <c r="HI13" s="1">
        <v>162.7036083722497</v>
      </c>
    </row>
    <row r="14" spans="1:217"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</row>
    <row r="15" spans="1:217">
      <c r="A15" s="295"/>
      <c r="B15" s="295">
        <v>2000</v>
      </c>
      <c r="C15" s="295">
        <v>2001</v>
      </c>
      <c r="D15" s="295">
        <v>2002</v>
      </c>
      <c r="E15" s="295">
        <v>2003</v>
      </c>
      <c r="F15" s="295">
        <v>2004</v>
      </c>
      <c r="G15" s="295">
        <v>2005</v>
      </c>
      <c r="H15" s="295">
        <v>2006</v>
      </c>
      <c r="I15" s="295">
        <v>2007</v>
      </c>
      <c r="J15" s="295">
        <v>2008</v>
      </c>
      <c r="K15" s="295">
        <v>2009</v>
      </c>
      <c r="L15" s="295">
        <v>2010</v>
      </c>
      <c r="M15" s="295">
        <v>2011</v>
      </c>
      <c r="N15" s="295">
        <v>2012</v>
      </c>
      <c r="O15" s="295">
        <v>2013</v>
      </c>
      <c r="P15" s="295">
        <v>2014</v>
      </c>
      <c r="Q15" s="295">
        <v>2015</v>
      </c>
      <c r="R15" s="295">
        <v>2016</v>
      </c>
      <c r="S15" s="295">
        <v>2017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EP15" s="590"/>
      <c r="EQ15" s="590"/>
      <c r="ER15" s="590"/>
      <c r="ES15" s="590"/>
      <c r="ET15" s="590"/>
      <c r="EU15" s="590"/>
      <c r="EV15" s="590"/>
      <c r="EW15" s="590"/>
      <c r="EX15" s="590"/>
      <c r="EY15" s="590"/>
      <c r="EZ15" s="590"/>
      <c r="FA15" s="590"/>
    </row>
    <row r="16" spans="1:217" s="66" customFormat="1">
      <c r="A16" s="62" t="s">
        <v>103</v>
      </c>
      <c r="B16" s="296">
        <f>AVERAGE(B13:M13)</f>
        <v>97.338430399140847</v>
      </c>
      <c r="C16" s="296">
        <f>AVERAGE(N13:Y13)</f>
        <v>100.67386851565466</v>
      </c>
      <c r="D16" s="296">
        <f>AVERAGE(Z13:AK13)</f>
        <v>101.125411407698</v>
      </c>
      <c r="E16" s="296">
        <f>AVERAGE(AL13:AW13)</f>
        <v>105.31007749872079</v>
      </c>
      <c r="F16" s="296">
        <f>AVERAGE(AX13:BI13)</f>
        <v>108.20879657562965</v>
      </c>
      <c r="G16" s="296">
        <f>AVERAGE(BJ13:BU13)</f>
        <v>111.12108477777302</v>
      </c>
      <c r="H16" s="296">
        <f>AVERAGE(BV13:CG13)</f>
        <v>113.20682759821477</v>
      </c>
      <c r="I16" s="296">
        <f>AVERAGE(CH13:CS13)</f>
        <v>114.7163896647052</v>
      </c>
      <c r="J16" s="296">
        <f>+AVERAGE(CT13:DE13)</f>
        <v>119.30512966200466</v>
      </c>
      <c r="K16" s="296">
        <f>+AVERAGE(DF13:DQ13)</f>
        <v>122.02660885354483</v>
      </c>
      <c r="L16" s="296">
        <f>+AVERAGE(DR13:EC13)</f>
        <v>124.91599716651206</v>
      </c>
      <c r="M16" s="296">
        <f>+AVERAGE(ED13:EO13)</f>
        <v>129.50628724441592</v>
      </c>
      <c r="N16" s="296">
        <f>+AVERAGE(EP13:FA13)</f>
        <v>134.42448416554205</v>
      </c>
      <c r="O16" s="296">
        <f>+AVERAGE(FB13:FM13)</f>
        <v>139.45746988361512</v>
      </c>
      <c r="P16" s="296">
        <f>+AVERAGE(FN13:FY13)</f>
        <v>144.88423447708797</v>
      </c>
      <c r="Q16" s="296">
        <f>+AVERAGE(FZ13:GK13)</f>
        <v>149.72360279739999</v>
      </c>
      <c r="R16" s="296">
        <f>+AVERAGE(GL13:GW13)</f>
        <v>155.4554445779855</v>
      </c>
      <c r="S16" s="296">
        <f>+AVERAGE(GX13:HI13)</f>
        <v>160.45589968258389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217">
      <c r="N17" s="591"/>
      <c r="EP17" s="591"/>
      <c r="EQ17" s="591"/>
      <c r="ER17" s="591"/>
      <c r="ES17" s="591"/>
      <c r="ET17" s="591"/>
      <c r="EU17" s="591"/>
      <c r="EV17" s="591"/>
    </row>
    <row r="18" spans="1:217">
      <c r="A18" s="338" t="s">
        <v>104</v>
      </c>
    </row>
    <row r="20" spans="1:217">
      <c r="B20" s="1" t="s">
        <v>105</v>
      </c>
      <c r="C20" s="1" t="s">
        <v>106</v>
      </c>
      <c r="D20" s="1" t="s">
        <v>107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113</v>
      </c>
      <c r="K20" s="1" t="s">
        <v>114</v>
      </c>
      <c r="L20" s="1" t="s">
        <v>115</v>
      </c>
      <c r="M20" s="1" t="s">
        <v>116</v>
      </c>
      <c r="N20" s="1" t="s">
        <v>117</v>
      </c>
      <c r="O20" s="1" t="s">
        <v>118</v>
      </c>
      <c r="P20" s="1" t="s">
        <v>119</v>
      </c>
      <c r="Q20" s="1" t="s">
        <v>120</v>
      </c>
      <c r="R20" s="1" t="s">
        <v>121</v>
      </c>
      <c r="S20" s="1" t="s">
        <v>122</v>
      </c>
      <c r="T20" s="1" t="s">
        <v>123</v>
      </c>
      <c r="U20" s="1" t="s">
        <v>124</v>
      </c>
      <c r="V20" s="1" t="s">
        <v>125</v>
      </c>
      <c r="W20" s="1" t="s">
        <v>126</v>
      </c>
      <c r="X20" s="1" t="s">
        <v>127</v>
      </c>
      <c r="Y20" s="1" t="s">
        <v>128</v>
      </c>
      <c r="Z20" s="1" t="s">
        <v>129</v>
      </c>
      <c r="AA20" s="1" t="s">
        <v>130</v>
      </c>
      <c r="AB20" s="1" t="s">
        <v>131</v>
      </c>
      <c r="AC20" s="1" t="s">
        <v>132</v>
      </c>
      <c r="AD20" s="1" t="s">
        <v>133</v>
      </c>
      <c r="AE20" s="1" t="s">
        <v>134</v>
      </c>
      <c r="AF20" s="1" t="s">
        <v>135</v>
      </c>
      <c r="AG20" s="1" t="s">
        <v>136</v>
      </c>
      <c r="AH20" s="1" t="s">
        <v>137</v>
      </c>
      <c r="AI20" s="1" t="s">
        <v>138</v>
      </c>
      <c r="AJ20" s="1" t="s">
        <v>139</v>
      </c>
      <c r="AK20" s="1" t="s">
        <v>140</v>
      </c>
      <c r="AL20" s="1" t="s">
        <v>141</v>
      </c>
      <c r="AM20" s="1" t="s">
        <v>142</v>
      </c>
      <c r="AN20" s="1" t="s">
        <v>143</v>
      </c>
      <c r="AO20" s="1" t="s">
        <v>144</v>
      </c>
      <c r="AP20" s="1" t="s">
        <v>145</v>
      </c>
      <c r="AQ20" s="1" t="s">
        <v>146</v>
      </c>
      <c r="AR20" s="1" t="s">
        <v>147</v>
      </c>
      <c r="AS20" s="1" t="s">
        <v>148</v>
      </c>
      <c r="AT20" s="1" t="s">
        <v>149</v>
      </c>
      <c r="AU20" s="1" t="s">
        <v>150</v>
      </c>
      <c r="AV20" s="1" t="s">
        <v>151</v>
      </c>
      <c r="AW20" s="1" t="s">
        <v>152</v>
      </c>
      <c r="AX20" s="1" t="s">
        <v>153</v>
      </c>
      <c r="AY20" s="1" t="s">
        <v>154</v>
      </c>
      <c r="AZ20" s="1" t="s">
        <v>155</v>
      </c>
      <c r="BA20" s="1" t="s">
        <v>156</v>
      </c>
      <c r="BB20" s="1" t="s">
        <v>157</v>
      </c>
      <c r="BC20" s="1" t="s">
        <v>158</v>
      </c>
      <c r="BD20" s="1" t="s">
        <v>159</v>
      </c>
      <c r="BE20" s="1" t="s">
        <v>160</v>
      </c>
      <c r="BF20" s="1" t="s">
        <v>161</v>
      </c>
      <c r="BG20" s="1" t="s">
        <v>162</v>
      </c>
      <c r="BH20" s="1" t="s">
        <v>163</v>
      </c>
      <c r="BI20" s="1" t="s">
        <v>164</v>
      </c>
      <c r="BJ20" s="1" t="s">
        <v>165</v>
      </c>
      <c r="BK20" s="1" t="s">
        <v>166</v>
      </c>
      <c r="BL20" s="1" t="s">
        <v>167</v>
      </c>
      <c r="BM20" s="1" t="s">
        <v>168</v>
      </c>
      <c r="BN20" s="1" t="s">
        <v>169</v>
      </c>
      <c r="BO20" s="1" t="s">
        <v>170</v>
      </c>
      <c r="BP20" s="1" t="s">
        <v>171</v>
      </c>
      <c r="BQ20" s="1" t="s">
        <v>172</v>
      </c>
      <c r="BR20" s="1" t="s">
        <v>173</v>
      </c>
      <c r="BS20" s="1" t="s">
        <v>174</v>
      </c>
      <c r="BT20" s="1" t="s">
        <v>175</v>
      </c>
      <c r="BU20" s="1" t="s">
        <v>176</v>
      </c>
      <c r="BV20" s="1" t="s">
        <v>177</v>
      </c>
      <c r="BW20" s="1" t="s">
        <v>178</v>
      </c>
      <c r="BX20" s="1" t="s">
        <v>179</v>
      </c>
      <c r="BY20" s="1" t="s">
        <v>180</v>
      </c>
      <c r="BZ20" s="1" t="s">
        <v>181</v>
      </c>
      <c r="CA20" s="1" t="s">
        <v>182</v>
      </c>
      <c r="CB20" s="1" t="s">
        <v>183</v>
      </c>
      <c r="CC20" s="1" t="s">
        <v>184</v>
      </c>
      <c r="CD20" s="1" t="s">
        <v>185</v>
      </c>
      <c r="CE20" s="1" t="s">
        <v>186</v>
      </c>
      <c r="CF20" s="1" t="s">
        <v>187</v>
      </c>
      <c r="CG20" s="1" t="s">
        <v>188</v>
      </c>
      <c r="CH20" s="1" t="s">
        <v>189</v>
      </c>
      <c r="CI20" s="1" t="s">
        <v>190</v>
      </c>
      <c r="CJ20" s="1" t="s">
        <v>191</v>
      </c>
      <c r="CK20" s="1" t="s">
        <v>192</v>
      </c>
      <c r="CL20" s="1" t="s">
        <v>193</v>
      </c>
      <c r="CM20" s="1" t="s">
        <v>194</v>
      </c>
      <c r="CN20" s="1" t="s">
        <v>195</v>
      </c>
      <c r="CO20" s="1" t="s">
        <v>196</v>
      </c>
      <c r="CP20" s="1" t="s">
        <v>197</v>
      </c>
      <c r="CQ20" s="1" t="s">
        <v>198</v>
      </c>
      <c r="CR20" s="1" t="s">
        <v>199</v>
      </c>
      <c r="CS20" s="1" t="s">
        <v>200</v>
      </c>
      <c r="CT20" s="374">
        <v>39448</v>
      </c>
      <c r="CU20" s="374">
        <v>39479</v>
      </c>
      <c r="CV20" s="374">
        <v>39508</v>
      </c>
      <c r="CW20" s="374">
        <v>39539</v>
      </c>
      <c r="CX20" s="374">
        <v>39569</v>
      </c>
      <c r="CY20" s="374">
        <v>39600</v>
      </c>
      <c r="CZ20" s="374">
        <v>39630</v>
      </c>
      <c r="DA20" s="374">
        <v>39661</v>
      </c>
      <c r="DB20" s="374">
        <v>39692</v>
      </c>
      <c r="DC20" s="374">
        <v>39722</v>
      </c>
      <c r="DD20" s="374">
        <v>39753</v>
      </c>
      <c r="DE20" s="374">
        <v>39783</v>
      </c>
      <c r="DF20" s="374">
        <v>39814</v>
      </c>
      <c r="DG20" s="374">
        <v>39845</v>
      </c>
      <c r="DH20" s="374">
        <v>39873</v>
      </c>
      <c r="DI20" s="374">
        <v>39904</v>
      </c>
      <c r="DJ20" s="374">
        <v>39934</v>
      </c>
      <c r="DK20" s="374">
        <v>39965</v>
      </c>
      <c r="DL20" s="374">
        <v>39995</v>
      </c>
      <c r="DM20" s="374">
        <v>40026</v>
      </c>
      <c r="DN20" s="374">
        <v>40057</v>
      </c>
      <c r="DO20" s="374">
        <v>40087</v>
      </c>
      <c r="DP20" s="374">
        <v>40118</v>
      </c>
      <c r="DQ20" s="374">
        <v>40148</v>
      </c>
      <c r="DR20" s="374">
        <v>40179</v>
      </c>
      <c r="DS20" s="374">
        <v>40210</v>
      </c>
      <c r="DT20" s="374">
        <v>40238</v>
      </c>
      <c r="DU20" s="374">
        <v>40269</v>
      </c>
      <c r="DV20" s="374">
        <v>40299</v>
      </c>
      <c r="DW20" s="374">
        <v>40330</v>
      </c>
      <c r="DX20" s="374">
        <v>40360</v>
      </c>
      <c r="DY20" s="374">
        <v>40391</v>
      </c>
      <c r="DZ20" s="374">
        <v>40422</v>
      </c>
      <c r="EA20" s="374">
        <v>40452</v>
      </c>
      <c r="EB20" s="374">
        <v>40483</v>
      </c>
      <c r="EC20" s="374">
        <v>40513</v>
      </c>
      <c r="ED20" s="374">
        <v>40544</v>
      </c>
      <c r="EE20" s="374">
        <v>40575</v>
      </c>
      <c r="EF20" s="374">
        <v>40603</v>
      </c>
      <c r="EG20" s="374">
        <v>40634</v>
      </c>
      <c r="EH20" s="374">
        <v>40664</v>
      </c>
      <c r="EI20" s="374">
        <v>40695</v>
      </c>
      <c r="EJ20" s="374">
        <v>40725</v>
      </c>
      <c r="EK20" s="374">
        <v>40756</v>
      </c>
      <c r="EL20" s="374">
        <v>40787</v>
      </c>
      <c r="EM20" s="374">
        <v>40817</v>
      </c>
      <c r="EN20" s="374">
        <v>40848</v>
      </c>
      <c r="EO20" s="374">
        <v>40878</v>
      </c>
      <c r="EP20" s="374">
        <v>40909</v>
      </c>
      <c r="EQ20" s="374">
        <v>40940</v>
      </c>
      <c r="ER20" s="374">
        <v>40969</v>
      </c>
      <c r="ES20" s="374">
        <v>41000</v>
      </c>
      <c r="ET20" s="374">
        <v>41030</v>
      </c>
      <c r="EU20" s="374">
        <v>41061</v>
      </c>
      <c r="EV20" s="374">
        <v>41091</v>
      </c>
      <c r="EW20" s="374">
        <v>41122</v>
      </c>
      <c r="EX20" s="374">
        <v>41153</v>
      </c>
      <c r="EY20" s="374">
        <v>41183</v>
      </c>
      <c r="EZ20" s="374">
        <v>41214</v>
      </c>
      <c r="FA20" s="374">
        <v>41244</v>
      </c>
      <c r="FB20" s="374">
        <v>41275</v>
      </c>
      <c r="FC20" s="374">
        <v>41306</v>
      </c>
      <c r="FD20" s="374">
        <v>41334</v>
      </c>
      <c r="FE20" s="374">
        <v>41365</v>
      </c>
      <c r="FF20" s="374">
        <v>41395</v>
      </c>
      <c r="FG20" s="374">
        <v>41426</v>
      </c>
      <c r="FH20" s="374">
        <v>41456</v>
      </c>
      <c r="FI20" s="374">
        <v>41487</v>
      </c>
      <c r="FJ20" s="374">
        <v>41518</v>
      </c>
      <c r="FK20" s="374">
        <v>41548</v>
      </c>
      <c r="FL20" s="374">
        <v>41579</v>
      </c>
      <c r="FM20" s="374">
        <v>41609</v>
      </c>
      <c r="FN20" s="374">
        <v>41640</v>
      </c>
      <c r="FO20" s="374">
        <v>41671</v>
      </c>
      <c r="FP20" s="374">
        <v>41699</v>
      </c>
      <c r="FQ20" s="374">
        <v>41730</v>
      </c>
      <c r="FR20" s="374">
        <v>41760</v>
      </c>
      <c r="FS20" s="374">
        <v>41791</v>
      </c>
      <c r="FT20" s="374">
        <v>41821</v>
      </c>
      <c r="FU20" s="374">
        <v>41852</v>
      </c>
      <c r="FV20" s="374">
        <v>41883</v>
      </c>
      <c r="FW20" s="374">
        <v>41913</v>
      </c>
      <c r="FX20" s="374">
        <v>41944</v>
      </c>
      <c r="FY20" s="374">
        <v>41974</v>
      </c>
      <c r="FZ20" s="374">
        <v>42005</v>
      </c>
      <c r="GA20" s="374">
        <v>42036</v>
      </c>
      <c r="GB20" s="374">
        <v>42064</v>
      </c>
      <c r="GC20" s="374">
        <v>42095</v>
      </c>
      <c r="GD20" s="374">
        <v>42125</v>
      </c>
      <c r="GE20" s="374">
        <v>42156</v>
      </c>
      <c r="GF20" s="374">
        <v>42186</v>
      </c>
      <c r="GG20" s="374">
        <v>42217</v>
      </c>
      <c r="GH20" s="374">
        <v>42248</v>
      </c>
      <c r="GI20" s="374">
        <v>42278</v>
      </c>
      <c r="GJ20" s="374">
        <v>42309</v>
      </c>
      <c r="GK20" s="374">
        <v>42339</v>
      </c>
      <c r="GL20" s="374">
        <v>42370</v>
      </c>
      <c r="GM20" s="374">
        <v>42401</v>
      </c>
      <c r="GN20" s="374">
        <v>42430</v>
      </c>
      <c r="GO20" s="374">
        <v>42461</v>
      </c>
      <c r="GP20" s="374">
        <v>42491</v>
      </c>
      <c r="GQ20" s="374">
        <v>42522</v>
      </c>
      <c r="GR20" s="374">
        <v>42552</v>
      </c>
      <c r="GS20" s="374">
        <v>42583</v>
      </c>
      <c r="GT20" s="374">
        <v>42614</v>
      </c>
      <c r="GU20" s="374">
        <v>42644</v>
      </c>
      <c r="GV20" s="374">
        <v>42675</v>
      </c>
      <c r="GW20" s="374">
        <v>42705</v>
      </c>
      <c r="GX20" s="374">
        <v>42736</v>
      </c>
      <c r="GY20" s="374">
        <v>42767</v>
      </c>
      <c r="GZ20" s="374">
        <v>42795</v>
      </c>
      <c r="HA20" s="374">
        <v>42826</v>
      </c>
      <c r="HB20" s="374">
        <v>42856</v>
      </c>
      <c r="HC20" s="374">
        <v>42887</v>
      </c>
      <c r="HD20" s="374">
        <v>42917</v>
      </c>
      <c r="HE20" s="374">
        <v>42948</v>
      </c>
      <c r="HF20" s="374">
        <v>42979</v>
      </c>
      <c r="HG20" s="374">
        <v>43009</v>
      </c>
      <c r="HH20" s="374">
        <v>43040</v>
      </c>
      <c r="HI20" s="374">
        <v>43070</v>
      </c>
    </row>
    <row r="21" spans="1:217">
      <c r="B21" s="1">
        <v>3.5015714285714301</v>
      </c>
      <c r="C21" s="1">
        <v>3.4577142857142902</v>
      </c>
      <c r="D21" s="1">
        <v>3.4449130434782602</v>
      </c>
      <c r="E21" s="1">
        <v>3.4807222222222198</v>
      </c>
      <c r="F21" s="1">
        <v>3.5051363636363599</v>
      </c>
      <c r="G21" s="1">
        <v>3.4887142857142899</v>
      </c>
      <c r="H21" s="1">
        <v>3.4819499999999999</v>
      </c>
      <c r="I21" s="1">
        <v>3.4790454545454601</v>
      </c>
      <c r="J21" s="1">
        <v>3.4862380952380998</v>
      </c>
      <c r="K21" s="1">
        <v>3.5017727272727299</v>
      </c>
      <c r="L21" s="1">
        <v>3.5299047619047599</v>
      </c>
      <c r="M21" s="1">
        <v>3.5211052631578901</v>
      </c>
      <c r="N21" s="1">
        <v>3.52404545454546</v>
      </c>
      <c r="O21" s="1">
        <v>3.52955</v>
      </c>
      <c r="P21" s="1">
        <v>3.5208181818181798</v>
      </c>
      <c r="Q21" s="1">
        <v>3.5603684210526301</v>
      </c>
      <c r="R21" s="1">
        <v>3.6016363636363602</v>
      </c>
      <c r="S21" s="1">
        <v>3.5329649999999999</v>
      </c>
      <c r="T21" s="1">
        <v>3.5049523809523802</v>
      </c>
      <c r="U21" s="1">
        <v>3.4931818181818199</v>
      </c>
      <c r="V21" s="1">
        <v>3.4911500000000002</v>
      </c>
      <c r="W21" s="1">
        <v>3.4614090909090902</v>
      </c>
      <c r="X21" s="1">
        <v>3.4407000000000001</v>
      </c>
      <c r="Y21" s="1">
        <v>3.4365749999999999</v>
      </c>
      <c r="Z21" s="1">
        <v>3.4609545454545501</v>
      </c>
      <c r="AA21" s="1">
        <v>3.4777</v>
      </c>
      <c r="AB21" s="1">
        <v>3.45705263157895</v>
      </c>
      <c r="AC21" s="1">
        <v>3.4397272727272701</v>
      </c>
      <c r="AD21" s="1">
        <v>3.4525454545454499</v>
      </c>
      <c r="AE21" s="1">
        <v>3.48189473684211</v>
      </c>
      <c r="AF21" s="1">
        <v>3.53457142857143</v>
      </c>
      <c r="AG21" s="1">
        <v>3.57123809523809</v>
      </c>
      <c r="AH21" s="1">
        <v>3.6201428571428602</v>
      </c>
      <c r="AI21" s="1">
        <v>3.6164190476190501</v>
      </c>
      <c r="AJ21" s="1">
        <v>3.5843500000000001</v>
      </c>
      <c r="AK21" s="1">
        <v>3.5152857142857101</v>
      </c>
      <c r="AL21" s="1">
        <v>3.4947727272727298</v>
      </c>
      <c r="AM21" s="1">
        <v>3.4847000000000001</v>
      </c>
      <c r="AN21" s="1">
        <v>3.48003333333333</v>
      </c>
      <c r="AO21" s="1">
        <v>3.4654500000000001</v>
      </c>
      <c r="AP21" s="1">
        <v>3.4820000000000002</v>
      </c>
      <c r="AQ21" s="1">
        <v>3.4795714285714299</v>
      </c>
      <c r="AR21" s="1">
        <v>3.472</v>
      </c>
      <c r="AS21" s="1">
        <v>3.4809047619047599</v>
      </c>
      <c r="AT21" s="1">
        <v>3.4815909090909098</v>
      </c>
      <c r="AU21" s="1">
        <v>3.4788636363636298</v>
      </c>
      <c r="AV21" s="1">
        <v>3.47845</v>
      </c>
      <c r="AW21" s="1">
        <v>3.4721428571428601</v>
      </c>
      <c r="AX21" s="1">
        <v>3.46771428571429</v>
      </c>
      <c r="AY21" s="1">
        <v>3.4841500000000001</v>
      </c>
      <c r="AZ21" s="1">
        <v>3.4659130434782601</v>
      </c>
      <c r="BA21" s="1">
        <v>3.4702999999999999</v>
      </c>
      <c r="BB21" s="1">
        <v>3.4880476190476202</v>
      </c>
      <c r="BC21" s="1">
        <v>3.4778571428571401</v>
      </c>
      <c r="BD21" s="1">
        <v>3.4422000000000001</v>
      </c>
      <c r="BE21" s="1">
        <v>3.3962857142857099</v>
      </c>
      <c r="BF21" s="1">
        <v>3.35840909090909</v>
      </c>
      <c r="BG21" s="1">
        <v>3.3220499999999999</v>
      </c>
      <c r="BH21" s="1">
        <v>3.3110952380952399</v>
      </c>
      <c r="BI21" s="1">
        <v>3.28181818181818</v>
      </c>
      <c r="BJ21" s="1">
        <v>3.2690952380952401</v>
      </c>
      <c r="BK21" s="1">
        <v>3.2596500000000002</v>
      </c>
      <c r="BL21" s="1">
        <v>3.2602380952380998</v>
      </c>
      <c r="BM21" s="1">
        <v>3.2588499999999998</v>
      </c>
      <c r="BN21" s="1">
        <v>3.25576190476191</v>
      </c>
      <c r="BO21" s="1">
        <v>3.25338095238095</v>
      </c>
      <c r="BP21" s="1">
        <v>3.25278947368421</v>
      </c>
      <c r="BQ21" s="1">
        <v>3.2579090909090902</v>
      </c>
      <c r="BR21" s="1">
        <v>3.3084090909090902</v>
      </c>
      <c r="BS21" s="1">
        <v>3.3819047619047602</v>
      </c>
      <c r="BT21" s="1">
        <v>3.3769999999999998</v>
      </c>
      <c r="BU21" s="1">
        <v>3.4252857142857098</v>
      </c>
      <c r="BV21" s="1">
        <v>3.39427272727273</v>
      </c>
      <c r="BW21" s="1">
        <v>3.2896000000000001</v>
      </c>
      <c r="BX21" s="1">
        <v>3.3402608695652201</v>
      </c>
      <c r="BY21" s="1">
        <v>3.3322777777777799</v>
      </c>
      <c r="BZ21" s="1">
        <v>3.2799681818181798</v>
      </c>
      <c r="CA21" s="1">
        <v>3.2646476190476199</v>
      </c>
      <c r="CB21" s="1">
        <v>3.2437</v>
      </c>
      <c r="CC21" s="1">
        <v>3.2350454545454501</v>
      </c>
      <c r="CD21" s="1">
        <v>3.2484285714285699</v>
      </c>
      <c r="CE21" s="1">
        <v>3.2380454545454498</v>
      </c>
      <c r="CF21" s="1">
        <v>3.2225714285714302</v>
      </c>
      <c r="CG21" s="1">
        <v>3.206</v>
      </c>
      <c r="CH21" s="1">
        <v>3.1930454545454601</v>
      </c>
      <c r="CI21" s="1">
        <v>3.19075</v>
      </c>
      <c r="CJ21" s="1">
        <v>3.18618181818182</v>
      </c>
      <c r="CK21" s="1">
        <v>3.17868421052632</v>
      </c>
      <c r="CL21" s="1">
        <v>3.1680454545454499</v>
      </c>
      <c r="CM21" s="1">
        <v>3.1706500000000002</v>
      </c>
      <c r="CN21" s="1">
        <v>3.1614090909090899</v>
      </c>
      <c r="CO21" s="1">
        <v>3.15877272727273</v>
      </c>
      <c r="CP21" s="1">
        <v>3.13645</v>
      </c>
      <c r="CQ21" s="1">
        <v>3.0203181818181801</v>
      </c>
      <c r="CR21" s="1">
        <v>3.0016190476190499</v>
      </c>
      <c r="CS21" s="1">
        <v>2.9815999999999998</v>
      </c>
      <c r="CT21" s="375">
        <v>2.9510000000000001</v>
      </c>
      <c r="CU21" s="1">
        <v>2.9062857142857101</v>
      </c>
      <c r="CV21" s="1">
        <v>2.8118947368421101</v>
      </c>
      <c r="CW21" s="1">
        <v>2.74945454545455</v>
      </c>
      <c r="CX21" s="1">
        <v>2.8053684210526302</v>
      </c>
      <c r="CY21" s="1">
        <v>2.8928571428571401</v>
      </c>
      <c r="CZ21" s="1">
        <v>2.8492380952380998</v>
      </c>
      <c r="DA21" s="1">
        <v>2.8934285714285699</v>
      </c>
      <c r="DB21" s="1">
        <v>2.9667727272727298</v>
      </c>
      <c r="DC21" s="1">
        <v>3.07713636363636</v>
      </c>
      <c r="DD21" s="1">
        <v>3.09283333333333</v>
      </c>
      <c r="DE21" s="1">
        <v>3.1147499999999999</v>
      </c>
      <c r="DF21" s="1">
        <v>3.1517499999999998</v>
      </c>
      <c r="DG21" s="1">
        <v>3.23685</v>
      </c>
      <c r="DH21" s="1">
        <v>3.1754090909090902</v>
      </c>
      <c r="DI21" s="1">
        <v>3.08575</v>
      </c>
      <c r="DJ21" s="1">
        <v>2.9944000000000002</v>
      </c>
      <c r="DK21" s="1">
        <v>2.9910000000000001</v>
      </c>
      <c r="DL21" s="1">
        <v>3.01315</v>
      </c>
      <c r="DM21" s="1">
        <v>2.9512380952381001</v>
      </c>
      <c r="DN21" s="1">
        <v>2.9103181818181798</v>
      </c>
      <c r="DO21" s="1">
        <v>2.8725999999999998</v>
      </c>
      <c r="DP21" s="1">
        <v>2.8856190476190502</v>
      </c>
      <c r="DQ21" s="1">
        <v>2.8783684210526301</v>
      </c>
      <c r="DR21" s="1">
        <v>2.8573</v>
      </c>
      <c r="DS21" s="1">
        <v>2.8548</v>
      </c>
      <c r="DT21" s="1">
        <v>2.8403043478260899</v>
      </c>
      <c r="DU21" s="1">
        <v>2.8406500000000001</v>
      </c>
      <c r="DV21" s="1">
        <v>2.8461428571428602</v>
      </c>
      <c r="DW21" s="1">
        <v>2.8386499999999999</v>
      </c>
      <c r="DX21" s="1">
        <v>2.8234210526315802</v>
      </c>
      <c r="DY21" s="1">
        <v>2.8025238095238101</v>
      </c>
      <c r="DZ21" s="1">
        <v>2.7910909090909102</v>
      </c>
      <c r="EA21" s="1">
        <v>2.7920500000000001</v>
      </c>
      <c r="EB21" s="1">
        <v>2.8061428571428602</v>
      </c>
      <c r="EC21" s="1">
        <v>2.8163499999999999</v>
      </c>
      <c r="ED21" s="1">
        <v>2.78780952380952</v>
      </c>
      <c r="EE21" s="1">
        <v>2.77115</v>
      </c>
      <c r="EF21" s="1">
        <v>2.7798695652173899</v>
      </c>
      <c r="EG21" s="1">
        <v>2.8162631578947401</v>
      </c>
      <c r="EH21" s="1">
        <v>2.7755714285714301</v>
      </c>
      <c r="EI21" s="1">
        <v>2.7647142857142901</v>
      </c>
      <c r="EJ21" s="1">
        <v>2.7418947368421098</v>
      </c>
      <c r="EK21" s="1">
        <v>2.74</v>
      </c>
      <c r="EL21" s="1">
        <v>2.7443181818181799</v>
      </c>
      <c r="EM21" s="1">
        <v>2.7324000000000002</v>
      </c>
      <c r="EN21" s="1">
        <v>2.70561904761905</v>
      </c>
      <c r="EO21" s="1">
        <v>2.6968947368421099</v>
      </c>
      <c r="EP21" s="1">
        <v>2.6933181818181802</v>
      </c>
      <c r="EQ21" s="1">
        <v>2.6842380952381002</v>
      </c>
      <c r="ER21" s="1">
        <v>2.6715909090909098</v>
      </c>
      <c r="ES21" s="1">
        <v>2.6576666666666702</v>
      </c>
      <c r="ET21" s="1">
        <v>2.6699545454545501</v>
      </c>
      <c r="EU21" s="1">
        <v>2.6711499999999999</v>
      </c>
      <c r="EV21" s="1">
        <v>2.6357619047619001</v>
      </c>
      <c r="EW21" s="1">
        <v>2.6165238095238101</v>
      </c>
      <c r="EX21" s="1">
        <v>2.6032999999999999</v>
      </c>
      <c r="EY21" s="1">
        <v>2.5880999999999998</v>
      </c>
      <c r="EZ21" s="1">
        <v>2.5991499999999998</v>
      </c>
      <c r="FA21" s="1">
        <v>2.5675555555555598</v>
      </c>
      <c r="FB21" s="1">
        <v>2.55240909090909</v>
      </c>
      <c r="FC21" s="1">
        <v>2.5785263157894698</v>
      </c>
      <c r="FD21" s="1">
        <v>2.5945263157894698</v>
      </c>
      <c r="FE21" s="1">
        <v>2.5980454545454599</v>
      </c>
      <c r="FF21" s="1">
        <v>2.6456818181818198</v>
      </c>
      <c r="FG21" s="1">
        <v>2.74842105263158</v>
      </c>
      <c r="FH21" s="1">
        <v>2.7781428571428601</v>
      </c>
      <c r="FI21" s="1">
        <v>2.8024761904761899</v>
      </c>
      <c r="FJ21" s="1">
        <v>2.7797619047619002</v>
      </c>
      <c r="FK21" s="1">
        <v>2.7701428571428601</v>
      </c>
      <c r="FL21" s="1">
        <v>2.79915</v>
      </c>
      <c r="FM21" s="1">
        <v>2.7860999999999998</v>
      </c>
      <c r="FN21" s="1">
        <v>2.8097727272727302</v>
      </c>
      <c r="FO21" s="1">
        <v>2.81345</v>
      </c>
      <c r="FP21" s="1">
        <v>2.8070952380952399</v>
      </c>
      <c r="FQ21" s="1">
        <v>2.7952499999999998</v>
      </c>
      <c r="FR21" s="1">
        <v>2.78776190476191</v>
      </c>
      <c r="FS21" s="1">
        <v>2.79514285714286</v>
      </c>
      <c r="FT21" s="1">
        <v>2.7870476190476201</v>
      </c>
      <c r="FU21" s="1">
        <v>2.8154285714285701</v>
      </c>
      <c r="FV21" s="1">
        <v>2.86495454545455</v>
      </c>
      <c r="FW21" s="1">
        <v>2.9072272727272699</v>
      </c>
      <c r="FX21" s="1">
        <v>2.9262999999999999</v>
      </c>
      <c r="FY21" s="1">
        <v>2.9631428571428602</v>
      </c>
      <c r="FZ21" s="1">
        <v>3.0069499999999998</v>
      </c>
      <c r="GA21" s="1">
        <v>3.0801500000000002</v>
      </c>
      <c r="GB21" s="1">
        <v>3.0930909090909098</v>
      </c>
      <c r="GC21" s="1">
        <v>3.1214499999999998</v>
      </c>
      <c r="GD21" s="1">
        <v>3.1516999999999999</v>
      </c>
      <c r="GE21" s="1">
        <v>3.16242857142857</v>
      </c>
      <c r="GF21" s="1">
        <v>3.1829000000000001</v>
      </c>
      <c r="GG21" s="1">
        <v>3.24</v>
      </c>
      <c r="GH21" s="1">
        <v>3.2204999999999999</v>
      </c>
      <c r="GI21" s="1">
        <v>3.2503000000000002</v>
      </c>
      <c r="GJ21" s="1">
        <v>3.3385238095238101</v>
      </c>
      <c r="GK21" s="1">
        <v>3.3850952380952402</v>
      </c>
      <c r="GL21" s="1">
        <v>3.43885</v>
      </c>
      <c r="GM21" s="1">
        <v>3.5075238095238102</v>
      </c>
      <c r="GN21" s="1">
        <v>3.4098095238095198</v>
      </c>
      <c r="GO21" s="1">
        <v>3.3033333333333301</v>
      </c>
      <c r="GP21" s="1">
        <v>3.3361818181818199</v>
      </c>
      <c r="GQ21" s="1">
        <v>3.3184285714285702</v>
      </c>
      <c r="GR21" s="1">
        <v>3.3007368421052599</v>
      </c>
      <c r="GS21" s="1">
        <v>3.3353636363636401</v>
      </c>
      <c r="GT21" s="1">
        <v>3.3844545454545498</v>
      </c>
      <c r="GU21" s="1">
        <v>3.3877142857142899</v>
      </c>
      <c r="GV21" s="1">
        <v>3.4051578947368402</v>
      </c>
      <c r="GW21" s="1">
        <v>3.3979523809523817</v>
      </c>
      <c r="GX21" s="1">
        <v>3.3419089999999998</v>
      </c>
      <c r="GY21" s="1">
        <v>3.2618499999999999</v>
      </c>
      <c r="GZ21" s="1">
        <v>3.2654779999999999</v>
      </c>
      <c r="HA21" s="66">
        <v>3.2487780000000002</v>
      </c>
      <c r="HB21" s="1">
        <v>3.2745449999999998</v>
      </c>
      <c r="HC21" s="1">
        <v>3.26945</v>
      </c>
      <c r="HD21" s="1">
        <v>3.2504740000000001</v>
      </c>
      <c r="HE21" s="1">
        <v>3.2428180000000002</v>
      </c>
      <c r="HF21" s="1">
        <v>3.2475710000000002</v>
      </c>
      <c r="HG21" s="1">
        <v>3.2524549999999999</v>
      </c>
      <c r="HH21" s="1">
        <v>3.2423329999999999</v>
      </c>
      <c r="HI21" s="1">
        <v>3.248316</v>
      </c>
    </row>
    <row r="23" spans="1:217">
      <c r="A23" s="295"/>
      <c r="B23" s="295">
        <v>2000</v>
      </c>
      <c r="C23" s="295">
        <v>2001</v>
      </c>
      <c r="D23" s="295">
        <v>2002</v>
      </c>
      <c r="E23" s="295">
        <v>2003</v>
      </c>
      <c r="F23" s="295">
        <v>2004</v>
      </c>
      <c r="G23" s="295">
        <v>2005</v>
      </c>
      <c r="H23" s="295">
        <v>2006</v>
      </c>
      <c r="I23" s="295">
        <v>2007</v>
      </c>
      <c r="J23" s="295">
        <v>2008</v>
      </c>
      <c r="K23" s="295">
        <v>2009</v>
      </c>
      <c r="L23" s="295">
        <v>2010</v>
      </c>
      <c r="M23" s="295">
        <v>2011</v>
      </c>
      <c r="N23" s="295">
        <v>2012</v>
      </c>
      <c r="O23" s="295">
        <v>2013</v>
      </c>
      <c r="P23" s="295">
        <v>2014</v>
      </c>
      <c r="Q23" s="295">
        <v>2015</v>
      </c>
      <c r="R23" s="295">
        <v>2016</v>
      </c>
      <c r="S23" s="295">
        <v>2017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FN23" s="594"/>
      <c r="FO23" s="594"/>
      <c r="FP23" s="594"/>
      <c r="FQ23" s="594"/>
      <c r="FR23" s="594"/>
      <c r="FS23" s="594"/>
      <c r="FT23" s="594"/>
      <c r="FU23" s="594"/>
      <c r="FV23" s="594"/>
      <c r="FW23" s="594"/>
      <c r="FX23" s="594"/>
      <c r="FY23" s="594"/>
      <c r="GU23" s="695"/>
      <c r="GV23" s="695"/>
      <c r="GW23" s="695"/>
    </row>
    <row r="24" spans="1:217" s="66" customFormat="1">
      <c r="A24" s="62" t="s">
        <v>103</v>
      </c>
      <c r="B24" s="296">
        <f>AVERAGE(B21:M21)</f>
        <v>3.4898989942879823</v>
      </c>
      <c r="C24" s="296">
        <f>AVERAGE(N21:Y21)</f>
        <v>3.5081126425913269</v>
      </c>
      <c r="D24" s="296">
        <f>AVERAGE(Z21:AK21)</f>
        <v>3.517656815333789</v>
      </c>
      <c r="E24" s="296">
        <f>AVERAGE(AL21:AW21)</f>
        <v>3.4792066378066377</v>
      </c>
      <c r="F24" s="296">
        <f>AVERAGE(AX21:BI21)</f>
        <v>3.4138200263504608</v>
      </c>
      <c r="G24" s="296">
        <f>AVERAGE(BJ21:BU21)</f>
        <v>3.2966895268474219</v>
      </c>
      <c r="H24" s="296">
        <f>AVERAGE(BV21:CG21)</f>
        <v>3.274568173714369</v>
      </c>
      <c r="I24" s="376">
        <f>AVERAGE(CH21:CS21)</f>
        <v>3.1289604987848416</v>
      </c>
      <c r="J24" s="376">
        <f>+AVERAGE(CT21:DE21)</f>
        <v>2.9259183042834356</v>
      </c>
      <c r="K24" s="296">
        <f>+AVERAGE(DF21:DQ21)</f>
        <v>3.012204403053087</v>
      </c>
      <c r="L24" s="296">
        <f>+AVERAGE(DR21:EC21)</f>
        <v>2.8257854861131761</v>
      </c>
      <c r="M24" s="296">
        <f>+AVERAGE(ED21:EO21)</f>
        <v>2.7547087220274009</v>
      </c>
      <c r="N24" s="296">
        <f>+AVERAGE(EP21:FA21)</f>
        <v>2.6381924723424732</v>
      </c>
      <c r="O24" s="296">
        <f>+AVERAGE(FB21:FM21)</f>
        <v>2.702781988114225</v>
      </c>
      <c r="P24" s="296">
        <f>+AVERAGE(FN21:FY21)</f>
        <v>2.839381132756134</v>
      </c>
      <c r="Q24" s="296">
        <f>+AVERAGE(FZ21:GK21)</f>
        <v>3.186090710678211</v>
      </c>
      <c r="R24" s="296">
        <f>+AVERAGE(GL21:GW21)</f>
        <v>3.3771255534670011</v>
      </c>
      <c r="S24" s="296">
        <f>+AVERAGE(GX21:HI21)</f>
        <v>3.2621647500000002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GY24" s="1"/>
    </row>
    <row r="25" spans="1:217">
      <c r="N25" s="239"/>
    </row>
    <row r="26" spans="1:217">
      <c r="A26" s="338" t="s">
        <v>225</v>
      </c>
    </row>
    <row r="27" spans="1:217">
      <c r="CQ27" s="177"/>
      <c r="GY27" s="66"/>
    </row>
    <row r="28" spans="1:217">
      <c r="A28" s="295"/>
      <c r="B28" s="295">
        <v>2001</v>
      </c>
      <c r="C28" s="295">
        <v>2002</v>
      </c>
      <c r="D28" s="295">
        <v>2003</v>
      </c>
      <c r="E28" s="295">
        <v>2004</v>
      </c>
      <c r="F28" s="295">
        <v>2005</v>
      </c>
      <c r="G28" s="295">
        <v>2006</v>
      </c>
      <c r="H28" s="295">
        <v>2007</v>
      </c>
      <c r="I28" s="295">
        <v>2008</v>
      </c>
      <c r="J28" s="295">
        <v>2009</v>
      </c>
      <c r="K28" s="295">
        <v>2010</v>
      </c>
      <c r="L28" s="295">
        <v>2011</v>
      </c>
      <c r="M28" s="295">
        <v>2012</v>
      </c>
      <c r="N28" s="295">
        <v>2013</v>
      </c>
      <c r="O28" s="295">
        <v>2014</v>
      </c>
      <c r="P28" s="295">
        <v>2015</v>
      </c>
      <c r="Q28" s="295">
        <v>2016</v>
      </c>
      <c r="R28" s="295">
        <v>2017</v>
      </c>
    </row>
    <row r="29" spans="1:217">
      <c r="A29" s="181" t="s">
        <v>226</v>
      </c>
      <c r="B29" s="297">
        <v>3.9E-2</v>
      </c>
      <c r="C29" s="297">
        <v>-1E-3</v>
      </c>
      <c r="D29" s="297">
        <v>-6.0000000000000001E-3</v>
      </c>
      <c r="E29" s="297">
        <v>3.1E-2</v>
      </c>
      <c r="F29" s="297">
        <v>4.9000000000000002E-2</v>
      </c>
      <c r="G29" s="297">
        <v>3.6999999999999998E-2</v>
      </c>
      <c r="H29" s="297">
        <v>4.3999999999999997E-2</v>
      </c>
      <c r="I29" s="297">
        <v>5.0999999999999997E-2</v>
      </c>
      <c r="J29" s="297">
        <v>-3.4000000000000002E-2</v>
      </c>
      <c r="K29" s="297">
        <v>3.9E-2</v>
      </c>
      <c r="L29" s="297">
        <v>1.7999999999999999E-2</v>
      </c>
      <c r="M29" s="297">
        <v>1.0999999999999999E-2</v>
      </c>
      <c r="N29" s="297">
        <v>0.01</v>
      </c>
      <c r="O29" s="297">
        <v>-0.02</v>
      </c>
      <c r="P29" s="297">
        <v>-4.0000000000000001E-3</v>
      </c>
      <c r="Q29" s="297"/>
      <c r="R29" s="297"/>
    </row>
    <row r="30" spans="1:217">
      <c r="B30" s="298"/>
      <c r="J30" s="258"/>
    </row>
    <row r="31" spans="1:217">
      <c r="A31" s="181" t="s">
        <v>226</v>
      </c>
      <c r="B31" s="299">
        <f>AVERAGE(B29:R29)</f>
        <v>1.7600000000000001E-2</v>
      </c>
      <c r="D31"/>
    </row>
    <row r="33" spans="1:18" ht="15.75" thickBot="1"/>
    <row r="34" spans="1:18">
      <c r="A34" s="99"/>
      <c r="B34" s="99">
        <v>2001</v>
      </c>
      <c r="C34" s="99">
        <v>2002</v>
      </c>
      <c r="D34" s="99">
        <v>2003</v>
      </c>
      <c r="E34" s="99">
        <v>2004</v>
      </c>
      <c r="F34" s="99">
        <v>2005</v>
      </c>
      <c r="G34" s="99">
        <v>2006</v>
      </c>
      <c r="H34" s="99">
        <v>2007</v>
      </c>
      <c r="I34" s="99">
        <v>2008</v>
      </c>
      <c r="J34" s="99">
        <v>2009</v>
      </c>
      <c r="K34" s="612"/>
    </row>
    <row r="35" spans="1:18">
      <c r="A35" s="59" t="s">
        <v>400</v>
      </c>
      <c r="B35" s="809">
        <f>+B29</f>
        <v>3.9E-2</v>
      </c>
      <c r="C35" s="809">
        <f t="shared" ref="C35:J35" si="0">+C29</f>
        <v>-1E-3</v>
      </c>
      <c r="D35" s="809">
        <f t="shared" si="0"/>
        <v>-6.0000000000000001E-3</v>
      </c>
      <c r="E35" s="809">
        <f t="shared" si="0"/>
        <v>3.1E-2</v>
      </c>
      <c r="F35" s="809">
        <f t="shared" si="0"/>
        <v>4.9000000000000002E-2</v>
      </c>
      <c r="G35" s="809">
        <f t="shared" si="0"/>
        <v>3.6999999999999998E-2</v>
      </c>
      <c r="H35" s="809">
        <f t="shared" si="0"/>
        <v>4.3999999999999997E-2</v>
      </c>
      <c r="I35" s="809">
        <f t="shared" si="0"/>
        <v>5.0999999999999997E-2</v>
      </c>
      <c r="J35" s="809">
        <f t="shared" si="0"/>
        <v>-3.4000000000000002E-2</v>
      </c>
      <c r="K35" s="612"/>
    </row>
    <row r="36" spans="1:18" ht="15.75" thickBot="1">
      <c r="A36" s="612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O36" s="182"/>
    </row>
    <row r="37" spans="1:18">
      <c r="A37" s="99"/>
      <c r="B37" s="99">
        <v>2010</v>
      </c>
      <c r="C37" s="99">
        <v>2011</v>
      </c>
      <c r="D37" s="99">
        <v>2012</v>
      </c>
      <c r="E37" s="99">
        <v>2013</v>
      </c>
      <c r="F37" s="99">
        <v>2014</v>
      </c>
      <c r="G37" s="99">
        <v>2015</v>
      </c>
      <c r="H37" s="99">
        <v>2016</v>
      </c>
      <c r="I37" s="99">
        <v>2017</v>
      </c>
      <c r="J37" s="612"/>
      <c r="K37" s="99" t="s">
        <v>103</v>
      </c>
      <c r="O37" s="182"/>
    </row>
    <row r="38" spans="1:18">
      <c r="A38" s="59" t="s">
        <v>400</v>
      </c>
      <c r="B38" s="809">
        <f t="shared" ref="B38:G38" si="1">+K29</f>
        <v>3.9E-2</v>
      </c>
      <c r="C38" s="809">
        <f t="shared" si="1"/>
        <v>1.7999999999999999E-2</v>
      </c>
      <c r="D38" s="809">
        <f t="shared" si="1"/>
        <v>1.0999999999999999E-2</v>
      </c>
      <c r="E38" s="809">
        <f t="shared" si="1"/>
        <v>0.01</v>
      </c>
      <c r="F38" s="809">
        <f t="shared" si="1"/>
        <v>-0.02</v>
      </c>
      <c r="G38" s="809">
        <f t="shared" si="1"/>
        <v>-4.0000000000000001E-3</v>
      </c>
      <c r="H38" s="809"/>
      <c r="I38" s="809"/>
      <c r="J38" s="612"/>
      <c r="K38" s="809">
        <f>+B31</f>
        <v>1.7600000000000001E-2</v>
      </c>
      <c r="O38" s="182"/>
    </row>
    <row r="39" spans="1:18">
      <c r="O39" s="182"/>
    </row>
    <row r="41" spans="1:18">
      <c r="A41" s="338" t="s">
        <v>591</v>
      </c>
    </row>
    <row r="43" spans="1:18">
      <c r="A43" s="295"/>
      <c r="B43" s="295">
        <v>2001</v>
      </c>
      <c r="C43" s="295">
        <v>2002</v>
      </c>
      <c r="D43" s="295">
        <v>2003</v>
      </c>
      <c r="E43" s="295">
        <v>2004</v>
      </c>
      <c r="F43" s="295">
        <v>2005</v>
      </c>
      <c r="G43" s="295">
        <v>2006</v>
      </c>
      <c r="H43" s="295">
        <v>2007</v>
      </c>
      <c r="I43" s="295">
        <v>2008</v>
      </c>
      <c r="J43" s="295">
        <v>2009</v>
      </c>
      <c r="K43" s="295">
        <v>2010</v>
      </c>
      <c r="L43" s="295">
        <v>2011</v>
      </c>
      <c r="M43" s="295">
        <v>2012</v>
      </c>
      <c r="N43" s="295">
        <v>2013</v>
      </c>
      <c r="O43" s="295">
        <v>2014</v>
      </c>
      <c r="P43" s="295">
        <v>2015</v>
      </c>
      <c r="Q43" s="295">
        <v>2016</v>
      </c>
      <c r="R43" s="295">
        <v>2017</v>
      </c>
    </row>
    <row r="44" spans="1:18">
      <c r="A44" s="181" t="s">
        <v>589</v>
      </c>
      <c r="B44" s="297">
        <v>-2.1859523292392047E-2</v>
      </c>
      <c r="C44" s="297">
        <v>1.6720417392709575E-2</v>
      </c>
      <c r="D44" s="297">
        <v>2.0043674837741277E-2</v>
      </c>
      <c r="E44" s="297">
        <v>4.8869081059935482E-2</v>
      </c>
      <c r="F44" s="297">
        <v>3.5951550807575172E-2</v>
      </c>
      <c r="G44" s="297">
        <v>1.3342735864851907E-2</v>
      </c>
      <c r="H44" s="297">
        <v>5.2354308065052368E-2</v>
      </c>
      <c r="I44" s="297">
        <v>8.7861849160919769E-2</v>
      </c>
      <c r="J44" s="297">
        <v>-5.0534630234486677E-2</v>
      </c>
      <c r="K44" s="297">
        <v>4.5673492305881913E-2</v>
      </c>
      <c r="L44" s="297">
        <v>6.2617359525741767E-2</v>
      </c>
      <c r="M44" s="297">
        <v>-5.9144214245281379E-3</v>
      </c>
      <c r="N44" s="297">
        <v>1.5539536562655609E-2</v>
      </c>
      <c r="O44" s="297">
        <v>1.4733419999999997E-2</v>
      </c>
      <c r="P44" s="297">
        <v>2.5901285482447189E-2</v>
      </c>
      <c r="Q44" s="297">
        <v>1.9152571978890753E-2</v>
      </c>
      <c r="R44" s="297">
        <v>-5.8869444782766456E-3</v>
      </c>
    </row>
  </sheetData>
  <phoneticPr fontId="33" type="noConversion"/>
  <pageMargins left="0.75" right="0.75" top="1" bottom="1" header="0.5" footer="0.5"/>
  <pageSetup paperSize="9" orientation="portrait" r:id="rId1"/>
  <headerFooter alignWithMargins="0"/>
  <ignoredErrors>
    <ignoredError sqref="B8:U8 B10:U16 B9:M9 O9:U9 B18:U31 B17:M17 O17:U17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6"/>
  <sheetViews>
    <sheetView showGridLines="0" zoomScale="75" workbookViewId="0">
      <selection activeCell="D59" sqref="D59"/>
    </sheetView>
  </sheetViews>
  <sheetFormatPr baseColWidth="10" defaultColWidth="11.42578125" defaultRowHeight="15"/>
  <cols>
    <col min="1" max="1" width="7.7109375" style="1" customWidth="1"/>
    <col min="2" max="2" width="44.28515625" style="1" customWidth="1"/>
    <col min="3" max="3" width="18.42578125" style="1" bestFit="1" customWidth="1"/>
    <col min="4" max="4" width="18.28515625" style="1" customWidth="1"/>
    <col min="5" max="5" width="15.7109375" style="1" customWidth="1"/>
    <col min="6" max="6" width="19.5703125" style="1" bestFit="1" customWidth="1"/>
    <col min="7" max="7" width="15.7109375" style="1" bestFit="1" customWidth="1"/>
    <col min="8" max="8" width="23" style="1" customWidth="1"/>
    <col min="9" max="9" width="19" style="1" customWidth="1"/>
    <col min="10" max="10" width="18.42578125" style="1" bestFit="1" customWidth="1"/>
    <col min="11" max="11" width="13.7109375" style="1" customWidth="1"/>
    <col min="12" max="12" width="17.140625" style="1" bestFit="1" customWidth="1"/>
    <col min="13" max="13" width="22.5703125" style="1" customWidth="1"/>
    <col min="14" max="14" width="26.85546875" style="1" customWidth="1"/>
    <col min="15" max="20" width="18.140625" style="1" customWidth="1"/>
    <col min="21" max="21" width="35.5703125" style="1" customWidth="1"/>
    <col min="22" max="22" width="16.85546875" style="1" customWidth="1"/>
    <col min="23" max="23" width="16.140625" style="1" customWidth="1"/>
    <col min="24" max="26" width="16.85546875" style="1" customWidth="1"/>
    <col min="27" max="27" width="13.7109375" style="1" bestFit="1" customWidth="1"/>
    <col min="28" max="28" width="35.5703125" style="1" customWidth="1"/>
    <col min="29" max="33" width="16.5703125" style="1" customWidth="1"/>
    <col min="34" max="35" width="11.42578125" style="1" customWidth="1"/>
    <col min="36" max="36" width="36.140625" style="1" bestFit="1" customWidth="1"/>
    <col min="37" max="38" width="15.7109375" style="1" bestFit="1" customWidth="1"/>
    <col min="39" max="39" width="11.42578125" style="1" customWidth="1"/>
    <col min="40" max="40" width="36.140625" style="1" bestFit="1" customWidth="1"/>
    <col min="41" max="41" width="15.140625" style="1" customWidth="1"/>
    <col min="42" max="16384" width="11.42578125" style="1"/>
  </cols>
  <sheetData>
    <row r="1" spans="1:17">
      <c r="C1" s="300"/>
      <c r="D1" s="300"/>
    </row>
    <row r="2" spans="1:17" ht="15.75" customHeight="1">
      <c r="C2" s="300"/>
      <c r="D2" s="300"/>
    </row>
    <row r="3" spans="1:17">
      <c r="G3" s="63"/>
    </row>
    <row r="4" spans="1:17" s="66" customFormat="1">
      <c r="A4" s="363" t="s">
        <v>222</v>
      </c>
      <c r="G4" s="364">
        <v>3.5211055</v>
      </c>
      <c r="H4" s="66" t="s">
        <v>373</v>
      </c>
    </row>
    <row r="5" spans="1:17">
      <c r="B5" s="324"/>
      <c r="C5" s="325"/>
      <c r="D5" s="325"/>
      <c r="E5" s="326"/>
    </row>
    <row r="6" spans="1:17">
      <c r="B6" s="324"/>
      <c r="C6" s="325"/>
      <c r="D6" s="325"/>
      <c r="E6" s="326"/>
      <c r="H6" s="258"/>
    </row>
    <row r="8" spans="1:17">
      <c r="B8" s="26"/>
      <c r="C8" s="64"/>
      <c r="D8" s="6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>
      <c r="B9" s="855" t="s">
        <v>48</v>
      </c>
      <c r="C9" s="856"/>
      <c r="D9" s="856"/>
      <c r="E9" s="64"/>
      <c r="F9" s="852" t="s">
        <v>45</v>
      </c>
      <c r="G9" s="853"/>
      <c r="H9" s="853"/>
      <c r="I9" s="853"/>
      <c r="J9" s="853"/>
      <c r="K9" s="64"/>
      <c r="L9" s="852" t="s">
        <v>47</v>
      </c>
      <c r="M9" s="853"/>
      <c r="N9" s="853"/>
      <c r="O9" s="853"/>
      <c r="P9" s="853"/>
    </row>
    <row r="10" spans="1:17">
      <c r="B10" s="857"/>
      <c r="C10" s="857"/>
      <c r="D10" s="857"/>
      <c r="E10" s="327"/>
      <c r="F10" s="854"/>
      <c r="G10" s="854"/>
      <c r="H10" s="854"/>
      <c r="I10" s="854"/>
      <c r="J10" s="854"/>
      <c r="K10" s="327"/>
      <c r="L10" s="854"/>
      <c r="M10" s="854"/>
      <c r="N10" s="854"/>
      <c r="O10" s="854"/>
      <c r="P10" s="854"/>
    </row>
    <row r="11" spans="1:17" ht="30">
      <c r="B11" s="191" t="s">
        <v>26</v>
      </c>
      <c r="C11" s="328" t="s">
        <v>44</v>
      </c>
      <c r="D11" s="301" t="s">
        <v>89</v>
      </c>
      <c r="E11" s="301" t="s">
        <v>90</v>
      </c>
      <c r="F11" s="302" t="s">
        <v>40</v>
      </c>
      <c r="G11" s="303" t="s">
        <v>214</v>
      </c>
      <c r="H11" s="303" t="s">
        <v>42</v>
      </c>
      <c r="I11" s="303" t="s">
        <v>43</v>
      </c>
      <c r="J11" s="304" t="s">
        <v>44</v>
      </c>
      <c r="K11" s="305"/>
      <c r="L11" s="302" t="s">
        <v>40</v>
      </c>
      <c r="M11" s="303" t="s">
        <v>41</v>
      </c>
      <c r="N11" s="303" t="s">
        <v>42</v>
      </c>
      <c r="O11" s="303" t="s">
        <v>43</v>
      </c>
      <c r="P11" s="304" t="s">
        <v>44</v>
      </c>
      <c r="Q11" s="306"/>
    </row>
    <row r="12" spans="1:17">
      <c r="B12" s="307" t="s">
        <v>27</v>
      </c>
      <c r="C12" s="308">
        <f t="shared" ref="C12:C19" si="0">-H12+N12</f>
        <v>48882330</v>
      </c>
      <c r="D12" s="309">
        <f t="shared" ref="D12:D17" si="1">+C12/C$22</f>
        <v>0.48521391980618112</v>
      </c>
      <c r="E12" s="64"/>
      <c r="F12" s="310">
        <v>201476173</v>
      </c>
      <c r="G12" s="204">
        <v>4121270</v>
      </c>
      <c r="H12" s="204">
        <v>-48882330</v>
      </c>
      <c r="I12" s="204">
        <v>-8878868</v>
      </c>
      <c r="J12" s="311">
        <f t="shared" ref="J12:J19" si="2">+F12+G12+H12+I12</f>
        <v>147836245</v>
      </c>
      <c r="K12" s="64"/>
      <c r="L12" s="312"/>
      <c r="M12" s="313"/>
      <c r="N12" s="313"/>
      <c r="O12" s="313"/>
      <c r="P12" s="308"/>
    </row>
    <row r="13" spans="1:17">
      <c r="B13" s="195" t="s">
        <v>11</v>
      </c>
      <c r="C13" s="314">
        <f t="shared" si="0"/>
        <v>32939122.99999997</v>
      </c>
      <c r="D13" s="309">
        <f t="shared" si="1"/>
        <v>0.32695906651356271</v>
      </c>
      <c r="E13" s="315">
        <f>+C13/($C$22-$C$12)</f>
        <v>0.6351357954171204</v>
      </c>
      <c r="F13" s="310">
        <v>739992589</v>
      </c>
      <c r="G13" s="204">
        <v>4990631</v>
      </c>
      <c r="H13" s="204">
        <v>-267148431.99999997</v>
      </c>
      <c r="I13" s="204">
        <v>6404702</v>
      </c>
      <c r="J13" s="316">
        <f t="shared" si="2"/>
        <v>484239490</v>
      </c>
      <c r="K13" s="315"/>
      <c r="L13" s="310">
        <v>533441373.99999994</v>
      </c>
      <c r="M13" s="204">
        <v>11427196</v>
      </c>
      <c r="N13" s="204">
        <v>-234209309</v>
      </c>
      <c r="O13" s="204">
        <v>7923469</v>
      </c>
      <c r="P13" s="316">
        <f>+L13+M13+N13+O13</f>
        <v>318582730</v>
      </c>
    </row>
    <row r="14" spans="1:17">
      <c r="B14" s="195" t="s">
        <v>38</v>
      </c>
      <c r="C14" s="314">
        <f t="shared" si="0"/>
        <v>6263084</v>
      </c>
      <c r="D14" s="309">
        <f t="shared" si="1"/>
        <v>6.216838554372052E-2</v>
      </c>
      <c r="E14" s="315">
        <f>+C14/($C$22-$C$12)</f>
        <v>0.12076547508882504</v>
      </c>
      <c r="F14" s="310">
        <v>191249073</v>
      </c>
      <c r="G14" s="204">
        <v>9592812</v>
      </c>
      <c r="H14" s="204">
        <v>-13894011</v>
      </c>
      <c r="I14" s="204">
        <v>-9711476</v>
      </c>
      <c r="J14" s="316">
        <f t="shared" si="2"/>
        <v>177236398</v>
      </c>
      <c r="K14" s="315"/>
      <c r="L14" s="310">
        <v>139283391</v>
      </c>
      <c r="M14" s="204">
        <v>11903600</v>
      </c>
      <c r="N14" s="204">
        <v>-7630927</v>
      </c>
      <c r="O14" s="204">
        <v>-34421126</v>
      </c>
      <c r="P14" s="316">
        <f>+L14+M14+N14+O14</f>
        <v>109134938</v>
      </c>
    </row>
    <row r="15" spans="1:17">
      <c r="B15" s="195" t="s">
        <v>28</v>
      </c>
      <c r="C15" s="314">
        <f t="shared" si="0"/>
        <v>1462566</v>
      </c>
      <c r="D15" s="309">
        <f t="shared" si="1"/>
        <v>1.4517666850889618E-2</v>
      </c>
      <c r="E15" s="315">
        <f>+C15/($C$22-$C$12)</f>
        <v>2.8201358602050121E-2</v>
      </c>
      <c r="F15" s="310">
        <v>3933042</v>
      </c>
      <c r="G15" s="204">
        <v>50476</v>
      </c>
      <c r="H15" s="204">
        <v>-1915994</v>
      </c>
      <c r="I15" s="204">
        <v>976910</v>
      </c>
      <c r="J15" s="316">
        <f t="shared" si="2"/>
        <v>3044434</v>
      </c>
      <c r="K15" s="315"/>
      <c r="L15" s="310">
        <v>2136670</v>
      </c>
      <c r="M15" s="204">
        <v>234711</v>
      </c>
      <c r="N15" s="204">
        <v>-453428</v>
      </c>
      <c r="O15" s="204">
        <v>273266</v>
      </c>
      <c r="P15" s="316">
        <f>+L15+M15+N15+O15</f>
        <v>2191219</v>
      </c>
    </row>
    <row r="16" spans="1:17">
      <c r="B16" s="195" t="s">
        <v>30</v>
      </c>
      <c r="C16" s="314">
        <f t="shared" si="0"/>
        <v>1410607</v>
      </c>
      <c r="D16" s="309">
        <f t="shared" si="1"/>
        <v>1.4001913406665307E-2</v>
      </c>
      <c r="E16" s="315">
        <f>+C16/($C$22-$C$12)</f>
        <v>2.7199479444730779E-2</v>
      </c>
      <c r="F16" s="310">
        <v>16473999</v>
      </c>
      <c r="G16" s="204">
        <v>1078604</v>
      </c>
      <c r="H16" s="204">
        <v>-2166090</v>
      </c>
      <c r="I16" s="204">
        <v>-727792</v>
      </c>
      <c r="J16" s="316">
        <f t="shared" si="2"/>
        <v>14658721</v>
      </c>
      <c r="K16" s="315"/>
      <c r="L16" s="310">
        <v>11466994</v>
      </c>
      <c r="M16" s="204">
        <v>1918874</v>
      </c>
      <c r="N16" s="204">
        <v>-755483</v>
      </c>
      <c r="O16" s="204">
        <v>-2641213</v>
      </c>
      <c r="P16" s="316">
        <f>+L16+M16+N16+O16</f>
        <v>9989172</v>
      </c>
    </row>
    <row r="17" spans="2:16">
      <c r="B17" s="195" t="s">
        <v>39</v>
      </c>
      <c r="C17" s="314">
        <f t="shared" si="0"/>
        <v>9786164</v>
      </c>
      <c r="D17" s="309">
        <f t="shared" si="1"/>
        <v>9.7139047878980742E-2</v>
      </c>
      <c r="E17" s="315">
        <f>+C17/($C$22-$C$12)</f>
        <v>0.18869789144727364</v>
      </c>
      <c r="F17" s="310">
        <v>25535432</v>
      </c>
      <c r="G17" s="204">
        <v>373491</v>
      </c>
      <c r="H17" s="204">
        <v>-11975193</v>
      </c>
      <c r="I17" s="204">
        <v>-295740</v>
      </c>
      <c r="J17" s="316">
        <f t="shared" si="2"/>
        <v>13637990</v>
      </c>
      <c r="K17" s="315"/>
      <c r="L17" s="310">
        <v>12146516</v>
      </c>
      <c r="M17" s="204">
        <v>1259569</v>
      </c>
      <c r="N17" s="204">
        <v>-2189029</v>
      </c>
      <c r="O17" s="204">
        <v>-6262841</v>
      </c>
      <c r="P17" s="316">
        <f>+L17+M17+N17+O17</f>
        <v>4954215</v>
      </c>
    </row>
    <row r="18" spans="2:16">
      <c r="B18" s="195" t="s">
        <v>31</v>
      </c>
      <c r="C18" s="314">
        <f t="shared" si="0"/>
        <v>0</v>
      </c>
      <c r="D18" s="309"/>
      <c r="E18" s="315"/>
      <c r="F18" s="310">
        <v>2435467</v>
      </c>
      <c r="G18" s="204">
        <v>83795</v>
      </c>
      <c r="H18" s="204">
        <v>0</v>
      </c>
      <c r="I18" s="204">
        <v>-139094</v>
      </c>
      <c r="J18" s="316">
        <f t="shared" si="2"/>
        <v>2380168</v>
      </c>
      <c r="K18" s="315"/>
      <c r="L18" s="310"/>
      <c r="M18" s="204"/>
      <c r="N18" s="204"/>
      <c r="O18" s="204"/>
      <c r="P18" s="316"/>
    </row>
    <row r="19" spans="2:16">
      <c r="B19" s="195" t="s">
        <v>32</v>
      </c>
      <c r="C19" s="314">
        <f t="shared" si="0"/>
        <v>0</v>
      </c>
      <c r="D19" s="309"/>
      <c r="E19" s="315"/>
      <c r="F19" s="310">
        <v>18766445</v>
      </c>
      <c r="G19" s="204">
        <v>167271</v>
      </c>
      <c r="H19" s="204">
        <v>0</v>
      </c>
      <c r="I19" s="204">
        <v>-6126571</v>
      </c>
      <c r="J19" s="316">
        <f t="shared" si="2"/>
        <v>12807145</v>
      </c>
      <c r="K19" s="315"/>
      <c r="L19" s="310"/>
      <c r="M19" s="204"/>
      <c r="N19" s="204"/>
      <c r="O19" s="204"/>
      <c r="P19" s="316"/>
    </row>
    <row r="20" spans="2:16">
      <c r="B20" s="195" t="s">
        <v>33</v>
      </c>
      <c r="C20" s="314">
        <f>-H20+N20</f>
        <v>0</v>
      </c>
      <c r="D20" s="309"/>
      <c r="E20" s="315"/>
      <c r="F20" s="310">
        <v>2897390</v>
      </c>
      <c r="G20" s="204">
        <v>17585579</v>
      </c>
      <c r="H20" s="204">
        <v>0</v>
      </c>
      <c r="I20" s="204">
        <v>-2517924</v>
      </c>
      <c r="J20" s="316">
        <f>+F20+G20+H20+I20</f>
        <v>17965045</v>
      </c>
      <c r="K20" s="315"/>
      <c r="L20" s="312"/>
      <c r="M20" s="313"/>
      <c r="N20" s="313"/>
      <c r="O20" s="313"/>
      <c r="P20" s="314"/>
    </row>
    <row r="21" spans="2:16">
      <c r="B21" s="195"/>
      <c r="C21" s="317"/>
      <c r="D21" s="309"/>
      <c r="E21" s="315"/>
      <c r="F21" s="318">
        <v>0</v>
      </c>
      <c r="G21" s="61">
        <v>0</v>
      </c>
      <c r="H21" s="61">
        <v>0</v>
      </c>
      <c r="I21" s="61">
        <v>0</v>
      </c>
      <c r="J21" s="317"/>
      <c r="K21" s="315"/>
      <c r="L21" s="318"/>
      <c r="M21" s="61"/>
      <c r="N21" s="61"/>
      <c r="O21" s="61"/>
      <c r="P21" s="317"/>
    </row>
    <row r="22" spans="2:16">
      <c r="B22" s="193" t="s">
        <v>8</v>
      </c>
      <c r="C22" s="319">
        <f>SUM(C12:C20)</f>
        <v>100743873.99999997</v>
      </c>
      <c r="D22" s="320">
        <f>SUM(D12:D17)</f>
        <v>1</v>
      </c>
      <c r="E22" s="320">
        <f>SUM(E12:E17)</f>
        <v>1</v>
      </c>
      <c r="F22" s="321">
        <f>SUM(F12:F20)</f>
        <v>1202759610</v>
      </c>
      <c r="G22" s="319">
        <f>SUM(G12:G20)</f>
        <v>38043929</v>
      </c>
      <c r="H22" s="319">
        <f>SUM(H12:H20)</f>
        <v>-345982050</v>
      </c>
      <c r="I22" s="319">
        <f>SUM(I12:I20)</f>
        <v>-21015853</v>
      </c>
      <c r="J22" s="322">
        <f>SUM(J12:J20)</f>
        <v>873805636</v>
      </c>
      <c r="K22" s="323"/>
      <c r="L22" s="321">
        <f>SUM(L12:L20)</f>
        <v>698474945</v>
      </c>
      <c r="M22" s="319">
        <f>SUM(M12:M20)</f>
        <v>26743950</v>
      </c>
      <c r="N22" s="319">
        <f>SUM(N12:N20)</f>
        <v>-245238176</v>
      </c>
      <c r="O22" s="319">
        <f>SUM(O12:O20)</f>
        <v>-35128445</v>
      </c>
      <c r="P22" s="322">
        <f>SUM(P12:P20)</f>
        <v>444852274</v>
      </c>
    </row>
    <row r="29" spans="2:16" ht="30">
      <c r="B29" s="329" t="s">
        <v>26</v>
      </c>
      <c r="C29" s="237" t="s">
        <v>40</v>
      </c>
      <c r="D29" s="237" t="s">
        <v>9</v>
      </c>
      <c r="E29" s="237" t="s">
        <v>42</v>
      </c>
      <c r="F29" s="237" t="s">
        <v>43</v>
      </c>
      <c r="G29" s="237" t="s">
        <v>44</v>
      </c>
    </row>
    <row r="30" spans="2:16">
      <c r="B30" s="307" t="s">
        <v>27</v>
      </c>
      <c r="C30" s="330">
        <v>201476173</v>
      </c>
      <c r="D30" s="330">
        <v>4121270</v>
      </c>
      <c r="E30" s="330">
        <v>-48882330</v>
      </c>
      <c r="F30" s="330">
        <v>-8878868</v>
      </c>
      <c r="G30" s="331">
        <f t="shared" ref="G30:G37" si="3">+C30+D30+E30+F30</f>
        <v>147836245</v>
      </c>
    </row>
    <row r="31" spans="2:16">
      <c r="B31" s="195" t="s">
        <v>11</v>
      </c>
      <c r="C31" s="330">
        <v>739992589</v>
      </c>
      <c r="D31" s="330">
        <v>4990631</v>
      </c>
      <c r="E31" s="330">
        <v>-267148431.99999997</v>
      </c>
      <c r="F31" s="330">
        <v>6404702</v>
      </c>
      <c r="G31" s="330">
        <f t="shared" si="3"/>
        <v>484239490</v>
      </c>
    </row>
    <row r="32" spans="2:16">
      <c r="B32" s="195" t="s">
        <v>351</v>
      </c>
      <c r="C32" s="330">
        <v>191249073</v>
      </c>
      <c r="D32" s="330">
        <v>9592812</v>
      </c>
      <c r="E32" s="330">
        <v>-13894011</v>
      </c>
      <c r="F32" s="330">
        <v>-9711476</v>
      </c>
      <c r="G32" s="330">
        <f t="shared" si="3"/>
        <v>177236398</v>
      </c>
    </row>
    <row r="33" spans="2:7">
      <c r="B33" s="195" t="s">
        <v>28</v>
      </c>
      <c r="C33" s="330">
        <v>3933042</v>
      </c>
      <c r="D33" s="330">
        <v>50476</v>
      </c>
      <c r="E33" s="330">
        <v>-1915994</v>
      </c>
      <c r="F33" s="330">
        <v>976910</v>
      </c>
      <c r="G33" s="330">
        <f t="shared" si="3"/>
        <v>3044434</v>
      </c>
    </row>
    <row r="34" spans="2:7">
      <c r="B34" s="195" t="s">
        <v>30</v>
      </c>
      <c r="C34" s="330">
        <v>16473999</v>
      </c>
      <c r="D34" s="330">
        <v>1078604</v>
      </c>
      <c r="E34" s="330">
        <v>-2166090</v>
      </c>
      <c r="F34" s="330">
        <v>-727792</v>
      </c>
      <c r="G34" s="330">
        <f t="shared" si="3"/>
        <v>14658721</v>
      </c>
    </row>
    <row r="35" spans="2:7">
      <c r="B35" s="195" t="s">
        <v>39</v>
      </c>
      <c r="C35" s="330">
        <v>25535432</v>
      </c>
      <c r="D35" s="330">
        <v>373491</v>
      </c>
      <c r="E35" s="330">
        <v>-11975193</v>
      </c>
      <c r="F35" s="330">
        <v>-295740</v>
      </c>
      <c r="G35" s="330">
        <f t="shared" si="3"/>
        <v>13637990</v>
      </c>
    </row>
    <row r="36" spans="2:7">
      <c r="B36" s="195" t="s">
        <v>31</v>
      </c>
      <c r="C36" s="330">
        <v>2435467</v>
      </c>
      <c r="D36" s="330">
        <v>83795</v>
      </c>
      <c r="E36" s="330"/>
      <c r="F36" s="330">
        <v>-139094</v>
      </c>
      <c r="G36" s="330">
        <f t="shared" si="3"/>
        <v>2380168</v>
      </c>
    </row>
    <row r="37" spans="2:7">
      <c r="B37" s="195" t="s">
        <v>32</v>
      </c>
      <c r="C37" s="330">
        <v>18766445</v>
      </c>
      <c r="D37" s="330">
        <v>167271</v>
      </c>
      <c r="E37" s="330"/>
      <c r="F37" s="330">
        <v>-6126571</v>
      </c>
      <c r="G37" s="330">
        <f t="shared" si="3"/>
        <v>12807145</v>
      </c>
    </row>
    <row r="38" spans="2:7">
      <c r="B38" s="195" t="s">
        <v>33</v>
      </c>
      <c r="C38" s="330">
        <v>2897390</v>
      </c>
      <c r="D38" s="330">
        <v>17585579</v>
      </c>
      <c r="E38" s="330"/>
      <c r="F38" s="330">
        <v>-2517924</v>
      </c>
      <c r="G38" s="330">
        <f>+C38+D38+E38+F38</f>
        <v>17965045</v>
      </c>
    </row>
    <row r="39" spans="2:7">
      <c r="B39" s="195"/>
      <c r="C39" s="332"/>
      <c r="D39" s="333"/>
      <c r="E39" s="333"/>
      <c r="F39" s="333"/>
      <c r="G39" s="333"/>
    </row>
    <row r="40" spans="2:7">
      <c r="B40" s="329" t="s">
        <v>8</v>
      </c>
      <c r="C40" s="334">
        <f>SUM(C30:C38)</f>
        <v>1202759610</v>
      </c>
      <c r="D40" s="334">
        <f>SUM(D30:D38)</f>
        <v>38043929</v>
      </c>
      <c r="E40" s="334">
        <f>SUM(E30:E38)</f>
        <v>-345982050</v>
      </c>
      <c r="F40" s="334">
        <f>SUM(F30:F38)</f>
        <v>-21015853</v>
      </c>
      <c r="G40" s="334">
        <f>SUM(G30:G38)</f>
        <v>873805636</v>
      </c>
    </row>
    <row r="44" spans="2:7" ht="30">
      <c r="B44" s="329" t="s">
        <v>26</v>
      </c>
      <c r="C44" s="237" t="s">
        <v>40</v>
      </c>
      <c r="D44" s="237" t="s">
        <v>9</v>
      </c>
      <c r="E44" s="237" t="s">
        <v>42</v>
      </c>
      <c r="F44" s="237" t="s">
        <v>43</v>
      </c>
      <c r="G44" s="237" t="s">
        <v>44</v>
      </c>
    </row>
    <row r="45" spans="2:7">
      <c r="B45" s="307" t="s">
        <v>27</v>
      </c>
      <c r="C45" s="330"/>
      <c r="D45" s="330"/>
      <c r="E45" s="330"/>
      <c r="F45" s="330"/>
      <c r="G45" s="331"/>
    </row>
    <row r="46" spans="2:7">
      <c r="B46" s="195" t="s">
        <v>11</v>
      </c>
      <c r="C46" s="330">
        <v>533441373.99999994</v>
      </c>
      <c r="D46" s="330">
        <v>11427196</v>
      </c>
      <c r="E46" s="330">
        <v>-234209309</v>
      </c>
      <c r="F46" s="330">
        <v>7923469</v>
      </c>
      <c r="G46" s="330">
        <v>318582730</v>
      </c>
    </row>
    <row r="47" spans="2:7">
      <c r="B47" s="195" t="s">
        <v>351</v>
      </c>
      <c r="C47" s="330">
        <v>139283391</v>
      </c>
      <c r="D47" s="330">
        <v>11903600</v>
      </c>
      <c r="E47" s="330">
        <v>-7630927</v>
      </c>
      <c r="F47" s="330">
        <v>-34421126</v>
      </c>
      <c r="G47" s="330">
        <v>109134938</v>
      </c>
    </row>
    <row r="48" spans="2:7">
      <c r="B48" s="195" t="s">
        <v>28</v>
      </c>
      <c r="C48" s="330">
        <v>2136670</v>
      </c>
      <c r="D48" s="330">
        <v>234711</v>
      </c>
      <c r="E48" s="330">
        <v>-453428</v>
      </c>
      <c r="F48" s="330">
        <v>273266</v>
      </c>
      <c r="G48" s="330">
        <v>2191219</v>
      </c>
    </row>
    <row r="49" spans="2:7">
      <c r="B49" s="195" t="s">
        <v>30</v>
      </c>
      <c r="C49" s="330">
        <v>11466994</v>
      </c>
      <c r="D49" s="330">
        <v>1918874</v>
      </c>
      <c r="E49" s="330">
        <v>-755483</v>
      </c>
      <c r="F49" s="330">
        <v>-2641213</v>
      </c>
      <c r="G49" s="330">
        <v>9989172</v>
      </c>
    </row>
    <row r="50" spans="2:7">
      <c r="B50" s="195" t="s">
        <v>39</v>
      </c>
      <c r="C50" s="330">
        <v>12146516</v>
      </c>
      <c r="D50" s="330">
        <v>1259569</v>
      </c>
      <c r="E50" s="330">
        <v>-2189029</v>
      </c>
      <c r="F50" s="330">
        <v>-6262841</v>
      </c>
      <c r="G50" s="330">
        <v>4954215</v>
      </c>
    </row>
    <row r="51" spans="2:7">
      <c r="B51" s="195" t="s">
        <v>31</v>
      </c>
      <c r="C51" s="330"/>
      <c r="D51" s="330"/>
      <c r="E51" s="330"/>
      <c r="F51" s="330"/>
      <c r="G51" s="330"/>
    </row>
    <row r="52" spans="2:7">
      <c r="B52" s="195" t="s">
        <v>32</v>
      </c>
      <c r="C52" s="330"/>
      <c r="D52" s="330"/>
      <c r="E52" s="330"/>
      <c r="F52" s="330"/>
      <c r="G52" s="330"/>
    </row>
    <row r="53" spans="2:7">
      <c r="B53" s="195" t="s">
        <v>33</v>
      </c>
      <c r="C53" s="330"/>
      <c r="D53" s="330"/>
      <c r="E53" s="330"/>
      <c r="F53" s="330"/>
      <c r="G53" s="330"/>
    </row>
    <row r="54" spans="2:7">
      <c r="B54" s="195"/>
      <c r="C54" s="332"/>
      <c r="D54" s="333"/>
      <c r="E54" s="333"/>
      <c r="F54" s="333"/>
      <c r="G54" s="333"/>
    </row>
    <row r="55" spans="2:7">
      <c r="B55" s="329" t="s">
        <v>8</v>
      </c>
      <c r="C55" s="334">
        <f>SUM(C45:C53)</f>
        <v>698474945</v>
      </c>
      <c r="D55" s="334">
        <f>SUM(D45:D53)</f>
        <v>26743950</v>
      </c>
      <c r="E55" s="334">
        <f>SUM(E45:E53)</f>
        <v>-245238176</v>
      </c>
      <c r="F55" s="334">
        <f>SUM(F45:F53)</f>
        <v>-35128445</v>
      </c>
      <c r="G55" s="334">
        <f>SUM(G45:G53)</f>
        <v>444852274</v>
      </c>
    </row>
    <row r="59" spans="2:7">
      <c r="B59" s="329" t="s">
        <v>26</v>
      </c>
      <c r="C59" s="237" t="s">
        <v>352</v>
      </c>
      <c r="D59" s="237" t="s">
        <v>353</v>
      </c>
    </row>
    <row r="60" spans="2:7">
      <c r="B60" s="307" t="s">
        <v>27</v>
      </c>
      <c r="C60" s="330">
        <f t="shared" ref="C60:C65" si="4">-E30+E45</f>
        <v>48882330</v>
      </c>
      <c r="D60" s="366">
        <f t="shared" ref="D60:D65" si="5">+C60/$G$4</f>
        <v>13882665.543534553</v>
      </c>
    </row>
    <row r="61" spans="2:7">
      <c r="B61" s="195" t="s">
        <v>11</v>
      </c>
      <c r="C61" s="330">
        <f t="shared" si="4"/>
        <v>32939122.99999997</v>
      </c>
      <c r="D61" s="366">
        <f t="shared" si="5"/>
        <v>9354767.4160856493</v>
      </c>
    </row>
    <row r="62" spans="2:7">
      <c r="B62" s="195" t="s">
        <v>351</v>
      </c>
      <c r="C62" s="330">
        <f t="shared" si="4"/>
        <v>6263084</v>
      </c>
      <c r="D62" s="366">
        <f t="shared" si="5"/>
        <v>1778726.5959511863</v>
      </c>
    </row>
    <row r="63" spans="2:7">
      <c r="B63" s="195" t="s">
        <v>28</v>
      </c>
      <c r="C63" s="330">
        <f t="shared" si="4"/>
        <v>1462566</v>
      </c>
      <c r="D63" s="366">
        <f t="shared" si="5"/>
        <v>415371.25201161962</v>
      </c>
    </row>
    <row r="64" spans="2:7">
      <c r="B64" s="195" t="s">
        <v>30</v>
      </c>
      <c r="C64" s="330">
        <f t="shared" si="4"/>
        <v>1410607</v>
      </c>
      <c r="D64" s="366">
        <f t="shared" si="5"/>
        <v>400614.80691220413</v>
      </c>
    </row>
    <row r="65" spans="2:6">
      <c r="B65" s="195" t="s">
        <v>39</v>
      </c>
      <c r="C65" s="330">
        <f t="shared" si="4"/>
        <v>9786164</v>
      </c>
      <c r="D65" s="366">
        <f t="shared" si="5"/>
        <v>2779287.3573370636</v>
      </c>
    </row>
    <row r="66" spans="2:6">
      <c r="B66" s="195" t="s">
        <v>31</v>
      </c>
      <c r="C66" s="330"/>
      <c r="D66" s="366"/>
    </row>
    <row r="67" spans="2:6">
      <c r="B67" s="195" t="s">
        <v>32</v>
      </c>
      <c r="C67" s="330"/>
      <c r="D67" s="330"/>
    </row>
    <row r="68" spans="2:6">
      <c r="B68" s="195" t="s">
        <v>33</v>
      </c>
      <c r="C68" s="330"/>
      <c r="D68" s="330"/>
    </row>
    <row r="69" spans="2:6">
      <c r="B69" s="195"/>
      <c r="C69" s="332"/>
      <c r="D69" s="333"/>
    </row>
    <row r="70" spans="2:6">
      <c r="B70" s="329" t="s">
        <v>8</v>
      </c>
      <c r="C70" s="334">
        <f>SUM(C60:C68)</f>
        <v>100743873.99999997</v>
      </c>
      <c r="D70" s="334">
        <f>SUM(D60:D68)</f>
        <v>28611432.971832272</v>
      </c>
    </row>
    <row r="75" spans="2:6">
      <c r="B75" s="329" t="s">
        <v>26</v>
      </c>
      <c r="C75" s="237" t="s">
        <v>353</v>
      </c>
      <c r="E75" s="389"/>
      <c r="F75" s="390" t="s">
        <v>419</v>
      </c>
    </row>
    <row r="76" spans="2:6">
      <c r="B76" s="307" t="str">
        <f>'INDICE K'!B5</f>
        <v>Mejoras Aeropuerto</v>
      </c>
      <c r="C76" s="396">
        <f>+F80</f>
        <v>37640031.14275296</v>
      </c>
      <c r="E76" s="391"/>
      <c r="F76" s="392" t="s">
        <v>251</v>
      </c>
    </row>
    <row r="77" spans="2:6">
      <c r="B77" s="195" t="str">
        <f>'INDICE K'!B6</f>
        <v>Costos Concesion</v>
      </c>
      <c r="C77" s="335">
        <v>0</v>
      </c>
      <c r="E77" s="1" t="s">
        <v>420</v>
      </c>
      <c r="F77" s="393">
        <v>29158426.597298414</v>
      </c>
    </row>
    <row r="78" spans="2:6">
      <c r="B78" s="195" t="str">
        <f>'INDICE K'!B7</f>
        <v>Otros</v>
      </c>
      <c r="C78" s="335">
        <v>0</v>
      </c>
      <c r="E78" s="1" t="s">
        <v>421</v>
      </c>
      <c r="F78" s="393">
        <v>3922159.0909090908</v>
      </c>
    </row>
    <row r="79" spans="2:6">
      <c r="B79" s="195" t="str">
        <f>'INDICE K'!B8</f>
        <v>Equipos de Seguridad y Rescate</v>
      </c>
      <c r="C79" s="335">
        <v>0</v>
      </c>
      <c r="E79" s="1" t="s">
        <v>273</v>
      </c>
      <c r="F79" s="393">
        <v>4559445.4545454597</v>
      </c>
    </row>
    <row r="80" spans="2:6">
      <c r="B80" s="195" t="str">
        <f>'INDICE K'!B9</f>
        <v>Equipos de Computo</v>
      </c>
      <c r="C80" s="335">
        <v>0</v>
      </c>
      <c r="E80" s="394" t="s">
        <v>422</v>
      </c>
      <c r="F80" s="395">
        <v>37640031.14275296</v>
      </c>
    </row>
    <row r="81" spans="2:6">
      <c r="B81" s="195" t="str">
        <f>'INDICE K'!B10</f>
        <v>Equipos Diversos</v>
      </c>
      <c r="C81" s="335">
        <v>0</v>
      </c>
      <c r="F81" s="397">
        <f>+F80+$C$82+$C$83</f>
        <v>38456017.201676786</v>
      </c>
    </row>
    <row r="82" spans="2:6">
      <c r="B82" s="195" t="str">
        <f>'INDICE K'!B11</f>
        <v>Unidades de Transporte</v>
      </c>
      <c r="C82" s="330">
        <f>+D63</f>
        <v>415371.25201161962</v>
      </c>
    </row>
    <row r="83" spans="2:6">
      <c r="B83" s="195" t="str">
        <f>'INDICE K'!B12</f>
        <v>Muebles y Enseres</v>
      </c>
      <c r="C83" s="330">
        <f>+D64</f>
        <v>400614.80691220413</v>
      </c>
    </row>
    <row r="84" spans="2:6">
      <c r="B84" s="195"/>
      <c r="C84" s="330"/>
    </row>
    <row r="85" spans="2:6">
      <c r="B85" s="195"/>
      <c r="C85" s="332"/>
    </row>
    <row r="86" spans="2:6">
      <c r="B86" s="329" t="s">
        <v>8</v>
      </c>
      <c r="C86" s="334">
        <f>SUM(C76:C84)</f>
        <v>38456017.201676786</v>
      </c>
    </row>
  </sheetData>
  <mergeCells count="3">
    <mergeCell ref="L9:P10"/>
    <mergeCell ref="B9:D10"/>
    <mergeCell ref="F9:J10"/>
  </mergeCells>
  <phoneticPr fontId="0" type="noConversion"/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f7b6741c-67d1-4bd3-a918-cab24f5666b3">Budget 2018</Tema>
    <NombreEmpresa xmlns="f7b6741c-67d1-4bd3-a918-cab24f5666b3">LAP</NombreEmpresa>
    <Confidencial xmlns="f7b6741c-67d1-4bd3-a918-cab24f5666b3">false</Confidencial>
    <TipoDocumento xmlns="f7b6741c-67d1-4bd3-a918-cab24f5666b3">Modelo factor de productividad</TipoDocumento>
    <SubTema xmlns="f7b6741c-67d1-4bd3-a918-cab24f5666b3">EXCOMM</SubTem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bro de Excel" ma:contentTypeID="0x010100B72FEE3B5F87BD488992A93DFDF48B4203002709228369E209489D7D989167A5E081" ma:contentTypeVersion="3" ma:contentTypeDescription="" ma:contentTypeScope="" ma:versionID="f0aaec79d0a1d306a869f5c7b01890ed">
  <xsd:schema xmlns:xsd="http://www.w3.org/2001/XMLSchema" xmlns:xs="http://www.w3.org/2001/XMLSchema" xmlns:p="http://schemas.microsoft.com/office/2006/metadata/properties" xmlns:ns2="f7b6741c-67d1-4bd3-a918-cab24f5666b3" targetNamespace="http://schemas.microsoft.com/office/2006/metadata/properties" ma:root="true" ma:fieldsID="5b5b8da28eb464319596252da1582edd" ns2:_="">
    <xsd:import namespace="f7b6741c-67d1-4bd3-a918-cab24f5666b3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SubTema" minOccurs="0"/>
                <xsd:element ref="ns2:TipoDocumento" minOccurs="0"/>
                <xsd:element ref="ns2:NombreEmpresa" minOccurs="0"/>
                <xsd:element ref="ns2:Confidenci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6741c-67d1-4bd3-a918-cab24f5666b3" elementFormDefault="qualified">
    <xsd:import namespace="http://schemas.microsoft.com/office/2006/documentManagement/types"/>
    <xsd:import namespace="http://schemas.microsoft.com/office/infopath/2007/PartnerControls"/>
    <xsd:element name="Tema" ma:index="8" nillable="true" ma:displayName="Tema" ma:description="Primer nivel de clasificación del documento" ma:internalName="Tema">
      <xsd:simpleType>
        <xsd:restriction base="dms:Text">
          <xsd:maxLength value="255"/>
        </xsd:restriction>
      </xsd:simpleType>
    </xsd:element>
    <xsd:element name="SubTema" ma:index="9" nillable="true" ma:displayName="Sub tema" ma:description="Segundo nivel de clasificación del documento" ma:internalName="SubTema">
      <xsd:simpleType>
        <xsd:restriction base="dms:Text">
          <xsd:maxLength value="255"/>
        </xsd:restriction>
      </xsd:simpleType>
    </xsd:element>
    <xsd:element name="TipoDocumento" ma:index="10" nillable="true" ma:displayName="Tipo doc." ma:description="Indica el tipo de documento" ma:internalName="TipoDocumento">
      <xsd:simpleType>
        <xsd:restriction base="dms:Text">
          <xsd:maxLength value="255"/>
        </xsd:restriction>
      </xsd:simpleType>
    </xsd:element>
    <xsd:element name="NombreEmpresa" ma:index="11" nillable="true" ma:displayName="Nombre empresa" ma:default="LAP" ma:description="Empresa que origina el documento" ma:internalName="NombreEmpresa">
      <xsd:simpleType>
        <xsd:restriction base="dms:Text">
          <xsd:maxLength value="255"/>
        </xsd:restriction>
      </xsd:simpleType>
    </xsd:element>
    <xsd:element name="Confidencial" ma:index="12" nillable="true" ma:displayName="Confidencial" ma:default="0" ma:description="Indica que los accesos y copias de este documento, serán auditados" ma:internalName="Confidenci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D60D4-B2BE-4F4C-9122-EEFA8A5382FA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7b6741c-67d1-4bd3-a918-cab24f5666b3"/>
  </ds:schemaRefs>
</ds:datastoreItem>
</file>

<file path=customXml/itemProps2.xml><?xml version="1.0" encoding="utf-8"?>
<ds:datastoreItem xmlns:ds="http://schemas.openxmlformats.org/officeDocument/2006/customXml" ds:itemID="{F70613D3-EFB0-48C3-8C25-5BBE0D741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2DF67-0FF1-48FF-A11A-72884ABF0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6741c-67d1-4bd3-a918-cab24f566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X RESULTADO</vt:lpstr>
      <vt:lpstr>FACTOR X</vt:lpstr>
      <vt:lpstr>OUTPUT</vt:lpstr>
      <vt:lpstr>INDICE OUTPUT</vt:lpstr>
      <vt:lpstr>INPUT MO</vt:lpstr>
      <vt:lpstr>INDICE MO</vt:lpstr>
      <vt:lpstr>INPUT K</vt:lpstr>
      <vt:lpstr>Depreciaciones</vt:lpstr>
      <vt:lpstr>INDICE K</vt:lpstr>
      <vt:lpstr>INPUT MAT</vt:lpstr>
      <vt:lpstr>INDICE MAT</vt:lpstr>
      <vt:lpstr>WACC</vt:lpstr>
      <vt:lpstr>ECO</vt:lpstr>
      <vt:lpstr>BK</vt:lpstr>
    </vt:vector>
  </TitlesOfParts>
  <Company>LAP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GPF</dc:creator>
  <cp:lastModifiedBy>Oscar Hinojosa Vigil</cp:lastModifiedBy>
  <cp:lastPrinted>2013-08-07T21:18:07Z</cp:lastPrinted>
  <dcterms:created xsi:type="dcterms:W3CDTF">2004-03-19T16:06:04Z</dcterms:created>
  <dcterms:modified xsi:type="dcterms:W3CDTF">2018-04-06T22:00:02Z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0x010100B72FEE3B5F87BD488992A93DFDF48B4203002709228369E209489D7D989167A5E081</vt:lpwstr>
  </property>
  <property fmtid="{D5CDD505-2E9C-101B-9397-08002B2CF9AE}" pid="3" name="SharedWithUsers">
    <vt:lpwstr>433;#Tello, Daniela</vt:lpwstr>
  </property>
</Properties>
</file>