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834" activeTab="0"/>
  </bookViews>
  <sheets>
    <sheet name="Resultado" sheetId="1" r:id="rId1"/>
    <sheet name="IPM" sheetId="2" r:id="rId2"/>
    <sheet name="IPC" sheetId="3" r:id="rId3"/>
    <sheet name="Datos Generales" sheetId="4" r:id="rId4"/>
    <sheet name="IngresosBrutos" sheetId="5" r:id="rId5"/>
    <sheet name="IngresosNetos" sheetId="6" r:id="rId6"/>
    <sheet name="CantidadesProducto" sheetId="7" r:id="rId7"/>
    <sheet name="PreciosImplícitos" sheetId="8" r:id="rId8"/>
    <sheet name="IndiceCantidadesProducto" sheetId="9" r:id="rId9"/>
    <sheet name="GastosSalarios" sheetId="10" r:id="rId10"/>
    <sheet name="CantidadDeTrabajo" sheetId="11" r:id="rId11"/>
    <sheet name="PrecioImplícitoDeTrabajo" sheetId="12" r:id="rId12"/>
    <sheet name="IndiceCantidadesTrabajo" sheetId="13" r:id="rId13"/>
    <sheet name="IndicePreciosTrabajo" sheetId="14" r:id="rId14"/>
    <sheet name="GastosMateriales" sheetId="15" r:id="rId15"/>
    <sheet name="CantidadMateriales" sheetId="16" r:id="rId16"/>
    <sheet name="PreciosImplícitosMateriales" sheetId="17" r:id="rId17"/>
    <sheet name="IndiceCantidadesMateriales" sheetId="18" r:id="rId18"/>
    <sheet name="IndicePreciosMateriales" sheetId="19" r:id="rId19"/>
    <sheet name="TasaDeImpuesto" sheetId="20" r:id="rId20"/>
    <sheet name="WACC" sheetId="21" r:id="rId21"/>
    <sheet name="WACC Prospectivo" sheetId="22" r:id="rId22"/>
    <sheet name="InversionesAdicionales" sheetId="23" r:id="rId23"/>
    <sheet name="Anualidad" sheetId="24" r:id="rId24"/>
    <sheet name="Depreciación" sheetId="25" r:id="rId25"/>
    <sheet name="StockCapital" sheetId="26" r:id="rId26"/>
    <sheet name="CantidadesCapital" sheetId="27" r:id="rId27"/>
    <sheet name="PrecioImplícitoCapital" sheetId="28" r:id="rId28"/>
    <sheet name="IndiceCantidadesCapital" sheetId="29" r:id="rId29"/>
    <sheet name="IndicePreciosCapital" sheetId="30" r:id="rId30"/>
    <sheet name="Índice de Cantidades de Insumos" sheetId="31" r:id="rId31"/>
    <sheet name="Índice de Precios de Insumos" sheetId="32" r:id="rId32"/>
    <sheet name="PTF" sheetId="33" r:id="rId33"/>
    <sheet name="Economía" sheetId="34" r:id="rId34"/>
  </sheets>
  <definedNames/>
  <calcPr fullCalcOnLoad="1"/>
</workbook>
</file>

<file path=xl/sharedStrings.xml><?xml version="1.0" encoding="utf-8"?>
<sst xmlns="http://schemas.openxmlformats.org/spreadsheetml/2006/main" count="466" uniqueCount="163">
  <si>
    <t>Numerador</t>
  </si>
  <si>
    <t>Denominador</t>
  </si>
  <si>
    <t>TC Promedio Anual</t>
  </si>
  <si>
    <t>Empleados</t>
  </si>
  <si>
    <t xml:space="preserve">Funcionarios </t>
  </si>
  <si>
    <t>Eventuales</t>
  </si>
  <si>
    <t>Total Gastos Materiales</t>
  </si>
  <si>
    <t>Concepto</t>
  </si>
  <si>
    <t>Diferencia</t>
  </si>
  <si>
    <t>Factor X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</si>
  <si>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</si>
  <si>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</si>
  <si>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</si>
  <si>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</si>
  <si>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</si>
  <si>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</si>
  <si>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</si>
  <si>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</si>
  <si>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</si>
  <si>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</si>
  <si>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</si>
  <si>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</si>
  <si>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</si>
  <si>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Unidad</t>
  </si>
  <si>
    <t xml:space="preserve">Uso o alquiler de amarradero </t>
  </si>
  <si>
    <t>Contenedor con carga de 20 pies</t>
  </si>
  <si>
    <t>Contenedor con carga de 40 pies</t>
  </si>
  <si>
    <t>Contenedor vacios de 20 pies</t>
  </si>
  <si>
    <t>Contenedor vacios de 40 pies</t>
  </si>
  <si>
    <t xml:space="preserve">Empleados </t>
  </si>
  <si>
    <t xml:space="preserve">Eventuales </t>
  </si>
  <si>
    <t>Otros gastos de personal*</t>
  </si>
  <si>
    <t>Servicios por Terceros</t>
  </si>
  <si>
    <t>Combustible</t>
  </si>
  <si>
    <t>Terciarización de los servicios de inspección</t>
  </si>
  <si>
    <t>Servicios de gestión con partes relacionadas</t>
  </si>
  <si>
    <t>Otros costos de operación</t>
  </si>
  <si>
    <t>Mantenimiento de las instalaciones</t>
  </si>
  <si>
    <t>Servicio de seguridad</t>
  </si>
  <si>
    <t xml:space="preserve">Otros gastos </t>
  </si>
  <si>
    <t xml:space="preserve">Tasa regulatoria </t>
  </si>
  <si>
    <t xml:space="preserve">Anualidad </t>
  </si>
  <si>
    <t xml:space="preserve">Obras civiles </t>
  </si>
  <si>
    <t xml:space="preserve">Equipamiento </t>
  </si>
  <si>
    <t xml:space="preserve">Inversiones adicionales </t>
  </si>
  <si>
    <t xml:space="preserve">ICM </t>
  </si>
  <si>
    <t xml:space="preserve">Años de vida útil </t>
  </si>
  <si>
    <t xml:space="preserve">Depreciación </t>
  </si>
  <si>
    <t xml:space="preserve">Equipos </t>
  </si>
  <si>
    <t xml:space="preserve">Participación de trabajadores </t>
  </si>
  <si>
    <t>Partes de recambio</t>
  </si>
  <si>
    <t>Aplicaciones Mantenimiento y Soporte</t>
  </si>
  <si>
    <t>Cantidades de materiales</t>
  </si>
  <si>
    <t xml:space="preserve">Respuestos </t>
  </si>
  <si>
    <t>Mantenimiento y Soporte</t>
  </si>
  <si>
    <t xml:space="preserve">* Incluye pagos por despido, viajes del personal, capacitación, eventos, entre otros que se consideran como gastos de personal. </t>
  </si>
  <si>
    <t xml:space="preserve">Total </t>
  </si>
  <si>
    <t xml:space="preserve">Stock de Capital Fijo </t>
  </si>
  <si>
    <t>Precios implícitos</t>
  </si>
  <si>
    <t>Índice de Laspeyres</t>
  </si>
  <si>
    <t>Índice de Paasche</t>
  </si>
  <si>
    <t>Índice de Cantidades de Producto</t>
  </si>
  <si>
    <t>Categoría Laboral</t>
  </si>
  <si>
    <t>Índice de Cantidades de Materiales</t>
  </si>
  <si>
    <t>Índice de Precios de Materiales</t>
  </si>
  <si>
    <t>ICM</t>
  </si>
  <si>
    <t>Inversiones adicionales</t>
  </si>
  <si>
    <t>Índice de Cantidades de Capital</t>
  </si>
  <si>
    <t>Índice de Precios de Capital</t>
  </si>
  <si>
    <t>Productividad Total de Factores de la Economía</t>
  </si>
  <si>
    <t>Tasa de Variación Anual</t>
  </si>
  <si>
    <t>Diferencia en el Crecimiento en Precios Insumos con la Economía</t>
  </si>
  <si>
    <t>Crecimiento en Precios Insumos Empresa W</t>
  </si>
  <si>
    <t>Diferencia en el Crecimiento en la PTF con la Economía</t>
  </si>
  <si>
    <t>Crecimiento en la PTF de la Empresa T</t>
  </si>
  <si>
    <t>Crecimiento en Precios Insumos Economía We</t>
  </si>
  <si>
    <t>Crecimiento en la PTF de la Economía Te</t>
  </si>
  <si>
    <t>2010</t>
  </si>
  <si>
    <t>2011</t>
  </si>
  <si>
    <t>2012</t>
  </si>
  <si>
    <t>2013</t>
  </si>
  <si>
    <t>D/E</t>
  </si>
  <si>
    <t>D/(D+E)</t>
  </si>
  <si>
    <t>E/(D+E)</t>
  </si>
  <si>
    <t>Componentes</t>
  </si>
  <si>
    <t>Tasa Libre de Riesgo</t>
  </si>
  <si>
    <t>Beta Apalancada</t>
  </si>
  <si>
    <t>Costo de Capital</t>
  </si>
  <si>
    <t>Gastos en materiales (En USD)</t>
  </si>
  <si>
    <t>2009</t>
  </si>
  <si>
    <t>Cantidades Laspeyres</t>
  </si>
  <si>
    <t>Cantidades Paasche</t>
  </si>
  <si>
    <t>Índice de Cantidades de Fisher</t>
  </si>
  <si>
    <t>Índice de Precios de Fisher</t>
  </si>
  <si>
    <t>Horas Hombre</t>
  </si>
  <si>
    <t>Gastos Laborales (En USD)</t>
  </si>
  <si>
    <t>Índice de Cantidades de Trabajo</t>
  </si>
  <si>
    <t>Servicios (En USD)</t>
  </si>
  <si>
    <t>Por metro de Eslora-Hora (o fracción de hora</t>
  </si>
  <si>
    <t>TEU</t>
  </si>
  <si>
    <t>Servicios</t>
  </si>
  <si>
    <t>*Desde 18 de Agosto - Diciembre</t>
  </si>
  <si>
    <t>Inversiones adicionales  (En USD)</t>
  </si>
  <si>
    <t>Stock de Capital (En USD)</t>
  </si>
  <si>
    <t>Cantidades de Capital (Promedio)</t>
  </si>
  <si>
    <t>Precio Implícito del Capital</t>
  </si>
  <si>
    <t>Retribución al Estado y Aporte por Regulación</t>
  </si>
  <si>
    <t> Enero</t>
  </si>
  <si>
    <t> Febrero</t>
  </si>
  <si>
    <t> Marzo</t>
  </si>
  <si>
    <t> Abril</t>
  </si>
  <si>
    <t> Mayo</t>
  </si>
  <si>
    <t> Junio</t>
  </si>
  <si>
    <t> Julio</t>
  </si>
  <si>
    <t> Agosto</t>
  </si>
  <si>
    <t> Setiembre</t>
  </si>
  <si>
    <t> Octubre</t>
  </si>
  <si>
    <t> Noviembre</t>
  </si>
  <si>
    <t> Diciembre</t>
  </si>
  <si>
    <t>IPM Promedio Anual</t>
  </si>
  <si>
    <t>IPC Promedio Anual</t>
  </si>
  <si>
    <t>IPC (2009=100)</t>
  </si>
  <si>
    <t>IPM (Diciembre 2013 = 100)</t>
  </si>
  <si>
    <t>Inflación IPC</t>
  </si>
  <si>
    <t>Índice IPM-2010 (En S/.)</t>
  </si>
  <si>
    <t>Índice IPM-2010 (En USD)</t>
  </si>
  <si>
    <t>Índice IPC-2010 (En S/.)</t>
  </si>
  <si>
    <t>Índice IPC-2010 (En USD)</t>
  </si>
  <si>
    <t>Índice</t>
  </si>
  <si>
    <t>Índices de Cantidades de Insumos</t>
  </si>
  <si>
    <t>Índice de Fisher</t>
  </si>
  <si>
    <t>Crecimiento Anual Índice de Fisher</t>
  </si>
  <si>
    <t>Índices de Precios de Insumos</t>
  </si>
  <si>
    <t>Índice de Productos</t>
  </si>
  <si>
    <t>Índice de Insumos</t>
  </si>
  <si>
    <t>Crecimiento Anual Índice</t>
  </si>
  <si>
    <t>Anualidad</t>
  </si>
  <si>
    <t>Años de concesión (años)</t>
  </si>
  <si>
    <t>Inversión referencial (En USD)</t>
  </si>
  <si>
    <t>Depreciación  (En USD)</t>
  </si>
  <si>
    <t>Wacc</t>
  </si>
  <si>
    <t>Riesgo pais</t>
  </si>
  <si>
    <t>Prima de Mercado</t>
  </si>
  <si>
    <t>Beta desapalancado</t>
  </si>
  <si>
    <t xml:space="preserve">Costo de  deuda </t>
  </si>
  <si>
    <t>Tasa de Impuesto</t>
  </si>
  <si>
    <t>Tasa de Impuestos</t>
  </si>
  <si>
    <t>WACC Prospectivo</t>
  </si>
  <si>
    <t>Productividad Total de los Factores de la Empresa</t>
  </si>
  <si>
    <t>2010*</t>
  </si>
  <si>
    <t>Fuente: Instituto Nacional de Estadística e Informática (INEI)</t>
  </si>
  <si>
    <t>Fuente: Instituto Nacional de Estadística e Informática (INEI), Banco Central de Reserva del Perú (BCRP)</t>
  </si>
  <si>
    <t>Fuente: DP World Callao S.R.L.</t>
  </si>
  <si>
    <t>Fuente: Macroconsult S.A.</t>
  </si>
  <si>
    <t>Variación Índice de Cantidades de Trabajo</t>
  </si>
  <si>
    <t>Variación Índice de Precios de Trabajo</t>
  </si>
  <si>
    <t>Índice de Precios de Trabajo</t>
  </si>
  <si>
    <t>Variación Índice de Cantidades de Producto</t>
  </si>
  <si>
    <t>Variación Índice de Cantidades de Materiales</t>
  </si>
  <si>
    <t>Variación Índice de Precios de Materiales</t>
  </si>
  <si>
    <t>Variación Índice de Cantidades de Capital</t>
  </si>
  <si>
    <t>Variación Índice de Precios de Capital</t>
  </si>
  <si>
    <t>Nota: Mediante Resolución N° 014-2015-CD-OSITRAN, se declaró confidencial la información relacionada a los Servicios Especiales del TMS.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</si>
</sst>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0.0"/>
    <numFmt numFmtId="166" formatCode="0.000"/>
    <numFmt numFmtId="167" formatCode="0.0%"/>
    <numFmt numFmtId="168" formatCode="0.0000"/>
    <numFmt numFmtId="169" formatCode="0.0000%"/>
    <numFmt numFmtId="170" formatCode="_ * #,##0_ ;_ * \-#,##0_ ;_ * &quot;-&quot;??_ ;_ @_ "/>
    <numFmt numFmtId="171" formatCode="_([$€-2]\ * #,##0.00_);_([$€-2]\ * \(#,##0.00\);_([$€-2]\ * &quot;-&quot;??_)"/>
    <numFmt numFmtId="172" formatCode="#,##0.00000000"/>
    <numFmt numFmtId="173" formatCode="0.00000"/>
    <numFmt numFmtId="174" formatCode="0.00000%"/>
    <numFmt numFmtId="175" formatCode="0.0000000000%"/>
    <numFmt numFmtId="176" formatCode="#,##0.0"/>
    <numFmt numFmtId="177" formatCode="#,##0.000_ ;\-#,##0.000\ "/>
    <numFmt numFmtId="178" formatCode="[$-280A]dddd\,\ dd&quot; de &quot;mmmm&quot; de &quot;yyyy"/>
    <numFmt numFmtId="179" formatCode="[$-409]hh:mm:ss\ AM/PM"/>
    <numFmt numFmtId="180" formatCode="_ * #,##0.000_ ;_ * \-#,##0.000_ ;_ * &quot;-&quot;??_ ;_ @_ "/>
    <numFmt numFmtId="181" formatCode="0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orbel"/>
      <family val="2"/>
    </font>
    <font>
      <sz val="10"/>
      <name val="Corbe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sz val="10"/>
      <color indexed="9"/>
      <name val="Corbel"/>
      <family val="2"/>
    </font>
    <font>
      <sz val="8"/>
      <color indexed="8"/>
      <name val="Corbel"/>
      <family val="2"/>
    </font>
    <font>
      <b/>
      <sz val="10"/>
      <color indexed="10"/>
      <name val="Corbe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0"/>
      <color theme="0"/>
      <name val="Corbel"/>
      <family val="2"/>
    </font>
    <font>
      <sz val="8"/>
      <color theme="1"/>
      <name val="Corbel"/>
      <family val="2"/>
    </font>
    <font>
      <b/>
      <sz val="10"/>
      <color rgb="FFFF0000"/>
      <name val="Corbel"/>
      <family val="2"/>
    </font>
    <font>
      <sz val="10"/>
      <color rgb="FF000000"/>
      <name val="Corbe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70" fontId="46" fillId="0" borderId="0" xfId="50" applyNumberFormat="1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3" fontId="46" fillId="0" borderId="0" xfId="0" applyNumberFormat="1" applyFont="1" applyAlignment="1">
      <alignment horizontal="center" vertical="center"/>
    </xf>
    <xf numFmtId="10" fontId="46" fillId="0" borderId="10" xfId="0" applyNumberFormat="1" applyFon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33" borderId="11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170" fontId="47" fillId="0" borderId="13" xfId="50" applyNumberFormat="1" applyFont="1" applyBorder="1" applyAlignment="1">
      <alignment horizontal="right" vertical="center"/>
    </xf>
    <xf numFmtId="170" fontId="46" fillId="0" borderId="0" xfId="50" applyNumberFormat="1" applyFont="1" applyAlignment="1">
      <alignment horizontal="right" vertical="center"/>
    </xf>
    <xf numFmtId="170" fontId="46" fillId="33" borderId="0" xfId="50" applyNumberFormat="1" applyFont="1" applyFill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170" fontId="46" fillId="0" borderId="14" xfId="50" applyNumberFormat="1" applyFont="1" applyBorder="1" applyAlignment="1">
      <alignment horizontal="right" vertical="center"/>
    </xf>
    <xf numFmtId="2" fontId="47" fillId="0" borderId="0" xfId="50" applyNumberFormat="1" applyFont="1" applyAlignment="1">
      <alignment horizontal="center" vertical="center"/>
    </xf>
    <xf numFmtId="0" fontId="46" fillId="0" borderId="13" xfId="0" applyFont="1" applyBorder="1" applyAlignment="1">
      <alignment/>
    </xf>
    <xf numFmtId="167" fontId="47" fillId="0" borderId="13" xfId="88" applyNumberFormat="1" applyFont="1" applyBorder="1" applyAlignment="1">
      <alignment horizontal="center" vertical="center"/>
    </xf>
    <xf numFmtId="167" fontId="47" fillId="0" borderId="15" xfId="88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3" fontId="46" fillId="0" borderId="0" xfId="50" applyNumberFormat="1" applyFont="1" applyAlignment="1">
      <alignment horizontal="center" vertical="center"/>
    </xf>
    <xf numFmtId="3" fontId="46" fillId="33" borderId="0" xfId="50" applyNumberFormat="1" applyFont="1" applyFill="1" applyAlignment="1">
      <alignment horizontal="center" vertical="center"/>
    </xf>
    <xf numFmtId="4" fontId="47" fillId="0" borderId="0" xfId="5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3" fontId="46" fillId="33" borderId="0" xfId="0" applyNumberFormat="1" applyFont="1" applyFill="1" applyAlignment="1">
      <alignment horizontal="center" vertical="center"/>
    </xf>
    <xf numFmtId="3" fontId="46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0" fontId="47" fillId="0" borderId="15" xfId="88" applyNumberFormat="1" applyFont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3" fontId="47" fillId="0" borderId="13" xfId="50" applyNumberFormat="1" applyFont="1" applyBorder="1" applyAlignment="1">
      <alignment horizontal="center" vertical="center"/>
    </xf>
    <xf numFmtId="4" fontId="46" fillId="33" borderId="0" xfId="50" applyNumberFormat="1" applyFont="1" applyFill="1" applyAlignment="1">
      <alignment horizontal="center" vertical="center"/>
    </xf>
    <xf numFmtId="4" fontId="46" fillId="0" borderId="0" xfId="50" applyNumberFormat="1" applyFont="1" applyAlignment="1">
      <alignment horizontal="center" vertical="center"/>
    </xf>
    <xf numFmtId="9" fontId="46" fillId="0" borderId="0" xfId="88" applyFont="1" applyAlignment="1">
      <alignment horizontal="center" vertical="center"/>
    </xf>
    <xf numFmtId="0" fontId="47" fillId="0" borderId="16" xfId="0" applyFont="1" applyBorder="1" applyAlignment="1">
      <alignment/>
    </xf>
    <xf numFmtId="9" fontId="47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2" fontId="46" fillId="0" borderId="0" xfId="50" applyNumberFormat="1" applyFont="1" applyAlignment="1">
      <alignment horizontal="center" vertical="center"/>
    </xf>
    <xf numFmtId="2" fontId="46" fillId="33" borderId="0" xfId="50" applyNumberFormat="1" applyFont="1" applyFill="1" applyAlignment="1">
      <alignment horizontal="center" vertical="center"/>
    </xf>
    <xf numFmtId="0" fontId="47" fillId="0" borderId="13" xfId="0" applyFont="1" applyBorder="1" applyAlignment="1">
      <alignment/>
    </xf>
    <xf numFmtId="2" fontId="47" fillId="0" borderId="13" xfId="50" applyNumberFormat="1" applyFont="1" applyBorder="1" applyAlignment="1">
      <alignment horizontal="center" vertical="center"/>
    </xf>
    <xf numFmtId="0" fontId="47" fillId="33" borderId="15" xfId="0" applyFont="1" applyFill="1" applyBorder="1" applyAlignment="1">
      <alignment/>
    </xf>
    <xf numFmtId="2" fontId="47" fillId="33" borderId="15" xfId="50" applyNumberFormat="1" applyFont="1" applyFill="1" applyBorder="1" applyAlignment="1">
      <alignment horizontal="center" vertical="center"/>
    </xf>
    <xf numFmtId="10" fontId="46" fillId="0" borderId="0" xfId="88" applyNumberFormat="1" applyFont="1" applyAlignment="1">
      <alignment horizontal="center"/>
    </xf>
    <xf numFmtId="43" fontId="46" fillId="0" borderId="0" xfId="50" applyFont="1" applyAlignment="1">
      <alignment/>
    </xf>
    <xf numFmtId="43" fontId="46" fillId="0" borderId="0" xfId="0" applyNumberFormat="1" applyFont="1" applyAlignment="1">
      <alignment/>
    </xf>
    <xf numFmtId="0" fontId="48" fillId="34" borderId="11" xfId="0" applyFont="1" applyFill="1" applyBorder="1" applyAlignment="1">
      <alignment/>
    </xf>
    <xf numFmtId="0" fontId="48" fillId="34" borderId="11" xfId="0" applyFont="1" applyFill="1" applyBorder="1" applyAlignment="1">
      <alignment horizontal="center" vertical="center"/>
    </xf>
    <xf numFmtId="10" fontId="46" fillId="0" borderId="0" xfId="88" applyNumberFormat="1" applyFont="1" applyAlignment="1">
      <alignment horizontal="center" vertical="center"/>
    </xf>
    <xf numFmtId="10" fontId="47" fillId="0" borderId="0" xfId="0" applyNumberFormat="1" applyFont="1" applyAlignment="1">
      <alignment horizontal="center" vertical="center"/>
    </xf>
    <xf numFmtId="10" fontId="47" fillId="0" borderId="0" xfId="88" applyNumberFormat="1" applyFont="1" applyAlignment="1">
      <alignment horizontal="center"/>
    </xf>
    <xf numFmtId="10" fontId="47" fillId="0" borderId="0" xfId="88" applyNumberFormat="1" applyFont="1" applyAlignment="1">
      <alignment horizontal="center" vertical="center"/>
    </xf>
    <xf numFmtId="10" fontId="48" fillId="35" borderId="18" xfId="0" applyNumberFormat="1" applyFont="1" applyFill="1" applyBorder="1" applyAlignment="1">
      <alignment horizontal="center"/>
    </xf>
    <xf numFmtId="4" fontId="46" fillId="33" borderId="11" xfId="5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0" fontId="4" fillId="0" borderId="0" xfId="89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34" borderId="11" xfId="0" applyFont="1" applyFill="1" applyBorder="1" applyAlignment="1">
      <alignment horizontal="center"/>
    </xf>
    <xf numFmtId="3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 vertical="center"/>
    </xf>
    <xf numFmtId="1" fontId="46" fillId="33" borderId="0" xfId="0" applyNumberFormat="1" applyFont="1" applyFill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 vertical="center"/>
    </xf>
    <xf numFmtId="167" fontId="46" fillId="0" borderId="0" xfId="88" applyNumberFormat="1" applyFont="1" applyAlignment="1">
      <alignment horizontal="center"/>
    </xf>
    <xf numFmtId="0" fontId="47" fillId="0" borderId="13" xfId="0" applyFont="1" applyBorder="1" applyAlignment="1">
      <alignment/>
    </xf>
    <xf numFmtId="167" fontId="47" fillId="0" borderId="13" xfId="88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50" fillId="0" borderId="14" xfId="0" applyFont="1" applyBorder="1" applyAlignment="1">
      <alignment/>
    </xf>
    <xf numFmtId="10" fontId="50" fillId="0" borderId="14" xfId="88" applyNumberFormat="1" applyFont="1" applyBorder="1" applyAlignment="1">
      <alignment horizontal="center"/>
    </xf>
    <xf numFmtId="2" fontId="46" fillId="0" borderId="0" xfId="88" applyNumberFormat="1" applyFont="1" applyAlignment="1">
      <alignment horizontal="center"/>
    </xf>
    <xf numFmtId="0" fontId="46" fillId="0" borderId="0" xfId="0" applyFont="1" applyAlignment="1">
      <alignment horizontal="left" indent="1"/>
    </xf>
    <xf numFmtId="10" fontId="47" fillId="0" borderId="19" xfId="88" applyNumberFormat="1" applyFont="1" applyBorder="1" applyAlignment="1">
      <alignment horizontal="center"/>
    </xf>
    <xf numFmtId="3" fontId="46" fillId="33" borderId="11" xfId="50" applyNumberFormat="1" applyFont="1" applyFill="1" applyBorder="1" applyAlignment="1">
      <alignment horizontal="center" vertical="center"/>
    </xf>
    <xf numFmtId="10" fontId="47" fillId="0" borderId="13" xfId="88" applyNumberFormat="1" applyFont="1" applyBorder="1" applyAlignment="1">
      <alignment horizontal="center"/>
    </xf>
    <xf numFmtId="2" fontId="46" fillId="0" borderId="14" xfId="50" applyNumberFormat="1" applyFont="1" applyBorder="1" applyAlignment="1">
      <alignment horizontal="center" vertical="center"/>
    </xf>
    <xf numFmtId="9" fontId="51" fillId="0" borderId="0" xfId="88" applyFont="1" applyAlignment="1">
      <alignment horizontal="center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 horizontal="center" vertical="center"/>
    </xf>
    <xf numFmtId="10" fontId="51" fillId="0" borderId="0" xfId="88" applyNumberFormat="1" applyFont="1" applyAlignment="1">
      <alignment horizontal="center"/>
    </xf>
    <xf numFmtId="2" fontId="46" fillId="0" borderId="0" xfId="50" applyNumberFormat="1" applyFont="1" applyAlignment="1">
      <alignment horizontal="center" vertical="center"/>
    </xf>
    <xf numFmtId="3" fontId="0" fillId="0" borderId="0" xfId="50" applyNumberFormat="1" applyFont="1" applyAlignment="1">
      <alignment horizontal="center" vertical="center"/>
    </xf>
    <xf numFmtId="0" fontId="48" fillId="35" borderId="20" xfId="0" applyFont="1" applyFill="1" applyBorder="1" applyAlignment="1">
      <alignment horizontal="left" vertical="center"/>
    </xf>
    <xf numFmtId="0" fontId="48" fillId="35" borderId="21" xfId="0" applyFont="1" applyFill="1" applyBorder="1" applyAlignment="1">
      <alignment horizontal="left" vertical="center"/>
    </xf>
    <xf numFmtId="0" fontId="48" fillId="35" borderId="22" xfId="0" applyFont="1" applyFill="1" applyBorder="1" applyAlignment="1">
      <alignment horizontal="left" vertical="center"/>
    </xf>
    <xf numFmtId="0" fontId="48" fillId="35" borderId="20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</cellXfs>
  <cellStyles count="9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10" xfId="53"/>
    <cellStyle name="Millares 2 11" xfId="54"/>
    <cellStyle name="Millares 2 12" xfId="55"/>
    <cellStyle name="Millares 2 2" xfId="56"/>
    <cellStyle name="Millares 2 3" xfId="57"/>
    <cellStyle name="Millares 2 4" xfId="58"/>
    <cellStyle name="Millares 2 5" xfId="59"/>
    <cellStyle name="Millares 2 6" xfId="60"/>
    <cellStyle name="Millares 2 7" xfId="61"/>
    <cellStyle name="Millares 2 8" xfId="62"/>
    <cellStyle name="Millares 2 9" xfId="63"/>
    <cellStyle name="Millares 3" xfId="64"/>
    <cellStyle name="Millares 3 10" xfId="65"/>
    <cellStyle name="Millares 3 11" xfId="66"/>
    <cellStyle name="Millares 3 12" xfId="67"/>
    <cellStyle name="Millares 3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3_Información solicitada 2000-2008 09122008 (Dolar)" xfId="76"/>
    <cellStyle name="Millares 4" xfId="77"/>
    <cellStyle name="Currency" xfId="78"/>
    <cellStyle name="Currency [0]" xfId="79"/>
    <cellStyle name="Neutral" xfId="80"/>
    <cellStyle name="Normal 11" xfId="81"/>
    <cellStyle name="Normal 12" xfId="82"/>
    <cellStyle name="Normal 2" xfId="83"/>
    <cellStyle name="Normal 2 2" xfId="84"/>
    <cellStyle name="Normal 3" xfId="85"/>
    <cellStyle name="Normal 5" xfId="86"/>
    <cellStyle name="Notas" xfId="87"/>
    <cellStyle name="Percent" xfId="88"/>
    <cellStyle name="Porcentaje 2" xfId="89"/>
    <cellStyle name="Porcentaje 3" xfId="90"/>
    <cellStyle name="Porcentual 2 10" xfId="91"/>
    <cellStyle name="Porcentual 2 11" xfId="92"/>
    <cellStyle name="Porcentual 2 12" xfId="93"/>
    <cellStyle name="Porcentual 2 13" xfId="94"/>
    <cellStyle name="Porcentual 2 2" xfId="95"/>
    <cellStyle name="Porcentual 2 3" xfId="96"/>
    <cellStyle name="Porcentual 2 4" xfId="97"/>
    <cellStyle name="Porcentual 2 5" xfId="98"/>
    <cellStyle name="Porcentual 2 6" xfId="99"/>
    <cellStyle name="Porcentual 2 7" xfId="100"/>
    <cellStyle name="Porcentual 2 8" xfId="101"/>
    <cellStyle name="Porcentual 2 9" xfId="102"/>
    <cellStyle name="Salida" xfId="103"/>
    <cellStyle name="Texto de advertencia" xfId="104"/>
    <cellStyle name="Texto explicativo" xfId="105"/>
    <cellStyle name="Título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9" name="Tabla39" displayName="Tabla39" ref="C4:H17" comment="" totalsRowShown="0">
  <tableColumns count="6">
    <tableColumn id="1" name="IPM (Diciembre 2013 = 100)"/>
    <tableColumn id="2" name="2009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5" name="Tabla5" displayName="Tabla5" ref="C3:G8" comment="" totalsRowShown="0">
  <tableColumns count="5">
    <tableColumn id="1" name="Gastos Laborales (En USD)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6" name="Tabla6" displayName="Tabla6" ref="C13:G16" comment="" totalsRowShown="0">
  <tableColumns count="5">
    <tableColumn id="1" name="Gastos Laborales (En USD)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" name="Tabla4" displayName="Tabla4" ref="C4:G7" comment="" totalsRowShown="0">
  <tableColumns count="5">
    <tableColumn id="1" name="Horas Hombre"/>
    <tableColumn id="3" name="2010"/>
    <tableColumn id="5" name="2011"/>
    <tableColumn id="7" name="2012"/>
    <tableColumn id="9" name="2013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7" name="Tabla7" displayName="Tabla7" ref="C4:G7" comment="" totalsRowShown="0">
  <tableColumns count="5">
    <tableColumn id="1" name="Categoría Laboral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8" name="Tabla29" displayName="Tabla29" ref="C4:G12" comment="" totalsRowShown="0">
  <tableColumns count="5">
    <tableColumn id="1" name="Índice de Cantidades de Trabajo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9" name="Tabla2410" displayName="Tabla2410" ref="C4:G12" comment="" totalsRowShown="0">
  <tableColumns count="5">
    <tableColumn id="1" name="Índice de Precios de Trabajo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1" name="Tabla1" displayName="Tabla1" ref="C4:G15" comment="" totalsRowShown="0">
  <tableColumns count="5">
    <tableColumn id="1" name="Gastos en materiales (En USD)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2" name="Tabla2" displayName="Tabla2" ref="C4:G12" comment="" totalsRowShown="0">
  <tableColumns count="5">
    <tableColumn id="1" name="Índice de Cantidades de Materiale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" name="Tabla24" displayName="Tabla24" ref="C4:G12" comment="" totalsRowShown="0">
  <tableColumns count="5">
    <tableColumn id="1" name="Índice de Precios de Materiale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79" name="Tabla4680" displayName="Tabla4680" ref="C4:G5" comment="" totalsRowShown="0">
  <tableColumns count="5">
    <tableColumn id="1" name="Tasa de Impuesto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40" name="Tabla40" displayName="Tabla40" ref="C4:H7" comment="" totalsRowShown="0">
  <tableColumns count="6">
    <tableColumn id="1" name="Índice"/>
    <tableColumn id="2" name="2009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78" name="Tabla78" displayName="Tabla78" ref="B4:F16" comment="" totalsRowShown="0">
  <tableColumns count="5">
    <tableColumn id="1" name="Componente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1.xml><?xml version="1.0" encoding="utf-8"?>
<table xmlns="http://schemas.openxmlformats.org/spreadsheetml/2006/main" id="80" name="Tabla7881" displayName="Tabla7881" ref="B4:C16" comment="" totalsRowShown="0">
  <tableColumns count="2">
    <tableColumn id="1" name="Componentes"/>
    <tableColumn id="2" name="WACC Prospectivo"/>
  </tableColumns>
  <tableStyleInfo name="TableStyleMedium17" showFirstColumn="0" showLastColumn="0" showRowStripes="1" showColumnStripes="0"/>
</table>
</file>

<file path=xl/tables/table22.xml><?xml version="1.0" encoding="utf-8"?>
<table xmlns="http://schemas.openxmlformats.org/spreadsheetml/2006/main" id="15" name="Tabla15" displayName="Tabla15" ref="C4:G9" comment="" totalsRowShown="0">
  <tableColumns count="5">
    <tableColumn id="1" name="Inversiones adicionales  (En USD)"/>
    <tableColumn id="2" name="2010*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3.xml><?xml version="1.0" encoding="utf-8"?>
<table xmlns="http://schemas.openxmlformats.org/spreadsheetml/2006/main" id="47" name="Tabla47" displayName="Tabla47" ref="C4:D8" comment="" totalsRowShown="0">
  <tableColumns count="2">
    <tableColumn id="1" name="Concepto"/>
    <tableColumn id="2" name="Anualidad"/>
  </tableColumns>
  <tableStyleInfo name="TableStyleMedium17" showFirstColumn="0" showLastColumn="0" showRowStripes="1" showColumnStripes="0"/>
</table>
</file>

<file path=xl/tables/table24.xml><?xml version="1.0" encoding="utf-8"?>
<table xmlns="http://schemas.openxmlformats.org/spreadsheetml/2006/main" id="19" name="Tabla19" displayName="Tabla19" ref="C11:E16" comment="" totalsRowShown="0">
  <tableColumns count="3">
    <tableColumn id="1" name="Concepto"/>
    <tableColumn id="2" name="Años de vida útil "/>
    <tableColumn id="3" name="Depreciación "/>
  </tableColumns>
  <tableStyleInfo name="TableStyleMedium17" showFirstColumn="0" showLastColumn="0" showRowStripes="1" showColumnStripes="0"/>
</table>
</file>

<file path=xl/tables/table25.xml><?xml version="1.0" encoding="utf-8"?>
<table xmlns="http://schemas.openxmlformats.org/spreadsheetml/2006/main" id="48" name="Tabla48" displayName="Tabla48" ref="C3:G7" comment="" totalsRowShown="0">
  <tableColumns count="5">
    <tableColumn id="1" name="Depreciación  (En USD)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6.xml><?xml version="1.0" encoding="utf-8"?>
<table xmlns="http://schemas.openxmlformats.org/spreadsheetml/2006/main" id="16" name="Tabla16" displayName="Tabla16" ref="C4:H9" comment="" totalsRowShown="0">
  <tableColumns count="6">
    <tableColumn id="1" name="Stock de Capital (En USD)"/>
    <tableColumn id="2" name="2009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27.xml><?xml version="1.0" encoding="utf-8"?>
<table xmlns="http://schemas.openxmlformats.org/spreadsheetml/2006/main" id="17" name="Tabla218" displayName="Tabla218" ref="C4:G12" comment="" totalsRowShown="0">
  <tableColumns count="5">
    <tableColumn id="1" name="Índice de Cantidades de Capital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18" name="Tabla2419" displayName="Tabla2419" ref="C4:G12" comment="" totalsRowShown="0">
  <tableColumns count="5">
    <tableColumn id="1" name="Índice de Precios de Capital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29.xml><?xml version="1.0" encoding="utf-8"?>
<table xmlns="http://schemas.openxmlformats.org/spreadsheetml/2006/main" id="43" name="Tabla43" displayName="Tabla43" ref="C4:G9" comment="" totalsRowShown="0">
  <tableColumns count="5">
    <tableColumn id="1" name="Índices de Cantidades de Insumo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1" name="Tabla41" displayName="Tabla41" ref="C10:H14" comment="" totalsRowShown="0">
  <tableColumns count="6">
    <tableColumn id="1" name="Índice"/>
    <tableColumn id="2" name="2009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30.xml><?xml version="1.0" encoding="utf-8"?>
<table xmlns="http://schemas.openxmlformats.org/spreadsheetml/2006/main" id="44" name="Tabla4345" displayName="Tabla4345" ref="C4:G9" comment="" totalsRowShown="0">
  <tableColumns count="5">
    <tableColumn id="1" name="Índices de Precios de Insumos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31.xml><?xml version="1.0" encoding="utf-8"?>
<table xmlns="http://schemas.openxmlformats.org/spreadsheetml/2006/main" id="45" name="Tabla434546" displayName="Tabla434546" ref="C4:G9" comment="" totalsRowShown="0">
  <tableColumns count="5">
    <tableColumn id="1" name="Productividad Total de los Factores de la Empresa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32.xml><?xml version="1.0" encoding="utf-8"?>
<table xmlns="http://schemas.openxmlformats.org/spreadsheetml/2006/main" id="46" name="Tabla46" displayName="Tabla46" ref="C4:G6" comment="" totalsRowShown="0">
  <tableColumns count="5">
    <tableColumn id="1" name="Productividad Total de Factores de la Economía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42" name="Tabla42" displayName="Tabla42" ref="C17:H19" comment="" totalsRowShown="0">
  <tableColumns count="6">
    <tableColumn id="1" name="Índice"/>
    <tableColumn id="2" name="2009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0" name="Tabla10" displayName="Tabla10" ref="C4:H13" comment="" totalsRowShown="0">
  <tableColumns count="6">
    <tableColumn id="1" name="Servicios (En USD)"/>
    <tableColumn id="2" name="Unidad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1" name="Tabla1012" displayName="Tabla1012" ref="C4:G13" comment="" totalsRowShown="0">
  <tableColumns count="5">
    <tableColumn id="1" name="Servicios (En USD)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12" name="Tabla1013" displayName="Tabla1013" ref="C4:H13" comment="" totalsRowShown="0">
  <tableColumns count="6">
    <tableColumn id="1" name="Servicios"/>
    <tableColumn id="2" name="Unidad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13" name="Tabla101214" displayName="Tabla101214" ref="C4:G13" comment="" totalsRowShown="0">
  <tableColumns count="5">
    <tableColumn id="1" name="Servicios (En USD)"/>
    <tableColumn id="3" name="2010"/>
    <tableColumn id="4" name="2011"/>
    <tableColumn id="5" name="2012"/>
    <tableColumn id="6" name="2013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14" name="Tabla2915" displayName="Tabla2915" ref="C4:G12" comment="" totalsRowShown="0">
  <tableColumns count="5">
    <tableColumn id="1" name="Índice de Cantidades de Producto"/>
    <tableColumn id="2" name="2010"/>
    <tableColumn id="3" name="2011"/>
    <tableColumn id="4" name="2012"/>
    <tableColumn id="5" name="2013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table" Target="../tables/table11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C4:E12"/>
  <sheetViews>
    <sheetView showGridLines="0" tabSelected="1" zoomScalePageLayoutView="0" workbookViewId="0" topLeftCell="A1">
      <selection activeCell="B20" sqref="B20"/>
    </sheetView>
  </sheetViews>
  <sheetFormatPr defaultColWidth="11.421875" defaultRowHeight="15"/>
  <cols>
    <col min="1" max="2" width="11.421875" style="1" customWidth="1"/>
    <col min="3" max="3" width="37.140625" style="1" bestFit="1" customWidth="1"/>
    <col min="4" max="16384" width="11.421875" style="1" customWidth="1"/>
  </cols>
  <sheetData>
    <row r="4" spans="3:5" ht="12.75">
      <c r="C4" s="98" t="s">
        <v>71</v>
      </c>
      <c r="D4" s="99"/>
      <c r="E4" s="100"/>
    </row>
    <row r="5" spans="3:5" ht="12.75">
      <c r="C5" s="4" t="s">
        <v>75</v>
      </c>
      <c r="D5" s="8">
        <f>+Economía!G6+'Datos Generales'!H19</f>
        <v>0.04140108539256658</v>
      </c>
      <c r="E5" s="6"/>
    </row>
    <row r="6" spans="3:5" ht="12.75">
      <c r="C6" s="4" t="s">
        <v>72</v>
      </c>
      <c r="D6" s="8">
        <f>+'Índice de Precios de Insumos'!G9</f>
        <v>0.07125085223579392</v>
      </c>
      <c r="E6" s="6"/>
    </row>
    <row r="7" spans="3:5" ht="12.75">
      <c r="C7" s="4"/>
      <c r="D7" s="5" t="s">
        <v>8</v>
      </c>
      <c r="E7" s="9">
        <f>+D5-D6</f>
        <v>-0.029849766843227335</v>
      </c>
    </row>
    <row r="8" spans="3:5" ht="12.75">
      <c r="C8" s="98" t="s">
        <v>73</v>
      </c>
      <c r="D8" s="99"/>
      <c r="E8" s="100"/>
    </row>
    <row r="9" spans="3:5" ht="12.75">
      <c r="C9" s="4" t="s">
        <v>74</v>
      </c>
      <c r="D9" s="8">
        <f>+PTF!G9</f>
        <v>0.0842194391213892</v>
      </c>
      <c r="E9" s="6"/>
    </row>
    <row r="10" spans="3:5" ht="12.75">
      <c r="C10" s="4" t="s">
        <v>76</v>
      </c>
      <c r="D10" s="8">
        <f>+Economía!G6</f>
        <v>0.013</v>
      </c>
      <c r="E10" s="6"/>
    </row>
    <row r="11" spans="3:5" ht="12.75">
      <c r="C11" s="4"/>
      <c r="D11" s="5" t="s">
        <v>8</v>
      </c>
      <c r="E11" s="9">
        <f>+D9-D10</f>
        <v>0.0712194391213892</v>
      </c>
    </row>
    <row r="12" spans="3:5" ht="12.75">
      <c r="C12" s="101" t="s">
        <v>9</v>
      </c>
      <c r="D12" s="102"/>
      <c r="E12" s="63">
        <f>+E7+E11</f>
        <v>0.041369672278161865</v>
      </c>
    </row>
  </sheetData>
  <sheetProtection/>
  <mergeCells count="3">
    <mergeCell ref="C4:E4"/>
    <mergeCell ref="C8:E8"/>
    <mergeCell ref="C12:D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C3:G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7.57421875" style="1" bestFit="1" customWidth="1"/>
    <col min="4" max="16384" width="11.421875" style="1" customWidth="1"/>
  </cols>
  <sheetData>
    <row r="3" spans="3:7" ht="12.75">
      <c r="C3" s="1" t="s">
        <v>95</v>
      </c>
      <c r="D3" s="2" t="s">
        <v>77</v>
      </c>
      <c r="E3" s="2" t="s">
        <v>78</v>
      </c>
      <c r="F3" s="2" t="s">
        <v>79</v>
      </c>
      <c r="G3" s="2" t="s">
        <v>80</v>
      </c>
    </row>
    <row r="4" spans="3:7" ht="12.75">
      <c r="C4" s="1" t="s">
        <v>4</v>
      </c>
      <c r="D4" s="7">
        <v>2013509.030019709</v>
      </c>
      <c r="E4" s="7">
        <v>1569769.193897731</v>
      </c>
      <c r="F4" s="7">
        <v>2142171.926137757</v>
      </c>
      <c r="G4" s="7">
        <v>2230862.5655030706</v>
      </c>
    </row>
    <row r="5" spans="3:7" ht="12.75">
      <c r="C5" s="1" t="s">
        <v>29</v>
      </c>
      <c r="D5" s="7">
        <v>9696732.629796874</v>
      </c>
      <c r="E5" s="7">
        <v>11358360.047218373</v>
      </c>
      <c r="F5" s="7">
        <v>13219616.542622246</v>
      </c>
      <c r="G5" s="7">
        <v>14626227.540306238</v>
      </c>
    </row>
    <row r="6" spans="3:7" ht="12.75">
      <c r="C6" s="1" t="s">
        <v>30</v>
      </c>
      <c r="D6" s="7">
        <v>1303840.3807034218</v>
      </c>
      <c r="E6" s="7">
        <v>1514586.6494114578</v>
      </c>
      <c r="F6" s="7">
        <v>1721624.5405674083</v>
      </c>
      <c r="G6" s="7">
        <v>1737818.8251236377</v>
      </c>
    </row>
    <row r="7" spans="3:7" ht="12.75">
      <c r="C7" s="1" t="s">
        <v>49</v>
      </c>
      <c r="D7" s="7">
        <v>0</v>
      </c>
      <c r="E7" s="7">
        <v>1170999</v>
      </c>
      <c r="F7" s="7">
        <v>1953632</v>
      </c>
      <c r="G7" s="7">
        <v>1670641</v>
      </c>
    </row>
    <row r="8" spans="3:7" ht="12.75">
      <c r="C8" s="1" t="s">
        <v>31</v>
      </c>
      <c r="D8" s="7">
        <v>2404417.95948</v>
      </c>
      <c r="E8" s="7">
        <v>1671285.10947244</v>
      </c>
      <c r="F8" s="7">
        <v>4150954.99067259</v>
      </c>
      <c r="G8" s="7">
        <v>2166450.06906705</v>
      </c>
    </row>
    <row r="9" spans="3:7" ht="12.75">
      <c r="C9" s="37" t="s">
        <v>55</v>
      </c>
      <c r="D9" s="7"/>
      <c r="E9" s="7"/>
      <c r="F9" s="7"/>
      <c r="G9" s="7"/>
    </row>
    <row r="10" ht="12.75">
      <c r="C10" s="37" t="s">
        <v>152</v>
      </c>
    </row>
    <row r="13" spans="3:7" ht="12.75">
      <c r="C13" s="1" t="s">
        <v>95</v>
      </c>
      <c r="D13" s="2" t="s">
        <v>77</v>
      </c>
      <c r="E13" s="2" t="s">
        <v>78</v>
      </c>
      <c r="F13" s="2" t="s">
        <v>79</v>
      </c>
      <c r="G13" s="2" t="s">
        <v>80</v>
      </c>
    </row>
    <row r="14" spans="3:7" ht="12.75">
      <c r="C14" s="1" t="s">
        <v>4</v>
      </c>
      <c r="D14" s="7">
        <f>+D4+D4/SUM($D$4:$D$5)*SUM($D$7:$D$8)</f>
        <v>2426934.936503553</v>
      </c>
      <c r="E14" s="7">
        <f>+E4+E4/SUM($E$4:$E$5)*SUM($E$7:$E$8)</f>
        <v>1914887.1883222433</v>
      </c>
      <c r="F14" s="7">
        <f>+F4+F4/SUM($F$4:$F$5)*SUM($F$7:$F$8)</f>
        <v>2993444.868652124</v>
      </c>
      <c r="G14" s="7">
        <f>+G4+G4/SUM($G$4:$G$5)*SUM($G$7:$G$8)</f>
        <v>2738662.1188469706</v>
      </c>
    </row>
    <row r="15" spans="3:7" ht="12.75">
      <c r="C15" s="1" t="s">
        <v>29</v>
      </c>
      <c r="D15" s="7">
        <f>+D5+D5/SUM($D$4:$D$5)*SUM($D$7:$D$8)</f>
        <v>11687724.68279303</v>
      </c>
      <c r="E15" s="7">
        <f>+E5+E5/SUM($E$4:$E$5)*SUM($E$7:$E$8)</f>
        <v>13855526.162266301</v>
      </c>
      <c r="F15" s="7">
        <f>+F5+F5/SUM($F$4:$F$5)*SUM($F$7:$F$8)</f>
        <v>18472930.59078047</v>
      </c>
      <c r="G15" s="7">
        <f>+G5+G5/SUM($G$4:$G$5)*SUM($G$7:$G$8)</f>
        <v>17955519.056029387</v>
      </c>
    </row>
    <row r="16" spans="3:7" ht="12.75">
      <c r="C16" s="1" t="s">
        <v>30</v>
      </c>
      <c r="D16" s="7">
        <f>+D6</f>
        <v>1303840.3807034218</v>
      </c>
      <c r="E16" s="7">
        <f>+E6</f>
        <v>1514586.6494114578</v>
      </c>
      <c r="F16" s="7">
        <f>+F6</f>
        <v>1721624.5405674083</v>
      </c>
      <c r="G16" s="7">
        <f>+G6</f>
        <v>1737818.8251236377</v>
      </c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C4:G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0.7109375" style="1" bestFit="1" customWidth="1"/>
    <col min="4" max="5" width="11.7109375" style="1" bestFit="1" customWidth="1"/>
    <col min="6" max="6" width="11.57421875" style="1" bestFit="1" customWidth="1"/>
    <col min="7" max="7" width="11.7109375" style="1" bestFit="1" customWidth="1"/>
    <col min="8" max="16384" width="11.421875" style="1" customWidth="1"/>
  </cols>
  <sheetData>
    <row r="4" spans="3:7" ht="12.75">
      <c r="C4" s="33" t="s">
        <v>94</v>
      </c>
      <c r="D4" s="2" t="s">
        <v>77</v>
      </c>
      <c r="E4" s="10" t="s">
        <v>78</v>
      </c>
      <c r="F4" s="10" t="s">
        <v>79</v>
      </c>
      <c r="G4" s="10" t="s">
        <v>80</v>
      </c>
    </row>
    <row r="5" spans="3:7" ht="12.75">
      <c r="C5" s="1" t="s">
        <v>4</v>
      </c>
      <c r="D5" s="3">
        <v>20891.19</v>
      </c>
      <c r="E5" s="3">
        <v>16010.11</v>
      </c>
      <c r="F5" s="3">
        <v>18644.26</v>
      </c>
      <c r="G5" s="3">
        <v>20251.71</v>
      </c>
    </row>
    <row r="6" spans="3:7" ht="12.75">
      <c r="C6" s="1" t="s">
        <v>29</v>
      </c>
      <c r="D6" s="3">
        <v>1009144.008</v>
      </c>
      <c r="E6" s="3">
        <v>1102598.8900000001</v>
      </c>
      <c r="F6" s="3">
        <v>1159244.74</v>
      </c>
      <c r="G6" s="3">
        <v>1226518.29</v>
      </c>
    </row>
    <row r="7" spans="3:7" ht="12.75">
      <c r="C7" s="1" t="s">
        <v>5</v>
      </c>
      <c r="D7" s="3">
        <v>203443.2</v>
      </c>
      <c r="E7" s="3">
        <v>210008</v>
      </c>
      <c r="F7" s="3">
        <v>218600</v>
      </c>
      <c r="G7" s="3">
        <v>210200</v>
      </c>
    </row>
    <row r="8" spans="3:7" ht="12.75">
      <c r="C8" s="37" t="s">
        <v>152</v>
      </c>
      <c r="D8" s="3"/>
      <c r="E8" s="3"/>
      <c r="F8" s="3"/>
      <c r="G8" s="3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C4:G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6.7109375" style="1" customWidth="1"/>
    <col min="4" max="16384" width="11.421875" style="1" customWidth="1"/>
  </cols>
  <sheetData>
    <row r="4" spans="3:7" ht="12.75">
      <c r="C4" s="1" t="s">
        <v>62</v>
      </c>
      <c r="D4" s="10" t="s">
        <v>77</v>
      </c>
      <c r="E4" s="10" t="s">
        <v>78</v>
      </c>
      <c r="F4" s="10" t="s">
        <v>79</v>
      </c>
      <c r="G4" s="10" t="s">
        <v>80</v>
      </c>
    </row>
    <row r="5" spans="3:7" ht="12.75">
      <c r="C5" s="1" t="s">
        <v>4</v>
      </c>
      <c r="D5" s="38">
        <f>+GastosSalarios!D14/CantidadDeTrabajo!D5</f>
        <v>116.17025820470509</v>
      </c>
      <c r="E5" s="38">
        <f>+GastosSalarios!E14/CantidadDeTrabajo!E5</f>
        <v>119.6048739404191</v>
      </c>
      <c r="F5" s="38">
        <f>+GastosSalarios!F14/CantidadDeTrabajo!F5</f>
        <v>160.55584231565769</v>
      </c>
      <c r="G5" s="38">
        <f>+GastosSalarios!G14/CantidadDeTrabajo!G5</f>
        <v>135.2311542505285</v>
      </c>
    </row>
    <row r="6" spans="3:7" ht="12.75">
      <c r="C6" s="1" t="s">
        <v>3</v>
      </c>
      <c r="D6" s="38">
        <f>+GastosSalarios!D15/CantidadDeTrabajo!D6</f>
        <v>11.581820424179767</v>
      </c>
      <c r="E6" s="38">
        <f>+GastosSalarios!E15/CantidadDeTrabajo!E6</f>
        <v>12.566243525119365</v>
      </c>
      <c r="F6" s="38">
        <f>+GastosSalarios!F15/CantidadDeTrabajo!F6</f>
        <v>15.935315428543994</v>
      </c>
      <c r="G6" s="38">
        <f>+GastosSalarios!G15/CantidadDeTrabajo!G6</f>
        <v>14.63942217773971</v>
      </c>
    </row>
    <row r="7" spans="3:7" ht="12.75">
      <c r="C7" s="1" t="s">
        <v>5</v>
      </c>
      <c r="D7" s="38">
        <f>+GastosSalarios!D16/CantidadDeTrabajo!D7</f>
        <v>6.408866851796579</v>
      </c>
      <c r="E7" s="38">
        <f>+GastosSalarios!E16/CantidadDeTrabajo!E7</f>
        <v>7.212042633668516</v>
      </c>
      <c r="F7" s="38">
        <f>+GastosSalarios!F16/CantidadDeTrabajo!F7</f>
        <v>7.8756840831079975</v>
      </c>
      <c r="G7" s="38">
        <f>+GastosSalarios!G16/CantidadDeTrabajo!G7</f>
        <v>8.267453972995423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C4:G14"/>
  <sheetViews>
    <sheetView showGridLines="0" zoomScalePageLayoutView="0" workbookViewId="0" topLeftCell="A1">
      <selection activeCell="C12" sqref="C12"/>
    </sheetView>
  </sheetViews>
  <sheetFormatPr defaultColWidth="11.421875" defaultRowHeight="15"/>
  <cols>
    <col min="1" max="2" width="11.421875" style="1" customWidth="1"/>
    <col min="3" max="3" width="35.42187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96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1.0361523018632008</v>
      </c>
      <c r="F5" s="25">
        <f>+F6/F7</f>
        <v>1.0629938440720863</v>
      </c>
      <c r="G5" s="25">
        <f>+G6/G7</f>
        <v>1.054509012492674</v>
      </c>
    </row>
    <row r="6" spans="3:7" ht="15">
      <c r="C6" s="19" t="s">
        <v>0</v>
      </c>
      <c r="E6" s="97">
        <f>+SUMPRODUCT(PrecioImplícitoDeTrabajo!D5:D7,CantidadDeTrabajo!E5:E7)</f>
        <v>15975914.266277768</v>
      </c>
      <c r="F6" s="97">
        <f>+SUMPRODUCT(PrecioImplícitoDeTrabajo!E5:E7,CantidadDeTrabajo!F5:F7)</f>
        <v>18373848.594786014</v>
      </c>
      <c r="G6" s="97">
        <f>+SUMPRODUCT(PrecioImplícitoDeTrabajo!F5:F7,CantidadDeTrabajo!G5:G7)</f>
        <v>24451954.981680125</v>
      </c>
    </row>
    <row r="7" spans="3:7" ht="15">
      <c r="C7" s="19" t="s">
        <v>1</v>
      </c>
      <c r="E7" s="97">
        <f>+SUMPRODUCT(PrecioImplícitoDeTrabajo!D5:D7,CantidadDeTrabajo!D5:D7)</f>
        <v>15418500.000000006</v>
      </c>
      <c r="F7" s="97">
        <f>+SUMPRODUCT(PrecioImplícitoDeTrabajo!E5:E7,CantidadDeTrabajo!E5:E7)</f>
        <v>17285000.000000004</v>
      </c>
      <c r="G7" s="97">
        <f>+SUMPRODUCT(PrecioImplícitoDeTrabajo!F5:F7,CantidadDeTrabajo!F5:F7)</f>
        <v>23188000.000000004</v>
      </c>
    </row>
    <row r="8" spans="3:7" ht="12.75">
      <c r="C8" s="29" t="s">
        <v>91</v>
      </c>
      <c r="D8" s="15"/>
      <c r="E8" s="32">
        <f>+E9/E10</f>
        <v>1.038320325327871</v>
      </c>
      <c r="F8" s="32">
        <f>+F9/F10</f>
        <v>1.0639267039256868</v>
      </c>
      <c r="G8" s="32">
        <f>+G9/G10</f>
        <v>1.0531839393570492</v>
      </c>
    </row>
    <row r="9" spans="3:7" ht="15">
      <c r="C9" s="19" t="s">
        <v>0</v>
      </c>
      <c r="E9" s="97">
        <f>+SUMPRODUCT(PrecioImplícitoDeTrabajo!E5:E7,CantidadDeTrabajo!E5:E7)</f>
        <v>17285000.000000004</v>
      </c>
      <c r="F9" s="97">
        <f>+SUMPRODUCT(PrecioImplícitoDeTrabajo!F5:F7,CantidadDeTrabajo!F5:F7)</f>
        <v>23188000.000000004</v>
      </c>
      <c r="G9" s="97">
        <f>+SUMPRODUCT(PrecioImplícitoDeTrabajo!G5:G7,CantidadDeTrabajo!G5:G7)</f>
        <v>22431999.999999996</v>
      </c>
    </row>
    <row r="10" spans="3:7" ht="15">
      <c r="C10" s="19" t="s">
        <v>1</v>
      </c>
      <c r="E10" s="97">
        <f>+SUMPRODUCT(PrecioImplícitoDeTrabajo!E5:E7,CantidadDeTrabajo!D5:D7)</f>
        <v>16647078.5347883</v>
      </c>
      <c r="F10" s="97">
        <f>+SUMPRODUCT(PrecioImplícitoDeTrabajo!F5:F7,CantidadDeTrabajo!E5:E7)</f>
        <v>21794734.46285416</v>
      </c>
      <c r="G10" s="97">
        <f>+SUMPRODUCT(PrecioImplícitoDeTrabajo!G5:G7,CantidadDeTrabajo!F5:F7)</f>
        <v>21299223.39462786</v>
      </c>
    </row>
    <row r="11" spans="3:7" ht="13.5" thickBot="1">
      <c r="C11" s="29" t="s">
        <v>92</v>
      </c>
      <c r="D11" s="15"/>
      <c r="E11" s="25">
        <f>+SQRT(E5*E8)</f>
        <v>1.0372357471471088</v>
      </c>
      <c r="F11" s="25">
        <f>+SQRT(F5*F8)</f>
        <v>1.063460171711621</v>
      </c>
      <c r="G11" s="25">
        <f>+SQRT(G5*G8)</f>
        <v>1.053846267661724</v>
      </c>
    </row>
    <row r="12" spans="3:7" ht="12.75">
      <c r="C12" s="20" t="s">
        <v>154</v>
      </c>
      <c r="D12" s="26"/>
      <c r="E12" s="27">
        <f>+LN(E11)</f>
        <v>0.036559239135813604</v>
      </c>
      <c r="F12" s="27">
        <f>+LN(F11)</f>
        <v>0.06152790475624009</v>
      </c>
      <c r="G12" s="27">
        <f>+LN(G11)</f>
        <v>0.05244658337271268</v>
      </c>
    </row>
    <row r="13" ht="13.5" thickBot="1"/>
    <row r="14" spans="6:7" ht="13.5" thickBot="1">
      <c r="F14" s="28" t="s">
        <v>22</v>
      </c>
      <c r="G14" s="39">
        <f>+AVERAGE(E12:G12)</f>
        <v>0.05017790908825546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C4:G14"/>
  <sheetViews>
    <sheetView showGridLines="0" zoomScalePageLayoutView="0" workbookViewId="0" topLeftCell="A1">
      <selection activeCell="C5" sqref="C5"/>
    </sheetView>
  </sheetViews>
  <sheetFormatPr defaultColWidth="11.421875" defaultRowHeight="15"/>
  <cols>
    <col min="1" max="2" width="11.421875" style="1" customWidth="1"/>
    <col min="3" max="3" width="32.140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156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1.0796821049251415</v>
      </c>
      <c r="F5" s="25">
        <f>+F6/F7</f>
        <v>1.2609045104341428</v>
      </c>
      <c r="G5" s="25">
        <f>+G6/G7</f>
        <v>0.9185450834322865</v>
      </c>
    </row>
    <row r="6" spans="3:7" ht="15">
      <c r="C6" s="19" t="s">
        <v>0</v>
      </c>
      <c r="E6" s="97">
        <f>+SUMPRODUCT(PrecioImplícitoDeTrabajo!E5:E7,CantidadDeTrabajo!D5:D7)</f>
        <v>16647078.5347883</v>
      </c>
      <c r="F6" s="97">
        <f>+SUMPRODUCT(PrecioImplícitoDeTrabajo!F5:F7,CantidadDeTrabajo!E5:E7)</f>
        <v>21794734.46285416</v>
      </c>
      <c r="G6" s="97">
        <f>+SUMPRODUCT(PrecioImplícitoDeTrabajo!G5:G7,CantidadDeTrabajo!F5:F7)</f>
        <v>21299223.39462786</v>
      </c>
    </row>
    <row r="7" spans="3:7" ht="15">
      <c r="C7" s="19" t="s">
        <v>1</v>
      </c>
      <c r="E7" s="97">
        <f>+SUMPRODUCT(PrecioImplícitoDeTrabajo!D5:D7,CantidadDeTrabajo!D5:D7)</f>
        <v>15418500.000000006</v>
      </c>
      <c r="F7" s="97">
        <f>+SUMPRODUCT(PrecioImplícitoDeTrabajo!E5:E7,CantidadDeTrabajo!E5:E7)</f>
        <v>17285000.000000004</v>
      </c>
      <c r="G7" s="97">
        <f>+SUMPRODUCT(PrecioImplícitoDeTrabajo!F5:F7,CantidadDeTrabajo!F5:F7)</f>
        <v>23188000.000000004</v>
      </c>
    </row>
    <row r="8" spans="3:7" ht="12.75">
      <c r="C8" s="29" t="s">
        <v>91</v>
      </c>
      <c r="D8" s="15"/>
      <c r="E8" s="32">
        <f>+E9/E10</f>
        <v>1.081941209241807</v>
      </c>
      <c r="F8" s="32">
        <f>+F9/F10</f>
        <v>1.262011052305074</v>
      </c>
      <c r="G8" s="32">
        <f>+G9/G10</f>
        <v>0.9173908596186473</v>
      </c>
    </row>
    <row r="9" spans="3:7" ht="15">
      <c r="C9" s="19" t="s">
        <v>0</v>
      </c>
      <c r="E9" s="97">
        <f>+SUMPRODUCT(PrecioImplícitoDeTrabajo!E5:E7,CantidadDeTrabajo!E5:E7)</f>
        <v>17285000.000000004</v>
      </c>
      <c r="F9" s="97">
        <f>+SUMPRODUCT(PrecioImplícitoDeTrabajo!F5:F7,CantidadDeTrabajo!F5:F7)</f>
        <v>23188000.000000004</v>
      </c>
      <c r="G9" s="97">
        <f>+SUMPRODUCT(PrecioImplícitoDeTrabajo!G5:G7,CantidadDeTrabajo!G5:G7)</f>
        <v>22431999.999999996</v>
      </c>
    </row>
    <row r="10" spans="3:7" ht="15">
      <c r="C10" s="19" t="s">
        <v>1</v>
      </c>
      <c r="E10" s="97">
        <f>+SUMPRODUCT(PrecioImplícitoDeTrabajo!D5:D7,CantidadDeTrabajo!E5:E7)</f>
        <v>15975914.266277768</v>
      </c>
      <c r="F10" s="97">
        <f>+SUMPRODUCT(PrecioImplícitoDeTrabajo!E5:E7,CantidadDeTrabajo!F5:F7)</f>
        <v>18373848.594786014</v>
      </c>
      <c r="G10" s="97">
        <f>+SUMPRODUCT(PrecioImplícitoDeTrabajo!F5:F7,CantidadDeTrabajo!G5:G7)</f>
        <v>24451954.981680125</v>
      </c>
    </row>
    <row r="11" spans="3:7" ht="13.5" thickBot="1">
      <c r="C11" s="29" t="s">
        <v>93</v>
      </c>
      <c r="D11" s="15"/>
      <c r="E11" s="25">
        <f>+SQRT(E5*E8)</f>
        <v>1.0808110668379776</v>
      </c>
      <c r="F11" s="25">
        <f>+SQRT(F5*F8)</f>
        <v>1.2614576600382617</v>
      </c>
      <c r="G11" s="25">
        <f>+SQRT(G5*G8)</f>
        <v>0.9179677901148969</v>
      </c>
    </row>
    <row r="12" spans="3:7" ht="12.75">
      <c r="C12" s="20" t="s">
        <v>155</v>
      </c>
      <c r="D12" s="26"/>
      <c r="E12" s="27">
        <f>+LN(E11)</f>
        <v>0.07771174709882482</v>
      </c>
      <c r="F12" s="27">
        <f>+LN(F11)</f>
        <v>0.23226792534765847</v>
      </c>
      <c r="G12" s="27">
        <f>+LN(G11)</f>
        <v>-0.08559297599801995</v>
      </c>
    </row>
    <row r="13" ht="13.5" thickBot="1"/>
    <row r="14" spans="6:7" ht="13.5" thickBot="1">
      <c r="F14" s="28" t="s">
        <v>22</v>
      </c>
      <c r="G14" s="39">
        <f>+AVERAGE(E12:G12)</f>
        <v>0.07479556548282111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C4:G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0.421875" style="1" bestFit="1" customWidth="1"/>
    <col min="4" max="4" width="12.28125" style="1" bestFit="1" customWidth="1"/>
    <col min="5" max="5" width="12.7109375" style="1" bestFit="1" customWidth="1"/>
    <col min="6" max="6" width="12.574218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19" t="s">
        <v>88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9" t="s">
        <v>32</v>
      </c>
      <c r="D5" s="17">
        <v>1797000</v>
      </c>
      <c r="E5" s="17">
        <v>2455000</v>
      </c>
      <c r="F5" s="17">
        <v>3255000</v>
      </c>
      <c r="G5" s="17">
        <v>3163000</v>
      </c>
    </row>
    <row r="6" spans="3:7" ht="12.75">
      <c r="C6" s="19" t="s">
        <v>33</v>
      </c>
      <c r="D6" s="17">
        <v>0</v>
      </c>
      <c r="E6" s="17">
        <v>2909000</v>
      </c>
      <c r="F6" s="17">
        <v>3788000</v>
      </c>
      <c r="G6" s="17">
        <v>3645000</v>
      </c>
    </row>
    <row r="7" spans="3:7" ht="12.75">
      <c r="C7" s="19" t="s">
        <v>53</v>
      </c>
      <c r="D7" s="17">
        <v>0</v>
      </c>
      <c r="E7" s="17">
        <v>948000</v>
      </c>
      <c r="F7" s="17">
        <v>2078000</v>
      </c>
      <c r="G7" s="17">
        <v>2168000</v>
      </c>
    </row>
    <row r="8" spans="3:7" ht="12.75">
      <c r="C8" s="19" t="s">
        <v>34</v>
      </c>
      <c r="D8" s="17">
        <v>0</v>
      </c>
      <c r="E8" s="17">
        <v>416000</v>
      </c>
      <c r="F8" s="17">
        <v>611000</v>
      </c>
      <c r="G8" s="17">
        <v>523000</v>
      </c>
    </row>
    <row r="9" spans="3:7" ht="12.75">
      <c r="C9" s="19" t="s">
        <v>36</v>
      </c>
      <c r="D9" s="17">
        <v>5308500</v>
      </c>
      <c r="E9" s="17">
        <v>968000</v>
      </c>
      <c r="F9" s="17">
        <v>1371000</v>
      </c>
      <c r="G9" s="17">
        <v>2174000</v>
      </c>
    </row>
    <row r="10" spans="3:7" ht="12.75">
      <c r="C10" s="19" t="s">
        <v>35</v>
      </c>
      <c r="D10" s="17">
        <v>0</v>
      </c>
      <c r="E10" s="17">
        <v>700000</v>
      </c>
      <c r="F10" s="17">
        <v>4450000</v>
      </c>
      <c r="G10" s="17">
        <v>4705000</v>
      </c>
    </row>
    <row r="11" spans="3:7" ht="12.75">
      <c r="C11" s="19" t="s">
        <v>54</v>
      </c>
      <c r="D11" s="17">
        <v>0</v>
      </c>
      <c r="E11" s="17">
        <v>362000</v>
      </c>
      <c r="F11" s="17">
        <v>773000</v>
      </c>
      <c r="G11" s="17">
        <v>958000</v>
      </c>
    </row>
    <row r="12" spans="3:7" ht="12.75">
      <c r="C12" s="19" t="s">
        <v>37</v>
      </c>
      <c r="D12" s="17">
        <v>0</v>
      </c>
      <c r="E12" s="17">
        <v>514000</v>
      </c>
      <c r="F12" s="17">
        <v>787000</v>
      </c>
      <c r="G12" s="17">
        <v>920000</v>
      </c>
    </row>
    <row r="13" spans="3:7" ht="12.75">
      <c r="C13" s="19" t="s">
        <v>38</v>
      </c>
      <c r="D13" s="17">
        <v>0</v>
      </c>
      <c r="E13" s="17">
        <v>266000</v>
      </c>
      <c r="F13" s="17">
        <v>299000</v>
      </c>
      <c r="G13" s="17">
        <v>291000</v>
      </c>
    </row>
    <row r="14" spans="3:7" ht="13.5" thickBot="1">
      <c r="C14" s="19" t="s">
        <v>39</v>
      </c>
      <c r="D14" s="17">
        <v>4222495.273973554</v>
      </c>
      <c r="E14" s="17">
        <v>915000</v>
      </c>
      <c r="F14" s="17">
        <v>383000</v>
      </c>
      <c r="G14" s="17">
        <v>1561000</v>
      </c>
    </row>
    <row r="15" spans="3:7" ht="17.25" customHeight="1">
      <c r="C15" s="20" t="s">
        <v>6</v>
      </c>
      <c r="D15" s="16">
        <f>+SUM(D5:D14)</f>
        <v>11327995.273973554</v>
      </c>
      <c r="E15" s="16">
        <f>+SUM(E5:E14)</f>
        <v>10453000</v>
      </c>
      <c r="F15" s="16">
        <f>+SUM(F5:F14)</f>
        <v>17795000</v>
      </c>
      <c r="G15" s="16">
        <f>+SUM(G5:G14)</f>
        <v>20108000</v>
      </c>
    </row>
    <row r="16" ht="12.75">
      <c r="C16" s="37" t="s">
        <v>152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C4:G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0.421875" style="1" bestFit="1" customWidth="1"/>
    <col min="4" max="16384" width="11.421875" style="1" customWidth="1"/>
  </cols>
  <sheetData>
    <row r="3" ht="13.5" thickBot="1"/>
    <row r="4" spans="3:7" ht="13.5" thickBot="1">
      <c r="C4" s="22" t="s">
        <v>52</v>
      </c>
      <c r="D4" s="13">
        <v>2010</v>
      </c>
      <c r="E4" s="13">
        <v>2011</v>
      </c>
      <c r="F4" s="13">
        <v>2012</v>
      </c>
      <c r="G4" s="13">
        <v>2013</v>
      </c>
    </row>
    <row r="5" spans="3:7" ht="12.75">
      <c r="C5" s="21" t="s">
        <v>32</v>
      </c>
      <c r="D5" s="18">
        <v>1797000</v>
      </c>
      <c r="E5" s="18">
        <v>2315233.9357475033</v>
      </c>
      <c r="F5" s="18">
        <v>2836176.0056816344</v>
      </c>
      <c r="G5" s="18">
        <v>2746427.7832095926</v>
      </c>
    </row>
    <row r="6" spans="3:7" ht="12.75">
      <c r="C6" s="19" t="s">
        <v>33</v>
      </c>
      <c r="D6" s="17">
        <v>0</v>
      </c>
      <c r="E6" s="17">
        <v>2743387.1768185287</v>
      </c>
      <c r="F6" s="17">
        <v>3300594.3808055394</v>
      </c>
      <c r="G6" s="17">
        <v>3164947.603477384</v>
      </c>
    </row>
    <row r="7" spans="3:7" ht="12.75">
      <c r="C7" s="21" t="s">
        <v>50</v>
      </c>
      <c r="D7" s="18">
        <v>0</v>
      </c>
      <c r="E7" s="18">
        <v>894029.2346593211</v>
      </c>
      <c r="F7" s="18">
        <v>1810621.7326594274</v>
      </c>
      <c r="G7" s="18">
        <v>1882470.8928227623</v>
      </c>
    </row>
    <row r="8" spans="3:7" ht="12.75">
      <c r="C8" s="19" t="s">
        <v>34</v>
      </c>
      <c r="D8" s="17">
        <v>0</v>
      </c>
      <c r="E8" s="17">
        <v>392316.6261796177</v>
      </c>
      <c r="F8" s="17">
        <v>532382.0397761839</v>
      </c>
      <c r="G8" s="17">
        <v>454120.05394202244</v>
      </c>
    </row>
    <row r="9" spans="3:7" ht="12.75">
      <c r="C9" s="21" t="s">
        <v>36</v>
      </c>
      <c r="D9" s="18">
        <v>5308500</v>
      </c>
      <c r="E9" s="18">
        <v>912890.6109179566</v>
      </c>
      <c r="F9" s="18">
        <v>1194592.1056189004</v>
      </c>
      <c r="G9" s="18">
        <v>1887680.6831165522</v>
      </c>
    </row>
    <row r="10" spans="3:7" ht="12.75">
      <c r="C10" s="19" t="s">
        <v>35</v>
      </c>
      <c r="D10" s="17">
        <v>0</v>
      </c>
      <c r="E10" s="17">
        <v>660148.1690522413</v>
      </c>
      <c r="F10" s="17">
        <v>3877414.2013159054</v>
      </c>
      <c r="G10" s="17">
        <v>4085343.8887136052</v>
      </c>
    </row>
    <row r="11" spans="3:7" ht="12.75">
      <c r="C11" s="21" t="s">
        <v>51</v>
      </c>
      <c r="D11" s="18">
        <v>0</v>
      </c>
      <c r="E11" s="18">
        <v>341390.91028130194</v>
      </c>
      <c r="F11" s="18">
        <v>673537.3432847629</v>
      </c>
      <c r="G11" s="18">
        <v>831829.8502417925</v>
      </c>
    </row>
    <row r="12" spans="3:7" ht="12.75">
      <c r="C12" s="19" t="s">
        <v>37</v>
      </c>
      <c r="D12" s="17">
        <v>0</v>
      </c>
      <c r="E12" s="17">
        <v>484737.3698469315</v>
      </c>
      <c r="F12" s="17">
        <v>685735.9497608129</v>
      </c>
      <c r="G12" s="17">
        <v>798834.5117144563</v>
      </c>
    </row>
    <row r="13" spans="3:7" ht="12.75">
      <c r="C13" s="21" t="s">
        <v>38</v>
      </c>
      <c r="D13" s="18">
        <v>0</v>
      </c>
      <c r="E13" s="18">
        <v>250856.30423985168</v>
      </c>
      <c r="F13" s="18">
        <v>260527.3811670687</v>
      </c>
      <c r="G13" s="18">
        <v>252674.82924881173</v>
      </c>
    </row>
    <row r="14" spans="3:7" ht="13.5" thickBot="1">
      <c r="C14" s="23" t="s">
        <v>39</v>
      </c>
      <c r="D14" s="24">
        <v>4222495.273973554</v>
      </c>
      <c r="E14" s="24">
        <v>862907.9638325726</v>
      </c>
      <c r="F14" s="24">
        <v>333719.02002336894</v>
      </c>
      <c r="G14" s="24">
        <v>1355413.7747676808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C4:K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0.421875" style="1" bestFit="1" customWidth="1"/>
    <col min="4" max="16384" width="11.421875" style="1" customWidth="1"/>
  </cols>
  <sheetData>
    <row r="3" ht="13.5" thickBot="1"/>
    <row r="4" spans="3:7" ht="13.5" thickBot="1">
      <c r="C4" s="22" t="s">
        <v>58</v>
      </c>
      <c r="D4" s="13">
        <v>2010</v>
      </c>
      <c r="E4" s="13">
        <v>2011</v>
      </c>
      <c r="F4" s="13">
        <v>2012</v>
      </c>
      <c r="G4" s="13">
        <v>2013</v>
      </c>
    </row>
    <row r="5" spans="3:7" ht="12.75">
      <c r="C5" s="21" t="s">
        <v>32</v>
      </c>
      <c r="D5" s="49">
        <f>+'Datos Generales'!$E$13</f>
        <v>1</v>
      </c>
      <c r="E5" s="49">
        <f>+'Datos Generales'!$F$13</f>
        <v>1.0603680095106118</v>
      </c>
      <c r="F5" s="49">
        <f>+'Datos Generales'!$G$13</f>
        <v>1.147672074469055</v>
      </c>
      <c r="G5" s="49">
        <f>+'Datos Generales'!$H$13</f>
        <v>1.1516778337799887</v>
      </c>
    </row>
    <row r="6" spans="3:11" ht="12.75">
      <c r="C6" s="19" t="s">
        <v>33</v>
      </c>
      <c r="D6" s="48">
        <f>+'Datos Generales'!$E$13</f>
        <v>1</v>
      </c>
      <c r="E6" s="48">
        <f>+'Datos Generales'!$F$13</f>
        <v>1.0603680095106118</v>
      </c>
      <c r="F6" s="48">
        <f>+'Datos Generales'!$G$13</f>
        <v>1.147672074469055</v>
      </c>
      <c r="G6" s="48">
        <f>+'Datos Generales'!$H$13</f>
        <v>1.1516778337799887</v>
      </c>
      <c r="H6" s="55"/>
      <c r="I6" s="55"/>
      <c r="J6" s="55"/>
      <c r="K6" s="55"/>
    </row>
    <row r="7" spans="3:7" ht="12.75">
      <c r="C7" s="21" t="s">
        <v>50</v>
      </c>
      <c r="D7" s="49">
        <f>+'Datos Generales'!$E$13</f>
        <v>1</v>
      </c>
      <c r="E7" s="49">
        <f>+'Datos Generales'!$F$13</f>
        <v>1.0603680095106118</v>
      </c>
      <c r="F7" s="49">
        <f>+'Datos Generales'!$G$13</f>
        <v>1.147672074469055</v>
      </c>
      <c r="G7" s="49">
        <f>+'Datos Generales'!$H$13</f>
        <v>1.1516778337799887</v>
      </c>
    </row>
    <row r="8" spans="3:7" ht="12.75">
      <c r="C8" s="19" t="s">
        <v>34</v>
      </c>
      <c r="D8" s="48">
        <f>+'Datos Generales'!$E$13</f>
        <v>1</v>
      </c>
      <c r="E8" s="48">
        <f>+'Datos Generales'!$F$13</f>
        <v>1.0603680095106118</v>
      </c>
      <c r="F8" s="48">
        <f>+'Datos Generales'!$G$13</f>
        <v>1.147672074469055</v>
      </c>
      <c r="G8" s="48">
        <f>+'Datos Generales'!$H$13</f>
        <v>1.1516778337799887</v>
      </c>
    </row>
    <row r="9" spans="3:7" ht="12.75">
      <c r="C9" s="21" t="s">
        <v>36</v>
      </c>
      <c r="D9" s="49">
        <f>+'Datos Generales'!$E$13</f>
        <v>1</v>
      </c>
      <c r="E9" s="49">
        <f>+'Datos Generales'!$F$13</f>
        <v>1.0603680095106118</v>
      </c>
      <c r="F9" s="49">
        <f>+'Datos Generales'!$G$13</f>
        <v>1.147672074469055</v>
      </c>
      <c r="G9" s="49">
        <f>+'Datos Generales'!$H$13</f>
        <v>1.1516778337799887</v>
      </c>
    </row>
    <row r="10" spans="3:7" ht="12.75">
      <c r="C10" s="19" t="s">
        <v>35</v>
      </c>
      <c r="D10" s="48">
        <f>+'Datos Generales'!$E$13</f>
        <v>1</v>
      </c>
      <c r="E10" s="48">
        <f>+'Datos Generales'!$F$13</f>
        <v>1.0603680095106118</v>
      </c>
      <c r="F10" s="48">
        <f>+'Datos Generales'!$G$13</f>
        <v>1.147672074469055</v>
      </c>
      <c r="G10" s="48">
        <f>+'Datos Generales'!$H$13</f>
        <v>1.1516778337799887</v>
      </c>
    </row>
    <row r="11" spans="3:7" ht="12.75">
      <c r="C11" s="21" t="s">
        <v>51</v>
      </c>
      <c r="D11" s="49">
        <f>+'Datos Generales'!$E$13</f>
        <v>1</v>
      </c>
      <c r="E11" s="49">
        <f>+'Datos Generales'!$F$13</f>
        <v>1.0603680095106118</v>
      </c>
      <c r="F11" s="49">
        <f>+'Datos Generales'!$G$13</f>
        <v>1.147672074469055</v>
      </c>
      <c r="G11" s="49">
        <f>+'Datos Generales'!$H$13</f>
        <v>1.1516778337799887</v>
      </c>
    </row>
    <row r="12" spans="3:7" ht="12.75">
      <c r="C12" s="19" t="s">
        <v>37</v>
      </c>
      <c r="D12" s="48">
        <f>+'Datos Generales'!$E$13</f>
        <v>1</v>
      </c>
      <c r="E12" s="48">
        <f>+'Datos Generales'!$F$13</f>
        <v>1.0603680095106118</v>
      </c>
      <c r="F12" s="48">
        <f>+'Datos Generales'!$G$13</f>
        <v>1.147672074469055</v>
      </c>
      <c r="G12" s="48">
        <f>+'Datos Generales'!$H$13</f>
        <v>1.1516778337799887</v>
      </c>
    </row>
    <row r="13" spans="3:7" ht="12.75">
      <c r="C13" s="21" t="s">
        <v>38</v>
      </c>
      <c r="D13" s="49">
        <f>+'Datos Generales'!$E$13</f>
        <v>1</v>
      </c>
      <c r="E13" s="49">
        <f>+'Datos Generales'!$F$13</f>
        <v>1.0603680095106118</v>
      </c>
      <c r="F13" s="49">
        <f>+'Datos Generales'!$G$13</f>
        <v>1.147672074469055</v>
      </c>
      <c r="G13" s="49">
        <f>+'Datos Generales'!$H$13</f>
        <v>1.1516778337799887</v>
      </c>
    </row>
    <row r="14" spans="3:7" ht="13.5" thickBot="1">
      <c r="C14" s="23" t="s">
        <v>39</v>
      </c>
      <c r="D14" s="90">
        <f>+'Datos Generales'!$E$13</f>
        <v>1</v>
      </c>
      <c r="E14" s="90">
        <f>+'Datos Generales'!$F$13</f>
        <v>1.0603680095106118</v>
      </c>
      <c r="F14" s="90">
        <f>+'Datos Generales'!$G$13</f>
        <v>1.147672074469055</v>
      </c>
      <c r="G14" s="90">
        <f>+'Datos Generales'!$H$13</f>
        <v>1.1516778337799887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C4:G14"/>
  <sheetViews>
    <sheetView showGridLines="0" zoomScalePageLayoutView="0" workbookViewId="0" topLeftCell="A1">
      <selection activeCell="C13" sqref="C13"/>
    </sheetView>
  </sheetViews>
  <sheetFormatPr defaultColWidth="11.421875" defaultRowHeight="15"/>
  <cols>
    <col min="1" max="2" width="11.421875" style="1" customWidth="1"/>
    <col min="3" max="3" width="38.140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63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0.8702244362888</v>
      </c>
      <c r="F5" s="25">
        <f>+F6/F7</f>
        <v>1.5728809210392256</v>
      </c>
      <c r="G5" s="25">
        <f>+G6/G7</f>
        <v>1.1260500403720826</v>
      </c>
    </row>
    <row r="6" spans="3:7" ht="12.75">
      <c r="C6" s="19" t="s">
        <v>0</v>
      </c>
      <c r="E6" s="30">
        <v>9857898.301575826</v>
      </c>
      <c r="F6" s="30">
        <v>16441324.267623026</v>
      </c>
      <c r="G6" s="30">
        <v>20038060.46842121</v>
      </c>
    </row>
    <row r="7" spans="3:7" ht="12.75">
      <c r="C7" s="19" t="s">
        <v>1</v>
      </c>
      <c r="E7" s="30">
        <v>11327995.273973554</v>
      </c>
      <c r="F7" s="30">
        <v>10453000</v>
      </c>
      <c r="G7" s="30">
        <v>17795000</v>
      </c>
    </row>
    <row r="8" spans="3:7" ht="12.75">
      <c r="C8" s="29" t="s">
        <v>91</v>
      </c>
      <c r="D8" s="15"/>
      <c r="E8" s="32">
        <f>+E9/E10</f>
        <v>0.8702244362888</v>
      </c>
      <c r="F8" s="32">
        <f>+F9/F10</f>
        <v>1.5728809210392256</v>
      </c>
      <c r="G8" s="32">
        <f>+G9/G10</f>
        <v>1.1260500403720823</v>
      </c>
    </row>
    <row r="9" spans="3:7" ht="12.75">
      <c r="C9" s="19" t="s">
        <v>0</v>
      </c>
      <c r="E9" s="30">
        <v>10453000</v>
      </c>
      <c r="F9" s="30">
        <v>17795000</v>
      </c>
      <c r="G9" s="30">
        <v>20108000</v>
      </c>
    </row>
    <row r="10" spans="3:7" ht="12.75">
      <c r="C10" s="19" t="s">
        <v>1</v>
      </c>
      <c r="E10" s="30">
        <v>12011843.800408956</v>
      </c>
      <c r="F10" s="30">
        <v>11313634.593674505</v>
      </c>
      <c r="G10" s="30">
        <v>17857110.500485115</v>
      </c>
    </row>
    <row r="11" spans="3:7" ht="13.5" thickBot="1">
      <c r="C11" s="29" t="s">
        <v>92</v>
      </c>
      <c r="D11" s="15"/>
      <c r="E11" s="25">
        <f>+SQRT(E5*E8)</f>
        <v>0.8702244362888</v>
      </c>
      <c r="F11" s="25">
        <f>+SQRT(F5*F8)</f>
        <v>1.5728809210392256</v>
      </c>
      <c r="G11" s="25">
        <f>+SQRT(G5*G8)</f>
        <v>1.1260500403720826</v>
      </c>
    </row>
    <row r="12" spans="3:7" ht="12.75">
      <c r="C12" s="20" t="s">
        <v>158</v>
      </c>
      <c r="D12" s="26"/>
      <c r="E12" s="27">
        <f>+LN(E11)</f>
        <v>-0.13900412785700775</v>
      </c>
      <c r="F12" s="27">
        <f>+LN(F11)</f>
        <v>0.45290891939193934</v>
      </c>
      <c r="G12" s="27">
        <f>+LN(G11)</f>
        <v>0.11871596955781634</v>
      </c>
    </row>
    <row r="13" ht="13.5" thickBot="1"/>
    <row r="14" spans="6:7" ht="13.5" thickBot="1">
      <c r="F14" s="28" t="s">
        <v>22</v>
      </c>
      <c r="G14" s="39">
        <f>+AVERAGE(E12:G12)</f>
        <v>0.14420692036424929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C4:G14"/>
  <sheetViews>
    <sheetView showGridLines="0" zoomScalePageLayoutView="0" workbookViewId="0" topLeftCell="A1">
      <selection activeCell="H31" sqref="H31"/>
    </sheetView>
  </sheetViews>
  <sheetFormatPr defaultColWidth="11.421875" defaultRowHeight="15"/>
  <cols>
    <col min="1" max="2" width="11.421875" style="1" customWidth="1"/>
    <col min="3" max="3" width="34.8515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64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1.0603680095106118</v>
      </c>
      <c r="F5" s="25">
        <f>+F6/F7</f>
        <v>1.0823337409044778</v>
      </c>
      <c r="G5" s="25">
        <f>+G6/G7</f>
        <v>1.0034903343908466</v>
      </c>
    </row>
    <row r="6" spans="3:7" ht="12.75">
      <c r="C6" s="19" t="s">
        <v>0</v>
      </c>
      <c r="E6" s="30">
        <v>12011843.800408956</v>
      </c>
      <c r="F6" s="30">
        <v>11313634.593674505</v>
      </c>
      <c r="G6" s="30">
        <v>17857110.500485115</v>
      </c>
    </row>
    <row r="7" spans="3:7" ht="12.75">
      <c r="C7" s="19" t="s">
        <v>1</v>
      </c>
      <c r="E7" s="30">
        <v>11327995.273973554</v>
      </c>
      <c r="F7" s="30">
        <v>10453000</v>
      </c>
      <c r="G7" s="30">
        <v>17795000</v>
      </c>
    </row>
    <row r="8" spans="3:7" ht="12.75">
      <c r="C8" s="29" t="s">
        <v>91</v>
      </c>
      <c r="D8" s="15"/>
      <c r="E8" s="32">
        <f>+E9/E10</f>
        <v>1.0603680095106118</v>
      </c>
      <c r="F8" s="32">
        <f>+F9/F10</f>
        <v>1.0823337409044775</v>
      </c>
      <c r="G8" s="32">
        <f>+G9/G10</f>
        <v>1.0034903343908463</v>
      </c>
    </row>
    <row r="9" spans="3:7" ht="12.75">
      <c r="C9" s="19" t="s">
        <v>0</v>
      </c>
      <c r="E9" s="30">
        <v>10453000</v>
      </c>
      <c r="F9" s="30">
        <v>17795000</v>
      </c>
      <c r="G9" s="30">
        <v>20108000</v>
      </c>
    </row>
    <row r="10" spans="3:7" ht="12.75">
      <c r="C10" s="19" t="s">
        <v>1</v>
      </c>
      <c r="E10" s="30">
        <v>9857898.301575826</v>
      </c>
      <c r="F10" s="30">
        <v>16441324.267623026</v>
      </c>
      <c r="G10" s="30">
        <v>20038060.46842121</v>
      </c>
    </row>
    <row r="11" spans="3:7" ht="13.5" thickBot="1">
      <c r="C11" s="29" t="s">
        <v>93</v>
      </c>
      <c r="D11" s="15"/>
      <c r="E11" s="25">
        <f>+SQRT(E5*E8)</f>
        <v>1.0603680095106118</v>
      </c>
      <c r="F11" s="25">
        <f>+SQRT(F5*F8)</f>
        <v>1.0823337409044778</v>
      </c>
      <c r="G11" s="25">
        <f>+SQRT(G5*G8)</f>
        <v>1.0034903343908463</v>
      </c>
    </row>
    <row r="12" spans="3:7" ht="12.75">
      <c r="C12" s="20" t="s">
        <v>159</v>
      </c>
      <c r="D12" s="26"/>
      <c r="E12" s="27">
        <f>+LN(E11)</f>
        <v>0.05861602665496317</v>
      </c>
      <c r="F12" s="27">
        <f>+LN(F11)</f>
        <v>0.07911958101964665</v>
      </c>
      <c r="G12" s="27">
        <f>+LN(G11)</f>
        <v>0.0034842573103563896</v>
      </c>
    </row>
    <row r="13" ht="13.5" thickBot="1"/>
    <row r="14" spans="6:7" ht="13.5" thickBot="1">
      <c r="F14" s="28" t="s">
        <v>22</v>
      </c>
      <c r="G14" s="39">
        <f>+AVERAGE(E12:G12)</f>
        <v>0.047073288328322076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4:H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140625" style="1" bestFit="1" customWidth="1"/>
    <col min="4" max="16384" width="11.421875" style="1" customWidth="1"/>
  </cols>
  <sheetData>
    <row r="4" spans="3:8" ht="12.75">
      <c r="C4" s="1" t="s">
        <v>122</v>
      </c>
      <c r="D4" s="2" t="s">
        <v>89</v>
      </c>
      <c r="E4" s="2" t="s">
        <v>77</v>
      </c>
      <c r="F4" s="2" t="s">
        <v>78</v>
      </c>
      <c r="G4" s="2" t="s">
        <v>79</v>
      </c>
      <c r="H4" s="2" t="s">
        <v>80</v>
      </c>
    </row>
    <row r="5" spans="3:8" ht="12.75">
      <c r="C5" s="1" t="s">
        <v>10</v>
      </c>
      <c r="D5" s="48">
        <v>92.476885</v>
      </c>
      <c r="E5" s="48">
        <v>89.873999</v>
      </c>
      <c r="F5" s="48">
        <v>94.126677</v>
      </c>
      <c r="G5" s="48">
        <v>98.541925</v>
      </c>
      <c r="H5" s="48">
        <v>97.705693</v>
      </c>
    </row>
    <row r="6" spans="3:8" ht="12.75">
      <c r="C6" s="1" t="s">
        <v>11</v>
      </c>
      <c r="D6" s="48">
        <v>91.04532</v>
      </c>
      <c r="E6" s="48">
        <v>89.935178</v>
      </c>
      <c r="F6" s="48">
        <v>94.724743</v>
      </c>
      <c r="G6" s="48">
        <v>98.668118</v>
      </c>
      <c r="H6" s="48">
        <v>97.779778</v>
      </c>
    </row>
    <row r="7" spans="3:8" ht="12.75">
      <c r="C7" s="1" t="s">
        <v>12</v>
      </c>
      <c r="D7" s="48">
        <v>90.59181</v>
      </c>
      <c r="E7" s="48">
        <v>90.17055</v>
      </c>
      <c r="F7" s="48">
        <v>95.356216</v>
      </c>
      <c r="G7" s="48">
        <v>99.267855</v>
      </c>
      <c r="H7" s="48">
        <v>98.055379</v>
      </c>
    </row>
    <row r="8" spans="3:8" ht="12.75">
      <c r="C8" s="1" t="s">
        <v>13</v>
      </c>
      <c r="D8" s="48">
        <v>89.953482</v>
      </c>
      <c r="E8" s="48">
        <v>90.383057</v>
      </c>
      <c r="F8" s="48">
        <v>96.414997</v>
      </c>
      <c r="G8" s="48">
        <v>99.385498</v>
      </c>
      <c r="H8" s="48">
        <v>98.102304</v>
      </c>
    </row>
    <row r="9" spans="3:8" ht="12.75">
      <c r="C9" s="1" t="s">
        <v>14</v>
      </c>
      <c r="D9" s="48">
        <v>89.341132</v>
      </c>
      <c r="E9" s="48">
        <v>91.111791</v>
      </c>
      <c r="F9" s="48">
        <v>96.705141</v>
      </c>
      <c r="G9" s="48">
        <v>99.052024</v>
      </c>
      <c r="H9" s="48">
        <v>97.812589</v>
      </c>
    </row>
    <row r="10" spans="3:8" ht="12.75">
      <c r="C10" s="1" t="s">
        <v>15</v>
      </c>
      <c r="D10" s="48">
        <v>89.002058</v>
      </c>
      <c r="E10" s="48">
        <v>91.208873</v>
      </c>
      <c r="F10" s="48">
        <v>97.000249</v>
      </c>
      <c r="G10" s="48">
        <v>98.983909</v>
      </c>
      <c r="H10" s="48">
        <v>98.612014</v>
      </c>
    </row>
    <row r="11" spans="3:8" ht="12.75">
      <c r="C11" s="1" t="s">
        <v>16</v>
      </c>
      <c r="D11" s="48">
        <v>89.046927</v>
      </c>
      <c r="E11" s="48">
        <v>91.220282</v>
      </c>
      <c r="F11" s="48">
        <v>97.309443</v>
      </c>
      <c r="G11" s="48">
        <v>98.152412</v>
      </c>
      <c r="H11" s="48">
        <v>99.567893</v>
      </c>
    </row>
    <row r="12" spans="3:8" ht="12.75">
      <c r="C12" s="1" t="s">
        <v>17</v>
      </c>
      <c r="D12" s="48">
        <v>88.672576</v>
      </c>
      <c r="E12" s="48">
        <v>91.553394</v>
      </c>
      <c r="F12" s="48">
        <v>97.741892</v>
      </c>
      <c r="G12" s="48">
        <v>98.387716</v>
      </c>
      <c r="H12" s="48">
        <v>100.409275</v>
      </c>
    </row>
    <row r="13" spans="3:8" ht="12.75">
      <c r="C13" s="1" t="s">
        <v>18</v>
      </c>
      <c r="D13" s="48">
        <v>88.620061</v>
      </c>
      <c r="E13" s="48">
        <v>91.758878</v>
      </c>
      <c r="F13" s="48">
        <v>98.397795</v>
      </c>
      <c r="G13" s="48">
        <v>98.782712</v>
      </c>
      <c r="H13" s="48">
        <v>100.930875</v>
      </c>
    </row>
    <row r="14" spans="3:8" ht="12.75">
      <c r="C14" s="1" t="s">
        <v>19</v>
      </c>
      <c r="D14" s="48">
        <v>88.762422</v>
      </c>
      <c r="E14" s="48">
        <v>91.902109</v>
      </c>
      <c r="F14" s="48">
        <v>98.60872</v>
      </c>
      <c r="G14" s="48">
        <v>98.806767</v>
      </c>
      <c r="H14" s="48">
        <v>100.51232</v>
      </c>
    </row>
    <row r="15" spans="3:8" ht="12.75">
      <c r="C15" s="1" t="s">
        <v>20</v>
      </c>
      <c r="D15" s="48">
        <v>88.702522</v>
      </c>
      <c r="E15" s="48">
        <v>92.723306</v>
      </c>
      <c r="F15" s="48">
        <v>99.02183</v>
      </c>
      <c r="G15" s="48">
        <v>98.583945</v>
      </c>
      <c r="H15" s="48">
        <v>100.10692</v>
      </c>
    </row>
    <row r="16" spans="3:8" ht="13.5" thickBot="1">
      <c r="C16" s="1" t="s">
        <v>21</v>
      </c>
      <c r="D16" s="48">
        <v>89.146929</v>
      </c>
      <c r="E16" s="48">
        <v>93.218581</v>
      </c>
      <c r="F16" s="48">
        <v>99.055683</v>
      </c>
      <c r="G16" s="48">
        <v>98.469826</v>
      </c>
      <c r="H16" s="48">
        <v>100</v>
      </c>
    </row>
    <row r="17" spans="3:8" ht="12.75">
      <c r="C17" s="50" t="s">
        <v>22</v>
      </c>
      <c r="D17" s="51">
        <f>+AVERAGE(D5:D16)</f>
        <v>89.61351033333335</v>
      </c>
      <c r="E17" s="51">
        <f>+AVERAGE(E5:E16)</f>
        <v>91.25499983333333</v>
      </c>
      <c r="F17" s="51">
        <f>+AVERAGE(F5:F16)</f>
        <v>97.03861549999999</v>
      </c>
      <c r="G17" s="51">
        <f>+AVERAGE(G5:G16)</f>
        <v>98.75689225</v>
      </c>
      <c r="H17" s="51">
        <f>+AVERAGE(H5:H16)</f>
        <v>99.13292000000001</v>
      </c>
    </row>
    <row r="18" spans="3:8" ht="12.75">
      <c r="C18" s="37" t="s">
        <v>150</v>
      </c>
      <c r="D18" s="96"/>
      <c r="E18" s="96"/>
      <c r="F18" s="96"/>
      <c r="G18" s="96"/>
      <c r="H18" s="96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C4:H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6.421875" style="1" bestFit="1" customWidth="1"/>
    <col min="4" max="16384" width="11.421875" style="1" customWidth="1"/>
  </cols>
  <sheetData>
    <row r="4" spans="3:8" ht="12.75">
      <c r="C4" s="1" t="s">
        <v>146</v>
      </c>
      <c r="D4" s="2" t="s">
        <v>77</v>
      </c>
      <c r="E4" s="2" t="s">
        <v>78</v>
      </c>
      <c r="F4" s="2" t="s">
        <v>79</v>
      </c>
      <c r="G4" s="2" t="s">
        <v>80</v>
      </c>
      <c r="H4" s="2"/>
    </row>
    <row r="5" spans="3:7" ht="12.75">
      <c r="C5" s="1" t="s">
        <v>146</v>
      </c>
      <c r="D5" s="59">
        <v>0.335</v>
      </c>
      <c r="E5" s="59">
        <v>0.3</v>
      </c>
      <c r="F5" s="59">
        <v>0.3</v>
      </c>
      <c r="G5" s="59">
        <v>0.3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B4:F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8.8515625" style="1" bestFit="1" customWidth="1"/>
    <col min="3" max="16384" width="11.421875" style="1" customWidth="1"/>
  </cols>
  <sheetData>
    <row r="4" spans="2:6" ht="12.75">
      <c r="B4" s="1" t="s">
        <v>84</v>
      </c>
      <c r="C4" s="10" t="s">
        <v>77</v>
      </c>
      <c r="D4" s="10" t="s">
        <v>78</v>
      </c>
      <c r="E4" s="10" t="s">
        <v>79</v>
      </c>
      <c r="F4" s="10" t="s">
        <v>80</v>
      </c>
    </row>
    <row r="5" spans="2:6" ht="13.5" thickBot="1">
      <c r="B5" s="83" t="s">
        <v>140</v>
      </c>
      <c r="C5" s="84">
        <f>+(C13*C14)+(C15*C16)*(1-C11)</f>
        <v>0.0656164985366477</v>
      </c>
      <c r="D5" s="84">
        <f>+(D13*D14)+(D15*D16)*(1-D11)</f>
        <v>0.07471815943535637</v>
      </c>
      <c r="E5" s="84">
        <f>+(E13*E14)+(E15*E16)*(1-E11)</f>
        <v>0.08257318680905826</v>
      </c>
      <c r="F5" s="84">
        <f>+(F13*F14)+(F15*F16)*(1-F11)</f>
        <v>0.09235883757260693</v>
      </c>
    </row>
    <row r="6" spans="2:6" ht="12.75">
      <c r="B6" s="1" t="s">
        <v>85</v>
      </c>
      <c r="C6" s="79">
        <v>0.052821858646182544</v>
      </c>
      <c r="D6" s="79">
        <v>0.05410199544794958</v>
      </c>
      <c r="E6" s="79">
        <v>0.0538150980871524</v>
      </c>
      <c r="F6" s="79">
        <v>0.05213067034261026</v>
      </c>
    </row>
    <row r="7" spans="2:6" ht="12.75">
      <c r="B7" s="1" t="s">
        <v>141</v>
      </c>
      <c r="C7" s="79">
        <v>0.017213991211559858</v>
      </c>
      <c r="D7" s="79">
        <v>0.019105221783047868</v>
      </c>
      <c r="E7" s="79">
        <v>0.01571034255599472</v>
      </c>
      <c r="F7" s="79">
        <v>0.01585808976355029</v>
      </c>
    </row>
    <row r="8" spans="2:6" ht="12.75">
      <c r="B8" s="1" t="s">
        <v>142</v>
      </c>
      <c r="C8" s="79">
        <v>0.06033929431585635</v>
      </c>
      <c r="D8" s="79">
        <v>0.057961807447116</v>
      </c>
      <c r="E8" s="79">
        <v>0.058799787743468904</v>
      </c>
      <c r="F8" s="79">
        <v>0.06291254075255331</v>
      </c>
    </row>
    <row r="9" spans="2:6" ht="12.75">
      <c r="B9" s="86" t="s">
        <v>143</v>
      </c>
      <c r="C9" s="85">
        <v>0.7242918579814498</v>
      </c>
      <c r="D9" s="85">
        <v>0.6968133537742219</v>
      </c>
      <c r="E9" s="85">
        <v>0.7213433109025602</v>
      </c>
      <c r="F9" s="85">
        <v>0.7523756265877057</v>
      </c>
    </row>
    <row r="10" spans="2:6" ht="12.75">
      <c r="B10" s="86" t="s">
        <v>81</v>
      </c>
      <c r="C10" s="85">
        <v>6.139230769230769</v>
      </c>
      <c r="D10" s="85">
        <v>4.186917261311867</v>
      </c>
      <c r="E10" s="85">
        <v>2.5436025962341753</v>
      </c>
      <c r="F10" s="85">
        <v>1.8465448768864179</v>
      </c>
    </row>
    <row r="11" spans="2:6" ht="12.75">
      <c r="B11" s="86" t="s">
        <v>145</v>
      </c>
      <c r="C11" s="79">
        <f>+TasaDeImpuesto!D5</f>
        <v>0.335</v>
      </c>
      <c r="D11" s="79">
        <f>+TasaDeImpuesto!E5</f>
        <v>0.3</v>
      </c>
      <c r="E11" s="79">
        <f>+TasaDeImpuesto!F5</f>
        <v>0.3</v>
      </c>
      <c r="F11" s="79">
        <f>+TasaDeImpuesto!G5</f>
        <v>0.3</v>
      </c>
    </row>
    <row r="12" spans="2:6" ht="13.5" thickBot="1">
      <c r="B12" s="1" t="s">
        <v>86</v>
      </c>
      <c r="C12" s="85">
        <f>+C9*(1+(1-C11)*C10)</f>
        <v>3.6812774401627713</v>
      </c>
      <c r="D12" s="85">
        <f>+D9*(1+(1-D11)*D10)</f>
        <v>2.7390632549551532</v>
      </c>
      <c r="E12" s="85">
        <f>+E9*(1+(1-E11)*E10)</f>
        <v>2.0057108137740958</v>
      </c>
      <c r="F12" s="85">
        <f>+F9*(1+(1-F11)*F10)</f>
        <v>1.7248823777265214</v>
      </c>
    </row>
    <row r="13" spans="2:6" ht="13.5" thickBot="1">
      <c r="B13" s="82" t="s">
        <v>87</v>
      </c>
      <c r="C13" s="87">
        <f>+C6+C7+(C12*C8)</f>
        <v>0.29216153277804613</v>
      </c>
      <c r="D13" s="87">
        <f>+D6+D7+(D12*D8)</f>
        <v>0.23196827420017885</v>
      </c>
      <c r="E13" s="87">
        <f>+E6+E7+(E12*E8)</f>
        <v>0.18746081076784424</v>
      </c>
      <c r="F13" s="87">
        <f>+F6+F7+(F12*F8)</f>
        <v>0.1765054929882414</v>
      </c>
    </row>
    <row r="14" spans="2:6" ht="12.75">
      <c r="B14" s="1" t="s">
        <v>83</v>
      </c>
      <c r="C14" s="79">
        <v>0.14007111302661351</v>
      </c>
      <c r="D14" s="79">
        <v>0.19279274174253586</v>
      </c>
      <c r="E14" s="79">
        <v>0.2821986870262232</v>
      </c>
      <c r="F14" s="79">
        <v>0.35130308610971595</v>
      </c>
    </row>
    <row r="15" spans="2:6" ht="13.5" thickBot="1">
      <c r="B15" s="1" t="s">
        <v>82</v>
      </c>
      <c r="C15" s="79">
        <v>0.8599288869733865</v>
      </c>
      <c r="D15" s="79">
        <v>0.8072072582574641</v>
      </c>
      <c r="E15" s="79">
        <v>0.7178013129737768</v>
      </c>
      <c r="F15" s="79">
        <v>0.648696913890284</v>
      </c>
    </row>
    <row r="16" spans="2:6" ht="12.75">
      <c r="B16" s="80" t="s">
        <v>144</v>
      </c>
      <c r="C16" s="89">
        <v>0.04318088737201365</v>
      </c>
      <c r="D16" s="89">
        <v>0.053086666666666664</v>
      </c>
      <c r="E16" s="89">
        <v>0.05905333333333333</v>
      </c>
      <c r="F16" s="89">
        <v>0.06684150183150184</v>
      </c>
    </row>
    <row r="19" spans="3:6" ht="12.75">
      <c r="C19" s="94"/>
      <c r="D19" s="94"/>
      <c r="E19" s="94"/>
      <c r="F19" s="9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4:E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8.8515625" style="1" bestFit="1" customWidth="1"/>
    <col min="3" max="3" width="16.421875" style="1" bestFit="1" customWidth="1"/>
    <col min="4" max="16384" width="11.421875" style="1" customWidth="1"/>
  </cols>
  <sheetData>
    <row r="4" spans="2:4" ht="12.75">
      <c r="B4" s="1" t="s">
        <v>84</v>
      </c>
      <c r="C4" s="10" t="s">
        <v>147</v>
      </c>
      <c r="D4" s="92"/>
    </row>
    <row r="5" spans="2:4" ht="13.5" thickBot="1">
      <c r="B5" s="83" t="s">
        <v>140</v>
      </c>
      <c r="C5" s="84">
        <f>+(C13*C14)+(C15*C16)*(1-C11)</f>
        <v>0.06997010769769502</v>
      </c>
      <c r="D5" s="91"/>
    </row>
    <row r="6" spans="2:4" ht="12.75">
      <c r="B6" s="1" t="s">
        <v>85</v>
      </c>
      <c r="C6" s="79">
        <v>0.052821858646182544</v>
      </c>
      <c r="D6" s="91"/>
    </row>
    <row r="7" spans="2:4" ht="12.75">
      <c r="B7" s="1" t="s">
        <v>141</v>
      </c>
      <c r="C7" s="79">
        <v>0.02320213430480021</v>
      </c>
      <c r="D7" s="91"/>
    </row>
    <row r="8" spans="2:4" ht="12.75">
      <c r="B8" s="1" t="s">
        <v>142</v>
      </c>
      <c r="C8" s="79">
        <v>0.06033929431585635</v>
      </c>
      <c r="D8" s="91"/>
    </row>
    <row r="9" spans="2:4" ht="12.75">
      <c r="B9" s="86" t="s">
        <v>143</v>
      </c>
      <c r="C9" s="85">
        <v>0.7051278817025527</v>
      </c>
      <c r="D9" s="91"/>
    </row>
    <row r="10" spans="2:4" ht="12.75">
      <c r="B10" s="86" t="s">
        <v>81</v>
      </c>
      <c r="C10" s="85">
        <v>1.5</v>
      </c>
      <c r="D10" s="91"/>
    </row>
    <row r="11" spans="2:4" ht="12.75">
      <c r="B11" s="86" t="s">
        <v>145</v>
      </c>
      <c r="C11" s="79">
        <v>0.30000000000000004</v>
      </c>
      <c r="D11" s="91"/>
    </row>
    <row r="12" spans="2:4" ht="13.5" thickBot="1">
      <c r="B12" s="1" t="s">
        <v>86</v>
      </c>
      <c r="C12" s="85">
        <f>+C9*(1+(1-C11)*C10)</f>
        <v>1.445512157490233</v>
      </c>
      <c r="D12" s="95"/>
    </row>
    <row r="13" spans="2:4" ht="13.5" thickBot="1">
      <c r="B13" s="82" t="s">
        <v>87</v>
      </c>
      <c r="C13" s="87">
        <f>+C6+C7+(C12*C8)</f>
        <v>0.1632451764589344</v>
      </c>
      <c r="D13" s="91"/>
    </row>
    <row r="14" spans="2:5" ht="12.75">
      <c r="B14" s="1" t="s">
        <v>83</v>
      </c>
      <c r="C14" s="79">
        <v>0.25</v>
      </c>
      <c r="D14" s="91"/>
      <c r="E14" s="93"/>
    </row>
    <row r="15" spans="2:4" ht="13.5" thickBot="1">
      <c r="B15" s="1" t="s">
        <v>82</v>
      </c>
      <c r="C15" s="79">
        <v>0.75</v>
      </c>
      <c r="D15" s="91"/>
    </row>
    <row r="16" spans="2:4" ht="12.75">
      <c r="B16" s="80" t="s">
        <v>144</v>
      </c>
      <c r="C16" s="81">
        <v>0.055540597300878874</v>
      </c>
      <c r="D16" s="9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C4:G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8.421875" style="1" customWidth="1"/>
    <col min="4" max="5" width="11.57421875" style="1" bestFit="1" customWidth="1"/>
    <col min="6" max="6" width="11.7109375" style="1" bestFit="1" customWidth="1"/>
    <col min="7" max="7" width="12.00390625" style="1" bestFit="1" customWidth="1"/>
    <col min="8" max="16384" width="11.421875" style="1" customWidth="1"/>
  </cols>
  <sheetData>
    <row r="4" spans="3:7" ht="12.75">
      <c r="C4" s="19" t="s">
        <v>102</v>
      </c>
      <c r="D4" s="2" t="s">
        <v>149</v>
      </c>
      <c r="E4" s="2" t="s">
        <v>78</v>
      </c>
      <c r="F4" s="2" t="s">
        <v>79</v>
      </c>
      <c r="G4" s="2" t="s">
        <v>80</v>
      </c>
    </row>
    <row r="5" spans="3:7" ht="12.75">
      <c r="C5" s="19" t="s">
        <v>42</v>
      </c>
      <c r="D5" s="30">
        <v>260086.64</v>
      </c>
      <c r="E5" s="30">
        <v>1738158.38</v>
      </c>
      <c r="F5" s="30">
        <v>1173204.66</v>
      </c>
      <c r="G5" s="30">
        <v>1270554.99</v>
      </c>
    </row>
    <row r="6" spans="3:7" ht="12.75">
      <c r="C6" s="19" t="s">
        <v>43</v>
      </c>
      <c r="D6" s="30">
        <v>329547.23</v>
      </c>
      <c r="E6" s="30">
        <v>205541.41999999998</v>
      </c>
      <c r="F6" s="30">
        <v>658876.0599999999</v>
      </c>
      <c r="G6" s="30">
        <v>641767.41</v>
      </c>
    </row>
    <row r="7" spans="3:7" ht="12.75">
      <c r="C7" s="19" t="s">
        <v>44</v>
      </c>
      <c r="D7" s="30">
        <v>0</v>
      </c>
      <c r="E7" s="30">
        <v>1205566.71</v>
      </c>
      <c r="F7" s="30">
        <v>0</v>
      </c>
      <c r="G7" s="30">
        <v>535867.6</v>
      </c>
    </row>
    <row r="8" spans="3:7" ht="13.5" thickBot="1">
      <c r="C8" s="19" t="s">
        <v>45</v>
      </c>
      <c r="D8" s="30">
        <v>0</v>
      </c>
      <c r="E8" s="30">
        <v>307520.924621963</v>
      </c>
      <c r="F8" s="30">
        <v>0</v>
      </c>
      <c r="G8" s="30">
        <v>0</v>
      </c>
    </row>
    <row r="9" spans="3:7" ht="12.75">
      <c r="C9" s="20" t="s">
        <v>56</v>
      </c>
      <c r="D9" s="41">
        <f>+SUM(D5:D8)</f>
        <v>589633.87</v>
      </c>
      <c r="E9" s="41">
        <f>+SUM(E5:E8)</f>
        <v>3456787.4346219627</v>
      </c>
      <c r="F9" s="41">
        <f>+SUM(F5:F8)</f>
        <v>1832080.7199999997</v>
      </c>
      <c r="G9" s="41">
        <f>+SUM(G5:G8)</f>
        <v>2448190</v>
      </c>
    </row>
    <row r="10" ht="12.75">
      <c r="C10" s="37" t="s">
        <v>101</v>
      </c>
    </row>
    <row r="11" ht="12.75">
      <c r="C11" s="37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C4:D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47" customWidth="1"/>
    <col min="3" max="3" width="24.00390625" style="47" bestFit="1" customWidth="1"/>
    <col min="4" max="4" width="12.421875" style="47" bestFit="1" customWidth="1"/>
    <col min="5" max="16384" width="11.421875" style="47" customWidth="1"/>
  </cols>
  <sheetData>
    <row r="4" spans="3:4" ht="12.75">
      <c r="C4" s="73" t="s">
        <v>7</v>
      </c>
      <c r="D4" s="67" t="s">
        <v>136</v>
      </c>
    </row>
    <row r="5" spans="3:4" ht="12.75">
      <c r="C5" s="70" t="s">
        <v>138</v>
      </c>
      <c r="D5" s="66">
        <v>213500000</v>
      </c>
    </row>
    <row r="6" spans="3:4" ht="12.75">
      <c r="C6" s="70" t="s">
        <v>40</v>
      </c>
      <c r="D6" s="71">
        <f>+'WACC Prospectivo'!C5</f>
        <v>0.06997010769769502</v>
      </c>
    </row>
    <row r="7" spans="3:4" ht="13.5" thickBot="1">
      <c r="C7" s="70" t="s">
        <v>137</v>
      </c>
      <c r="D7" s="72">
        <v>26</v>
      </c>
    </row>
    <row r="8" spans="3:4" ht="12.75">
      <c r="C8" s="68" t="s">
        <v>41</v>
      </c>
      <c r="D8" s="69">
        <f>+PMT(D6,D7,-D5)</f>
        <v>18048797.96304945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C3:G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2.00390625" style="1" bestFit="1" customWidth="1"/>
    <col min="4" max="4" width="14.7109375" style="1" bestFit="1" customWidth="1"/>
    <col min="5" max="5" width="15.140625" style="1" customWidth="1"/>
    <col min="6" max="16384" width="11.421875" style="1" customWidth="1"/>
  </cols>
  <sheetData>
    <row r="3" spans="3:7" ht="13.5" thickBot="1">
      <c r="C3" s="57" t="s">
        <v>139</v>
      </c>
      <c r="D3" s="74" t="s">
        <v>77</v>
      </c>
      <c r="E3" s="74" t="s">
        <v>78</v>
      </c>
      <c r="F3" s="74" t="s">
        <v>79</v>
      </c>
      <c r="G3" s="74" t="s">
        <v>80</v>
      </c>
    </row>
    <row r="4" spans="3:7" ht="12.75">
      <c r="C4" s="14" t="s">
        <v>42</v>
      </c>
      <c r="D4" s="35"/>
      <c r="E4" s="35">
        <f>+InversionesAdicionales!D5*Depreciación!E13</f>
        <v>10003.332307692317</v>
      </c>
      <c r="F4" s="35">
        <f>+InversionesAdicionales!E5*Depreciación!E13+E4</f>
        <v>76855.57769230775</v>
      </c>
      <c r="G4" s="35">
        <f>+InversionesAdicionales!F5*Depreciación!E13+F4</f>
        <v>121978.83384615395</v>
      </c>
    </row>
    <row r="5" spans="3:7" ht="12.75">
      <c r="C5" s="1" t="s">
        <v>43</v>
      </c>
      <c r="D5" s="7"/>
      <c r="E5" s="7">
        <f>+InversionesAdicionales!D6*Depreciación!E14</f>
        <v>32954.723</v>
      </c>
      <c r="F5" s="7">
        <f>+InversionesAdicionales!E6*Depreciación!E14+E5</f>
        <v>53508.865</v>
      </c>
      <c r="G5" s="7">
        <f>+InversionesAdicionales!F6*Depreciación!E14+F5</f>
        <v>119396.47099999999</v>
      </c>
    </row>
    <row r="6" spans="3:7" ht="12.75">
      <c r="C6" s="14" t="s">
        <v>44</v>
      </c>
      <c r="D6" s="35"/>
      <c r="E6" s="35">
        <f>+InversionesAdicionales!D7*Depreciación!E15</f>
        <v>0</v>
      </c>
      <c r="F6" s="35">
        <f>+InversionesAdicionales!E7*Depreciación!E15+E6</f>
        <v>46367.950384615426</v>
      </c>
      <c r="G6" s="35">
        <f>+InversionesAdicionales!F7*Depreciación!E15+F6</f>
        <v>46367.950384615426</v>
      </c>
    </row>
    <row r="7" spans="3:7" ht="12.75">
      <c r="C7" s="1" t="s">
        <v>45</v>
      </c>
      <c r="D7" s="7"/>
      <c r="E7" s="7">
        <f>+InversionesAdicionales!D8*Depreciación!E16</f>
        <v>0</v>
      </c>
      <c r="F7" s="7">
        <f>+InversionesAdicionales!E8*Depreciación!E16+E7</f>
        <v>11827.727870075501</v>
      </c>
      <c r="G7" s="7">
        <f>+InversionesAdicionales!F8*Depreciación!E16+F7</f>
        <v>11827.727870075501</v>
      </c>
    </row>
    <row r="11" spans="3:5" ht="12.75">
      <c r="C11" s="1" t="s">
        <v>7</v>
      </c>
      <c r="D11" s="1" t="s">
        <v>46</v>
      </c>
      <c r="E11" s="1" t="s">
        <v>47</v>
      </c>
    </row>
    <row r="12" spans="3:5" ht="12.75">
      <c r="C12" s="1" t="s">
        <v>41</v>
      </c>
      <c r="D12" s="2">
        <v>26</v>
      </c>
      <c r="E12" s="44">
        <v>0.0384615384615385</v>
      </c>
    </row>
    <row r="13" spans="3:5" ht="12.75">
      <c r="C13" s="1" t="s">
        <v>42</v>
      </c>
      <c r="D13" s="2">
        <v>26</v>
      </c>
      <c r="E13" s="44">
        <v>0.0384615384615385</v>
      </c>
    </row>
    <row r="14" spans="3:5" ht="12.75">
      <c r="C14" s="1" t="s">
        <v>48</v>
      </c>
      <c r="D14" s="2">
        <v>10</v>
      </c>
      <c r="E14" s="44">
        <v>0.1</v>
      </c>
    </row>
    <row r="15" spans="3:5" ht="12.75">
      <c r="C15" s="1" t="s">
        <v>66</v>
      </c>
      <c r="D15" s="2">
        <v>26</v>
      </c>
      <c r="E15" s="44">
        <v>0.0384615384615385</v>
      </c>
    </row>
    <row r="16" spans="3:5" ht="12.75">
      <c r="C16" s="1" t="s">
        <v>65</v>
      </c>
      <c r="D16" s="2">
        <v>26</v>
      </c>
      <c r="E16" s="44">
        <v>0.038461538461538464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C4:H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28125" style="1" customWidth="1"/>
    <col min="4" max="16384" width="11.421875" style="1" customWidth="1"/>
  </cols>
  <sheetData>
    <row r="4" spans="3:8" ht="12.75">
      <c r="C4" s="1" t="s">
        <v>103</v>
      </c>
      <c r="D4" s="10" t="s">
        <v>89</v>
      </c>
      <c r="E4" s="10" t="s">
        <v>77</v>
      </c>
      <c r="F4" s="10" t="s">
        <v>78</v>
      </c>
      <c r="G4" s="10" t="s">
        <v>79</v>
      </c>
      <c r="H4" s="10" t="s">
        <v>80</v>
      </c>
    </row>
    <row r="5" spans="3:8" ht="12.75">
      <c r="C5" s="1" t="s">
        <v>41</v>
      </c>
      <c r="D5" s="76">
        <f>+Anualidad!$D$8</f>
        <v>18048797.96304945</v>
      </c>
      <c r="E5" s="76">
        <f>+Anualidad!$D$8</f>
        <v>18048797.96304945</v>
      </c>
      <c r="F5" s="76">
        <f>+Anualidad!$D$8</f>
        <v>18048797.96304945</v>
      </c>
      <c r="G5" s="76">
        <f>+Anualidad!$D$8</f>
        <v>18048797.96304945</v>
      </c>
      <c r="H5" s="76">
        <f>+Anualidad!$D$8</f>
        <v>18048797.96304945</v>
      </c>
    </row>
    <row r="6" spans="3:8" ht="12.75">
      <c r="C6" s="1" t="s">
        <v>42</v>
      </c>
      <c r="D6" s="76">
        <v>0</v>
      </c>
      <c r="E6" s="76">
        <f>+SUM(InversionesAdicionales!$D$5:D5)-SUM(Depreciación!$D$4:D4)</f>
        <v>260086.64</v>
      </c>
      <c r="F6" s="76">
        <f>+SUM(InversionesAdicionales!$D$5:E5)-SUM(Depreciación!$D$4:E4)</f>
        <v>1988241.6876923076</v>
      </c>
      <c r="G6" s="76">
        <f>+SUM(InversionesAdicionales!$D$5:F5)-SUM(Depreciación!$D$4:F4)</f>
        <v>3084590.7699999996</v>
      </c>
      <c r="H6" s="76">
        <f>+SUM(InversionesAdicionales!$D$5:G5)-SUM(Depreciación!$D$4:G4)</f>
        <v>4233166.926153846</v>
      </c>
    </row>
    <row r="7" spans="3:8" ht="12.75">
      <c r="C7" s="1" t="s">
        <v>43</v>
      </c>
      <c r="D7" s="76">
        <v>0</v>
      </c>
      <c r="E7" s="76">
        <f>+SUM(InversionesAdicionales!$D$6:D6)-SUM(Depreciación!$D$5:D5)</f>
        <v>329547.23</v>
      </c>
      <c r="F7" s="76">
        <f>+SUM(InversionesAdicionales!$D$6:E6)-SUM(Depreciación!$D$5:E5)</f>
        <v>502133.9269999999</v>
      </c>
      <c r="G7" s="76">
        <f>+SUM(InversionesAdicionales!$D$6:F6)-SUM(Depreciación!$D$5:F5)</f>
        <v>1107501.122</v>
      </c>
      <c r="H7" s="76">
        <f>+SUM(InversionesAdicionales!$D$6:G6)-SUM(Depreciación!$D$5:G5)</f>
        <v>1629872.0610000002</v>
      </c>
    </row>
    <row r="8" spans="3:8" ht="12.75">
      <c r="C8" s="1" t="s">
        <v>66</v>
      </c>
      <c r="D8" s="76">
        <v>0</v>
      </c>
      <c r="E8" s="76">
        <f>+SUM(InversionesAdicionales!$D$7:D7)-SUM(Depreciación!$D$6:D6)</f>
        <v>0</v>
      </c>
      <c r="F8" s="76">
        <f>+SUM(InversionesAdicionales!$D$7:E7)-SUM(Depreciación!$D$6:E6)</f>
        <v>1205566.71</v>
      </c>
      <c r="G8" s="76">
        <f>+SUM(InversionesAdicionales!$D$7:F7)-SUM(Depreciación!$D$6:F6)</f>
        <v>1159198.7596153845</v>
      </c>
      <c r="H8" s="76">
        <f>+SUM(InversionesAdicionales!$D$7:G7)-SUM(Depreciación!$D$6:G6)</f>
        <v>1648698.4092307691</v>
      </c>
    </row>
    <row r="9" spans="3:8" ht="12.75">
      <c r="C9" s="1" t="s">
        <v>65</v>
      </c>
      <c r="D9" s="76">
        <v>0</v>
      </c>
      <c r="E9" s="76">
        <f>+SUM(InversionesAdicionales!$D$8:D8)-SUM(Depreciación!$D$7:D7)</f>
        <v>0</v>
      </c>
      <c r="F9" s="76">
        <f>+SUM(InversionesAdicionales!$D$8:E8)-SUM(Depreciación!$D$7:E7)</f>
        <v>307520.924621963</v>
      </c>
      <c r="G9" s="76">
        <f>+SUM(InversionesAdicionales!$D$8:F8)-SUM(Depreciación!$D$7:F7)</f>
        <v>295693.1967518875</v>
      </c>
      <c r="H9" s="76">
        <f>+SUM(InversionesAdicionales!$D$8:G8)-SUM(Depreciación!$D$7:G7)</f>
        <v>283865.468881812</v>
      </c>
    </row>
    <row r="16" ht="12.75">
      <c r="F16" s="75"/>
    </row>
  </sheetData>
  <sheetProtection/>
  <printOptions/>
  <pageMargins left="0.7" right="0.7" top="0.75" bottom="0.75" header="0.3" footer="0.3"/>
  <pageSetup orientation="portrait" paperSize="9"/>
  <ignoredErrors>
    <ignoredError sqref="F6:H9" formulaRange="1"/>
  </ignoredErrors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C6:H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1.140625" style="1" bestFit="1" customWidth="1"/>
    <col min="4" max="16384" width="11.421875" style="1" customWidth="1"/>
  </cols>
  <sheetData>
    <row r="5" ht="13.5" thickBot="1"/>
    <row r="6" spans="3:8" ht="13.5" thickBot="1">
      <c r="C6" s="12" t="s">
        <v>57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</row>
    <row r="7" spans="3:8" ht="12.75">
      <c r="C7" s="14" t="s">
        <v>41</v>
      </c>
      <c r="D7" s="77">
        <f>+StockCapital!D5/'Datos Generales'!$D$12</f>
        <v>18379405.61622322</v>
      </c>
      <c r="E7" s="77">
        <f>+StockCapital!E5/'Datos Generales'!$E$12</f>
        <v>18048797.96304945</v>
      </c>
      <c r="F7" s="77">
        <f>+StockCapital!F5/'Datos Generales'!$F$12</f>
        <v>16973068.36689096</v>
      </c>
      <c r="G7" s="77">
        <f>+StockCapital!G5/'Datos Generales'!$G$12</f>
        <v>16677752.991057131</v>
      </c>
      <c r="H7" s="77">
        <f>+StockCapital!H5/'Datos Generales'!$H$12</f>
        <v>16614491.483857676</v>
      </c>
    </row>
    <row r="8" spans="3:8" ht="12.75">
      <c r="C8" s="1" t="s">
        <v>42</v>
      </c>
      <c r="D8" s="76"/>
      <c r="E8" s="76">
        <f>+StockCapital!E6/'Datos Generales'!$E$12</f>
        <v>260086.64</v>
      </c>
      <c r="F8" s="76">
        <f>+StockCapital!F6/'Datos Generales'!$F$12</f>
        <v>1869740.1435925055</v>
      </c>
      <c r="G8" s="76">
        <f>+StockCapital!G6/'Datos Generales'!$G$12</f>
        <v>2850275.295112392</v>
      </c>
      <c r="H8" s="76">
        <f>+StockCapital!H6/'Datos Generales'!$H$12</f>
        <v>3896764.537356928</v>
      </c>
    </row>
    <row r="9" spans="3:8" ht="12.75">
      <c r="C9" s="14" t="s">
        <v>43</v>
      </c>
      <c r="D9" s="77"/>
      <c r="E9" s="77">
        <f>+StockCapital!E7/'Datos Generales'!$E$12</f>
        <v>329547.23</v>
      </c>
      <c r="F9" s="77">
        <f>+StockCapital!F7/'Datos Generales'!$F$12</f>
        <v>472206.1541026006</v>
      </c>
      <c r="G9" s="77">
        <f>+StockCapital!G7/'Datos Generales'!$G$12</f>
        <v>1023371.7607038862</v>
      </c>
      <c r="H9" s="77">
        <f>+StockCapital!H7/'Datos Generales'!$H$12</f>
        <v>1500348.9724191485</v>
      </c>
    </row>
    <row r="10" spans="3:8" ht="12.75">
      <c r="C10" s="1" t="s">
        <v>66</v>
      </c>
      <c r="D10" s="76"/>
      <c r="E10" s="76">
        <v>0</v>
      </c>
      <c r="F10" s="76">
        <f>+StockCapital!F8/'Datos Generales'!$F$12</f>
        <v>1133713.515524366</v>
      </c>
      <c r="G10" s="76">
        <f>+StockCapital!G8/'Datos Generales'!$G$12</f>
        <v>1071142.2788367674</v>
      </c>
      <c r="H10" s="76">
        <f>+StockCapital!H8/'Datos Generales'!$H$12</f>
        <v>1517679.2236077657</v>
      </c>
    </row>
    <row r="11" spans="3:8" ht="13.5" thickBot="1">
      <c r="C11" s="11" t="s">
        <v>65</v>
      </c>
      <c r="D11" s="78"/>
      <c r="E11" s="78">
        <v>0</v>
      </c>
      <c r="F11" s="78">
        <f>+StockCapital!F9/'Datos Generales'!$F$12</f>
        <v>289192.31566245656</v>
      </c>
      <c r="G11" s="78">
        <f>+StockCapital!G9/'Datos Generales'!$G$12</f>
        <v>273231.3867471998</v>
      </c>
      <c r="H11" s="78">
        <f>+StockCapital!H9/'Datos Generales'!$H$12</f>
        <v>261307.17541154684</v>
      </c>
    </row>
    <row r="14" ht="13.5" thickBot="1"/>
    <row r="15" spans="3:8" ht="13.5" thickBot="1">
      <c r="C15" s="12" t="s">
        <v>104</v>
      </c>
      <c r="D15" s="34">
        <v>2009</v>
      </c>
      <c r="E15" s="34">
        <v>2010</v>
      </c>
      <c r="F15" s="34">
        <v>2011</v>
      </c>
      <c r="G15" s="34">
        <v>2012</v>
      </c>
      <c r="H15" s="34">
        <v>2013</v>
      </c>
    </row>
    <row r="16" spans="3:8" ht="12.75">
      <c r="C16" s="14" t="s">
        <v>41</v>
      </c>
      <c r="D16" s="35"/>
      <c r="E16" s="35">
        <f aca="true" t="shared" si="0" ref="E16:H18">+AVERAGE(D7:E7)</f>
        <v>18214101.789636336</v>
      </c>
      <c r="F16" s="35">
        <f t="shared" si="0"/>
        <v>17510933.164970204</v>
      </c>
      <c r="G16" s="35">
        <f t="shared" si="0"/>
        <v>16825410.678974047</v>
      </c>
      <c r="H16" s="35">
        <f t="shared" si="0"/>
        <v>16646122.237457404</v>
      </c>
    </row>
    <row r="17" spans="3:8" ht="12.75">
      <c r="C17" s="1" t="s">
        <v>42</v>
      </c>
      <c r="D17" s="7"/>
      <c r="E17" s="7">
        <f t="shared" si="0"/>
        <v>260086.64</v>
      </c>
      <c r="F17" s="7">
        <f t="shared" si="0"/>
        <v>1064913.3917962527</v>
      </c>
      <c r="G17" s="7">
        <f t="shared" si="0"/>
        <v>2360007.719352449</v>
      </c>
      <c r="H17" s="7">
        <f t="shared" si="0"/>
        <v>3373519.91623466</v>
      </c>
    </row>
    <row r="18" spans="3:8" ht="12.75">
      <c r="C18" s="14" t="s">
        <v>43</v>
      </c>
      <c r="D18" s="35"/>
      <c r="E18" s="35">
        <f t="shared" si="0"/>
        <v>329547.23</v>
      </c>
      <c r="F18" s="35">
        <f t="shared" si="0"/>
        <v>400876.6920513003</v>
      </c>
      <c r="G18" s="35">
        <f t="shared" si="0"/>
        <v>747788.9574032434</v>
      </c>
      <c r="H18" s="35">
        <f t="shared" si="0"/>
        <v>1261860.3665615174</v>
      </c>
    </row>
    <row r="19" spans="3:8" ht="12.75">
      <c r="C19" s="1" t="s">
        <v>44</v>
      </c>
      <c r="D19" s="7"/>
      <c r="E19" s="7">
        <v>0</v>
      </c>
      <c r="F19" s="7">
        <f aca="true" t="shared" si="1" ref="F19:H20">+AVERAGE(E10:F10)</f>
        <v>566856.757762183</v>
      </c>
      <c r="G19" s="7">
        <f t="shared" si="1"/>
        <v>1102427.8971805666</v>
      </c>
      <c r="H19" s="7">
        <f t="shared" si="1"/>
        <v>1294410.7512222666</v>
      </c>
    </row>
    <row r="20" spans="3:8" ht="13.5" thickBot="1">
      <c r="C20" s="11" t="s">
        <v>65</v>
      </c>
      <c r="D20" s="36"/>
      <c r="E20" s="36">
        <v>0</v>
      </c>
      <c r="F20" s="36">
        <f t="shared" si="1"/>
        <v>144596.15783122828</v>
      </c>
      <c r="G20" s="36">
        <f t="shared" si="1"/>
        <v>281211.8512048282</v>
      </c>
      <c r="H20" s="36">
        <f t="shared" si="1"/>
        <v>267269.2810793733</v>
      </c>
    </row>
  </sheetData>
  <sheetProtection/>
  <printOptions/>
  <pageMargins left="0.7" right="0.7" top="0.75" bottom="0.75" header="0.3" footer="0.3"/>
  <pageSetup orientation="portrait" paperSize="9"/>
  <ignoredErrors>
    <ignoredError sqref="E16:H18 F20:H20 F19:H19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C4:H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1.8515625" style="1" bestFit="1" customWidth="1"/>
    <col min="4" max="16384" width="11.421875" style="1" customWidth="1"/>
  </cols>
  <sheetData>
    <row r="3" ht="13.5" thickBot="1"/>
    <row r="4" spans="3:8" ht="13.5" thickBot="1">
      <c r="C4" s="22" t="s">
        <v>105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</row>
    <row r="5" spans="3:8" ht="12.75">
      <c r="C5" s="21" t="s">
        <v>41</v>
      </c>
      <c r="D5" s="31"/>
      <c r="E5" s="42">
        <f>+('Datos Generales'!$E$12*Depreciación!E12+'Datos Generales'!$D$12*WACC!$C$5-('Datos Generales'!$E$12-'Datos Generales'!$D$12))/(1-TasaDeImpuesto!$D$5)</f>
        <v>0.1276838961086919</v>
      </c>
      <c r="F5" s="42">
        <f>+('Datos Generales'!$F$12*Depreciación!E12+'Datos Generales'!$E$12*WACC!$D$5-('Datos Generales'!$F$12-'Datos Generales'!$E$12))/(1-TasaDeImpuesto!$E$5)</f>
        <v>0.07462674313216351</v>
      </c>
      <c r="G5" s="42">
        <f>+('Datos Generales'!$G$12*Depreciación!E12+'Datos Generales'!$F$12*WACC!$E$5-('Datos Generales'!$G$12-'Datos Generales'!$F$12))/(1-TasaDeImpuesto!$F$5)</f>
        <v>0.1580007827895563</v>
      </c>
      <c r="H5" s="42">
        <f>+('Datos Generales'!$H$12*Depreciación!E12+'Datos Generales'!$G$12*WACC!$F$5-('Datos Generales'!$H$12-'Datos Generales'!$G$12))/(1-TasaDeImpuesto!$G$5)</f>
        <v>0.1965895983595932</v>
      </c>
    </row>
    <row r="6" spans="3:8" ht="12.75">
      <c r="C6" s="19" t="s">
        <v>42</v>
      </c>
      <c r="D6" s="30"/>
      <c r="E6" s="43">
        <f>+('Datos Generales'!$E$12*Depreciación!E13+'Datos Generales'!$D$12*WACC!$C$5-('Datos Generales'!$E$12-'Datos Generales'!$D$12))/(1-TasaDeImpuesto!$D$5)</f>
        <v>0.1276838961086919</v>
      </c>
      <c r="F6" s="43">
        <f>+('Datos Generales'!$F$12*Depreciación!E13+'Datos Generales'!$E$12*WACC!$D$5-('Datos Generales'!$F$12-'Datos Generales'!$E$12))/(1-TasaDeImpuesto!$E$5)</f>
        <v>0.07462674313216351</v>
      </c>
      <c r="G6" s="43">
        <f>+('Datos Generales'!$G$12*Depreciación!E13+'Datos Generales'!$F$12*WACC!$E$5-('Datos Generales'!$G$12-'Datos Generales'!$F$12))/(1-TasaDeImpuesto!$F$5)</f>
        <v>0.1580007827895563</v>
      </c>
      <c r="H6" s="43">
        <f>+('Datos Generales'!$H$12*Depreciación!E13+'Datos Generales'!$G$12*WACC!$F$5-('Datos Generales'!$H$12-'Datos Generales'!$G$12))/(1-TasaDeImpuesto!$G$5)</f>
        <v>0.1965895983595932</v>
      </c>
    </row>
    <row r="7" spans="3:8" ht="12.75">
      <c r="C7" s="21" t="s">
        <v>43</v>
      </c>
      <c r="D7" s="31"/>
      <c r="E7" s="42">
        <f>+('Datos Generales'!$E$12*Depreciación!E14+'Datos Generales'!$D$12*WACC!$C$5-('Datos Generales'!$E$12-'Datos Generales'!$D$12))/(1-TasaDeImpuesto!$D$5)</f>
        <v>0.22022293601615284</v>
      </c>
      <c r="F7" s="42">
        <f>+('Datos Generales'!$F$12*Depreciación!E14+'Datos Generales'!$E$12*WACC!$D$5-('Datos Generales'!$F$12-'Datos Generales'!$E$12))/(1-TasaDeImpuesto!$E$5)</f>
        <v>0.16811057757722334</v>
      </c>
      <c r="G7" s="42">
        <f>+('Datos Generales'!$G$12*Depreciación!E14+'Datos Generales'!$F$12*WACC!$E$5-('Datos Generales'!$G$12-'Datos Generales'!$F$12))/(1-TasaDeImpuesto!$F$5)</f>
        <v>0.25313994896415626</v>
      </c>
      <c r="H7" s="42">
        <f>+('Datos Generales'!$H$12*Depreciación!E14+'Datos Generales'!$G$12*WACC!$F$5-('Datos Generales'!$H$12-'Datos Generales'!$G$12))/(1-TasaDeImpuesto!$G$5)</f>
        <v>0.29209101739349685</v>
      </c>
    </row>
    <row r="8" spans="3:8" ht="12.75">
      <c r="C8" s="19" t="s">
        <v>66</v>
      </c>
      <c r="D8" s="30"/>
      <c r="E8" s="43">
        <f>+('Datos Generales'!$E$12*Depreciación!E15+'Datos Generales'!$D$12*WACC!$C$5-('Datos Generales'!$E$12-'Datos Generales'!$D$12))/(1-TasaDeImpuesto!$D$5)</f>
        <v>0.1276838961086919</v>
      </c>
      <c r="F8" s="43">
        <f>+('Datos Generales'!$F$12*Depreciación!E15+'Datos Generales'!$E$12*WACC!$D$5-('Datos Generales'!$F$12-'Datos Generales'!$E$12))/(1-TasaDeImpuesto!$E$5)</f>
        <v>0.07462674313216351</v>
      </c>
      <c r="G8" s="43">
        <f>+('Datos Generales'!$G$12*Depreciación!E15+'Datos Generales'!$F$12*WACC!$E$5-('Datos Generales'!$G$12-'Datos Generales'!$F$12))/(1-TasaDeImpuesto!$F$5)</f>
        <v>0.1580007827895563</v>
      </c>
      <c r="H8" s="43">
        <f>+('Datos Generales'!$H$12*Depreciación!E15+'Datos Generales'!$G$12*WACC!$F$5-('Datos Generales'!$H$12-'Datos Generales'!$G$12))/(1-TasaDeImpuesto!$G$5)</f>
        <v>0.1965895983595932</v>
      </c>
    </row>
    <row r="9" spans="3:8" ht="13.5" thickBot="1">
      <c r="C9" s="65" t="s">
        <v>65</v>
      </c>
      <c r="D9" s="88"/>
      <c r="E9" s="64">
        <f>+('Datos Generales'!$E$12*Depreciación!E16+'Datos Generales'!$D$12*WACC!$C$5-('Datos Generales'!$E$12-'Datos Generales'!$D$12))/(1-TasaDeImpuesto!$D$5)</f>
        <v>0.12768389610869188</v>
      </c>
      <c r="F9" s="64">
        <f>+('Datos Generales'!$F$12*Depreciación!E16+'Datos Generales'!$E$12*WACC!$D$5-('Datos Generales'!$F$12-'Datos Generales'!$E$12))/(1-TasaDeImpuesto!$E$5)</f>
        <v>0.07462674313216344</v>
      </c>
      <c r="G9" s="64">
        <f>+('Datos Generales'!$G$12*Depreciación!E16+'Datos Generales'!$F$12*WACC!$E$5-('Datos Generales'!$G$12-'Datos Generales'!$F$12))/(1-TasaDeImpuesto!$F$5)</f>
        <v>0.15800078278955626</v>
      </c>
      <c r="H9" s="64">
        <f>+('Datos Generales'!$H$12*Depreciación!E16+'Datos Generales'!$G$12*WACC!$F$5-('Datos Generales'!$H$12-'Datos Generales'!$G$12))/(1-TasaDeImpuesto!$G$5)</f>
        <v>0.1965895983595931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C4:G14"/>
  <sheetViews>
    <sheetView showGridLines="0" zoomScalePageLayoutView="0" workbookViewId="0" topLeftCell="A1">
      <selection activeCell="C13" sqref="C13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67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1.0491601892331655</v>
      </c>
      <c r="F5" s="25">
        <f>+F6/F7</f>
        <v>1.1021895623497031</v>
      </c>
      <c r="G5" s="25">
        <f>+G6/G7</f>
        <v>1.0843418874224373</v>
      </c>
    </row>
    <row r="6" spans="3:7" ht="12.75">
      <c r="C6" s="19" t="s">
        <v>0</v>
      </c>
      <c r="E6" s="30">
        <f>+SUMPRODUCT(PrecioImplícitoCapital!E5:E9,CantidadesCapital!F16:F20)</f>
        <v>2550959.784150006</v>
      </c>
      <c r="F6" s="30">
        <f>+SUMPRODUCT(PrecioImplícitoCapital!F5:F9,CantidadesCapital!G16:G20)</f>
        <v>1660713.0523201325</v>
      </c>
      <c r="G6" s="30">
        <f>+SUMPRODUCT(PrecioImplícitoCapital!G5:G9,CantidadesCapital!H16:H20)</f>
        <v>3729293.0678118975</v>
      </c>
    </row>
    <row r="7" spans="3:7" ht="12.75">
      <c r="C7" s="19" t="s">
        <v>1</v>
      </c>
      <c r="E7" s="30">
        <f>+SUMPRODUCT(PrecioImplícitoCapital!E5:E9,CantidadesCapital!E16:E20)</f>
        <v>2431430.2146886745</v>
      </c>
      <c r="F7" s="30">
        <f>+SUMPRODUCT(PrecioImplícitoCapital!F5:F9,CantidadesCapital!F16:F20)</f>
        <v>1506739.9556749032</v>
      </c>
      <c r="G7" s="30">
        <f>+SUMPRODUCT(PrecioImplícitoCapital!G5:G9,CantidadesCapital!G16:G20)</f>
        <v>3439222.5469373954</v>
      </c>
    </row>
    <row r="8" spans="3:7" ht="12.75">
      <c r="C8" s="29" t="s">
        <v>91</v>
      </c>
      <c r="D8" s="15"/>
      <c r="E8" s="32">
        <f>+E9/E10</f>
        <v>1.0506747385077053</v>
      </c>
      <c r="F8" s="32">
        <f>+F9/F10</f>
        <v>1.0922028290467856</v>
      </c>
      <c r="G8" s="32">
        <f>+G9/G10</f>
        <v>1.081921452964017</v>
      </c>
    </row>
    <row r="9" spans="3:7" ht="12.75">
      <c r="C9" s="19" t="s">
        <v>0</v>
      </c>
      <c r="E9" s="30">
        <f>+SUMPRODUCT(PrecioImplícitoCapital!F5:F9,CantidadesCapital!F16:F20)</f>
        <v>1506739.9556749032</v>
      </c>
      <c r="F9" s="30">
        <f>+SUMPRODUCT(PrecioImplícitoCapital!G5:G9,CantidadesCapital!G16:G20)</f>
        <v>3439222.5469373954</v>
      </c>
      <c r="G9" s="30">
        <f>+SUMPRODUCT(PrecioImplícitoCapital!H5:H9,CantidadesCapital!H16:H20)</f>
        <v>4611241.538890964</v>
      </c>
    </row>
    <row r="10" spans="3:7" ht="12.75">
      <c r="C10" s="19" t="s">
        <v>1</v>
      </c>
      <c r="E10" s="30">
        <f>+SUMPRODUCT(PrecioImplícitoCapital!F5:F9,CantidadesCapital!E16:E20)</f>
        <v>1434068.8896879319</v>
      </c>
      <c r="F10" s="30">
        <f>+SUMPRODUCT(PrecioImplícitoCapital!G5:G9,CantidadesCapital!F16:F20)</f>
        <v>3148886.3198962407</v>
      </c>
      <c r="G10" s="30">
        <f>+SUMPRODUCT(PrecioImplícitoCapital!H5:H9,CantidadesCapital!G16:G20)</f>
        <v>4262085.317060744</v>
      </c>
    </row>
    <row r="11" spans="3:7" ht="13.5" thickBot="1">
      <c r="C11" s="29" t="s">
        <v>92</v>
      </c>
      <c r="D11" s="15"/>
      <c r="E11" s="25">
        <f>+SQRT(E5*E8)</f>
        <v>1.0499171907704201</v>
      </c>
      <c r="F11" s="25">
        <f>+SQRT(F5*F8)</f>
        <v>1.0971848331726903</v>
      </c>
      <c r="G11" s="25">
        <f>+SQRT(G5*G8)</f>
        <v>1.0831309940860467</v>
      </c>
    </row>
    <row r="12" spans="3:7" ht="12.75">
      <c r="C12" s="20" t="s">
        <v>160</v>
      </c>
      <c r="D12" s="26"/>
      <c r="E12" s="27">
        <f>+LN(E11)</f>
        <v>0.04871129512641757</v>
      </c>
      <c r="F12" s="27">
        <f>+LN(F11)</f>
        <v>0.09274765677458695</v>
      </c>
      <c r="G12" s="27">
        <f>+LN(G11)</f>
        <v>0.07985591553916888</v>
      </c>
    </row>
    <row r="13" ht="13.5" thickBot="1"/>
    <row r="14" spans="6:7" ht="13.5" thickBot="1">
      <c r="F14" s="28" t="s">
        <v>22</v>
      </c>
      <c r="G14" s="39">
        <f>+AVERAGE(E12:G12)</f>
        <v>0.0737716224800578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7:G7 E9:G10 F6:G6" formulaRange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4:H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13.140625" style="0" bestFit="1" customWidth="1"/>
  </cols>
  <sheetData>
    <row r="3" ht="15.75" thickBot="1"/>
    <row r="4" spans="3:8" ht="15.75" thickBot="1">
      <c r="C4" s="12" t="s">
        <v>121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</row>
    <row r="5" spans="3:8" ht="15">
      <c r="C5" s="14" t="s">
        <v>107</v>
      </c>
      <c r="D5" s="49">
        <v>99.965634</v>
      </c>
      <c r="E5" s="49">
        <v>100.401203</v>
      </c>
      <c r="F5" s="49">
        <v>102.582562</v>
      </c>
      <c r="G5" s="49">
        <v>106.917049</v>
      </c>
      <c r="H5" s="49">
        <v>109.987788</v>
      </c>
    </row>
    <row r="6" spans="3:8" ht="15">
      <c r="C6" s="1" t="s">
        <v>108</v>
      </c>
      <c r="D6" s="48">
        <v>99.890873</v>
      </c>
      <c r="E6" s="48">
        <v>100.725005</v>
      </c>
      <c r="F6" s="48">
        <v>102.974757</v>
      </c>
      <c r="G6" s="48">
        <v>107.264432</v>
      </c>
      <c r="H6" s="48">
        <v>109.891941</v>
      </c>
    </row>
    <row r="7" spans="3:8" ht="15">
      <c r="C7" s="14" t="s">
        <v>109</v>
      </c>
      <c r="D7" s="49">
        <v>100.250699</v>
      </c>
      <c r="E7" s="49">
        <v>101.007853</v>
      </c>
      <c r="F7" s="49">
        <v>103.698122</v>
      </c>
      <c r="G7" s="49">
        <v>108.086095</v>
      </c>
      <c r="H7" s="49">
        <v>110.887497</v>
      </c>
    </row>
    <row r="8" spans="3:8" ht="15">
      <c r="C8" s="1" t="s">
        <v>110</v>
      </c>
      <c r="D8" s="48">
        <v>100.269758</v>
      </c>
      <c r="E8" s="48">
        <v>101.033466</v>
      </c>
      <c r="F8" s="48">
        <v>104.404216</v>
      </c>
      <c r="G8" s="48">
        <v>108.660616</v>
      </c>
      <c r="H8" s="48">
        <v>111.167362</v>
      </c>
    </row>
    <row r="9" spans="3:8" ht="15">
      <c r="C9" s="14" t="s">
        <v>111</v>
      </c>
      <c r="D9" s="49">
        <v>100.226636</v>
      </c>
      <c r="E9" s="49">
        <v>101.273784</v>
      </c>
      <c r="F9" s="49">
        <v>104.379466</v>
      </c>
      <c r="G9" s="49">
        <v>108.703277</v>
      </c>
      <c r="H9" s="49">
        <v>111.382566</v>
      </c>
    </row>
    <row r="10" spans="3:8" ht="15">
      <c r="C10" s="1" t="s">
        <v>112</v>
      </c>
      <c r="D10" s="48">
        <v>99.88629</v>
      </c>
      <c r="E10" s="48">
        <v>101.527828</v>
      </c>
      <c r="F10" s="48">
        <v>104.482951</v>
      </c>
      <c r="G10" s="48">
        <v>108.663388</v>
      </c>
      <c r="H10" s="48">
        <v>111.674163</v>
      </c>
    </row>
    <row r="11" spans="3:8" ht="15">
      <c r="C11" s="14" t="s">
        <v>113</v>
      </c>
      <c r="D11" s="49">
        <v>100.072766</v>
      </c>
      <c r="E11" s="49">
        <v>101.897344</v>
      </c>
      <c r="F11" s="49">
        <v>105.311451</v>
      </c>
      <c r="G11" s="49">
        <v>108.761575</v>
      </c>
      <c r="H11" s="49">
        <v>112.286672</v>
      </c>
    </row>
    <row r="12" spans="3:8" ht="15">
      <c r="C12" s="1" t="s">
        <v>114</v>
      </c>
      <c r="D12" s="48">
        <v>99.865211</v>
      </c>
      <c r="E12" s="48">
        <v>102.170954</v>
      </c>
      <c r="F12" s="48">
        <v>105.591388</v>
      </c>
      <c r="G12" s="48">
        <v>109.31452</v>
      </c>
      <c r="H12" s="48">
        <v>112.896282</v>
      </c>
    </row>
    <row r="13" spans="3:8" ht="15">
      <c r="C13" s="14" t="s">
        <v>115</v>
      </c>
      <c r="D13" s="49">
        <v>99.778142</v>
      </c>
      <c r="E13" s="49">
        <v>102.138251</v>
      </c>
      <c r="F13" s="49">
        <v>105.944258</v>
      </c>
      <c r="G13" s="49">
        <v>109.907777</v>
      </c>
      <c r="H13" s="49">
        <v>113.019091</v>
      </c>
    </row>
    <row r="14" spans="3:8" ht="15">
      <c r="C14" s="1" t="s">
        <v>116</v>
      </c>
      <c r="D14" s="48">
        <v>99.900496</v>
      </c>
      <c r="E14" s="48">
        <v>101.993499</v>
      </c>
      <c r="F14" s="48">
        <v>106.277824</v>
      </c>
      <c r="G14" s="48">
        <v>109.728272</v>
      </c>
      <c r="H14" s="48">
        <v>113.062346</v>
      </c>
    </row>
    <row r="15" spans="3:8" ht="15">
      <c r="C15" s="14" t="s">
        <v>117</v>
      </c>
      <c r="D15" s="49">
        <v>99.78854</v>
      </c>
      <c r="E15" s="49">
        <v>102.001562</v>
      </c>
      <c r="F15" s="49">
        <v>106.736331</v>
      </c>
      <c r="G15" s="49">
        <v>109.57743</v>
      </c>
      <c r="H15" s="49">
        <v>112.815595</v>
      </c>
    </row>
    <row r="16" spans="3:8" ht="15.75" thickBot="1">
      <c r="C16" s="1" t="s">
        <v>118</v>
      </c>
      <c r="D16" s="48">
        <v>100.104976</v>
      </c>
      <c r="E16" s="48">
        <v>102.1836</v>
      </c>
      <c r="F16" s="48">
        <v>107.025489</v>
      </c>
      <c r="G16" s="48">
        <v>109.860989</v>
      </c>
      <c r="H16" s="48">
        <v>113.002663</v>
      </c>
    </row>
    <row r="17" spans="3:8" ht="15.75" thickBot="1">
      <c r="C17" s="52" t="s">
        <v>22</v>
      </c>
      <c r="D17" s="53">
        <f>+AVERAGE(D5:D16)</f>
        <v>100.00000175000001</v>
      </c>
      <c r="E17" s="53">
        <f>+AVERAGE(E5:E16)</f>
        <v>101.52952908333333</v>
      </c>
      <c r="F17" s="53">
        <f>+AVERAGE(F5:F16)</f>
        <v>104.95073458333336</v>
      </c>
      <c r="G17" s="53">
        <f>+AVERAGE(G5:G16)</f>
        <v>108.78711833333335</v>
      </c>
      <c r="H17" s="53">
        <f>+AVERAGE(H5:H16)</f>
        <v>111.83949716666666</v>
      </c>
    </row>
    <row r="18" ht="15">
      <c r="C18" s="37" t="s">
        <v>150</v>
      </c>
    </row>
  </sheetData>
  <sheetProtection/>
  <printOptions/>
  <pageMargins left="0.7" right="0.7" top="0.75" bottom="0.75" header="0.3" footer="0.3"/>
  <pageSetup orientation="portrait" paperSize="9"/>
  <ignoredErrors>
    <ignoredError sqref="D17:H17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C4:G14"/>
  <sheetViews>
    <sheetView showGridLines="0" zoomScalePageLayoutView="0" workbookViewId="0" topLeftCell="A1">
      <selection activeCell="C13" sqref="C13"/>
    </sheetView>
  </sheetViews>
  <sheetFormatPr defaultColWidth="11.421875" defaultRowHeight="15"/>
  <cols>
    <col min="1" max="2" width="11.421875" style="1" customWidth="1"/>
    <col min="3" max="3" width="31.8515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68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0.589803311740385</v>
      </c>
      <c r="F5" s="25">
        <f>+F6/F7</f>
        <v>2.089873396000411</v>
      </c>
      <c r="G5" s="25">
        <f>+G6/G7</f>
        <v>1.2392593152426197</v>
      </c>
    </row>
    <row r="6" spans="3:7" ht="12.75">
      <c r="C6" s="19" t="s">
        <v>0</v>
      </c>
      <c r="E6" s="30">
        <v>1434444.2467894508</v>
      </c>
      <c r="F6" s="30">
        <v>3149649.96690753</v>
      </c>
      <c r="G6" s="30">
        <v>4262997.9076959295</v>
      </c>
    </row>
    <row r="7" spans="3:7" ht="12.75">
      <c r="C7" s="19" t="s">
        <v>1</v>
      </c>
      <c r="E7" s="30">
        <v>2432072.214984193</v>
      </c>
      <c r="F7" s="30">
        <v>1507100.8478003088</v>
      </c>
      <c r="G7" s="30">
        <v>3439956.315245715</v>
      </c>
    </row>
    <row r="8" spans="3:7" ht="12.75">
      <c r="C8" s="29" t="s">
        <v>91</v>
      </c>
      <c r="D8" s="15"/>
      <c r="E8" s="32">
        <f>+E9/E10</f>
        <v>0.5906546552008257</v>
      </c>
      <c r="F8" s="32">
        <f>+F9/F10</f>
        <v>2.070940620498817</v>
      </c>
      <c r="G8" s="32">
        <f>+G9/G10</f>
        <v>1.2364935279182356</v>
      </c>
    </row>
    <row r="9" spans="3:7" ht="12.75">
      <c r="C9" s="19" t="s">
        <v>0</v>
      </c>
      <c r="E9" s="30">
        <v>1507100.8478003088</v>
      </c>
      <c r="F9" s="30">
        <v>3439956.315245715</v>
      </c>
      <c r="G9" s="30">
        <v>4612144.35474456</v>
      </c>
    </row>
    <row r="10" spans="3:7" ht="12.75">
      <c r="C10" s="19" t="s">
        <v>1</v>
      </c>
      <c r="E10" s="30">
        <v>2551577.0247978265</v>
      </c>
      <c r="F10" s="30">
        <v>1661059.849421057</v>
      </c>
      <c r="G10" s="30">
        <v>3730019.001805518</v>
      </c>
    </row>
    <row r="11" spans="3:7" ht="13.5" thickBot="1">
      <c r="C11" s="29" t="s">
        <v>93</v>
      </c>
      <c r="D11" s="15"/>
      <c r="E11" s="25">
        <f>+SQRT(E5*E8)</f>
        <v>0.5902288299738689</v>
      </c>
      <c r="F11" s="25">
        <f>+SQRT(F5*F8)</f>
        <v>2.0803854708868403</v>
      </c>
      <c r="G11" s="25">
        <f>+SQRT(G5*G8)</f>
        <v>1.2378756491303493</v>
      </c>
    </row>
    <row r="12" spans="3:7" ht="12.75">
      <c r="C12" s="20" t="s">
        <v>161</v>
      </c>
      <c r="D12" s="26"/>
      <c r="E12" s="27">
        <f>+LN(E11)</f>
        <v>-0.527244969862401</v>
      </c>
      <c r="F12" s="27">
        <f>+LN(F11)</f>
        <v>0.7325531990848758</v>
      </c>
      <c r="G12" s="27">
        <f>+LN(G11)</f>
        <v>0.21339672425006312</v>
      </c>
    </row>
    <row r="13" ht="13.5" thickBot="1"/>
    <row r="14" spans="6:7" ht="13.5" thickBot="1">
      <c r="F14" s="28" t="s">
        <v>22</v>
      </c>
      <c r="G14" s="39">
        <f>+AVERAGE(E12:G12)</f>
        <v>0.1395683178241793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</sheetPr>
  <dimension ref="C4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1.140625" style="1" bestFit="1" customWidth="1"/>
    <col min="4" max="10" width="11.421875" style="1" customWidth="1"/>
    <col min="11" max="11" width="25.00390625" style="1" bestFit="1" customWidth="1"/>
    <col min="12" max="16384" width="11.421875" style="1" customWidth="1"/>
  </cols>
  <sheetData>
    <row r="4" spans="3:7" ht="12.75">
      <c r="C4" s="1" t="s">
        <v>129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" t="s">
        <v>59</v>
      </c>
      <c r="E5" s="48">
        <f>+(IndiceCantidadesTrabajo!E6+IndiceCantidadesMateriales!E6+IndiceCantidadesCapital!E6)/(IndiceCantidadesCapital!E7+IndiceCantidadesMateriales!E7+IndiceCantidadesTrabajo!E7)</f>
        <v>0.9728166713919796</v>
      </c>
      <c r="F5" s="48">
        <f>+(IndiceCantidadesTrabajo!F6+IndiceCantidadesMateriales!F6+IndiceCantidadesCapital!F6)/(IndiceCantidadesCapital!F7+IndiceCantidadesMateriales!F7+IndiceCantidadesTrabajo!F7)</f>
        <v>1.2472631307378428</v>
      </c>
      <c r="G5" s="48">
        <f>+(IndiceCantidadesTrabajo!G6+IndiceCantidadesMateriales!G6+IndiceCantidadesCapital!G6)/(IndiceCantidadesCapital!G7+IndiceCantidadesMateriales!G7+IndiceCantidadesTrabajo!G7)</f>
        <v>1.0854771723086065</v>
      </c>
    </row>
    <row r="6" spans="3:7" ht="12.75">
      <c r="C6" s="1" t="s">
        <v>60</v>
      </c>
      <c r="E6" s="48">
        <f>+(IndiceCantidadesTrabajo!E9+IndiceCantidadesMateriales!E9+IndiceCantidadesCapital!E9)/(IndiceCantidadesCapital!E10+IndiceCantidadesMateriales!E10+IndiceCantidadesTrabajo!E10)</f>
        <v>0.9718123312212038</v>
      </c>
      <c r="F6" s="48">
        <f>+(IndiceCantidadesTrabajo!F9+IndiceCantidadesMateriales!F9+IndiceCantidadesCapital!F9)/(IndiceCantidadesCapital!F10+IndiceCantidadesMateriales!F10+IndiceCantidadesTrabajo!F10)</f>
        <v>1.2251954011891781</v>
      </c>
      <c r="G6" s="48">
        <f>+(IndiceCantidadesTrabajo!G9+IndiceCantidadesMateriales!G9+IndiceCantidadesCapital!G9)/(IndiceCantidadesCapital!G10+IndiceCantidadesMateriales!G10+IndiceCantidadesTrabajo!G10)</f>
        <v>1.085973243486272</v>
      </c>
    </row>
    <row r="7" spans="3:7" ht="12.75">
      <c r="C7" s="1" t="s">
        <v>130</v>
      </c>
      <c r="E7" s="48">
        <f>+SQRT(E5*E6)</f>
        <v>0.9723143716289971</v>
      </c>
      <c r="F7" s="48">
        <f>+SQRT(F5*F6)</f>
        <v>1.236180024046992</v>
      </c>
      <c r="G7" s="48">
        <f>+SQRT(G5*G6)</f>
        <v>1.0857251795653835</v>
      </c>
    </row>
    <row r="8" spans="3:7" ht="12.75">
      <c r="C8" s="1" t="s">
        <v>131</v>
      </c>
      <c r="E8" s="54">
        <f>+LN(E7)</f>
        <v>-0.02807609921128119</v>
      </c>
      <c r="F8" s="54">
        <f>+LN(F7)</f>
        <v>0.2120259989529477</v>
      </c>
      <c r="G8" s="54">
        <f>+LN(G7)</f>
        <v>0.0822481319968554</v>
      </c>
    </row>
    <row r="9" spans="6:7" ht="12.75">
      <c r="F9" s="15" t="s">
        <v>22</v>
      </c>
      <c r="G9" s="61">
        <f>+AVERAGE(E8:G8)</f>
        <v>0.08873267724617397</v>
      </c>
    </row>
    <row r="13" spans="5:7" ht="12.75">
      <c r="E13" s="55"/>
      <c r="F13" s="55"/>
      <c r="G13" s="55"/>
    </row>
    <row r="14" spans="5:7" ht="12.75">
      <c r="E14" s="55"/>
      <c r="F14" s="55"/>
      <c r="G14" s="55"/>
    </row>
    <row r="15" spans="5:7" ht="12.75">
      <c r="E15" s="55"/>
      <c r="F15" s="55"/>
      <c r="G15" s="55"/>
    </row>
    <row r="16" spans="5:7" ht="12.75">
      <c r="E16" s="55"/>
      <c r="F16" s="55"/>
      <c r="G16" s="55"/>
    </row>
    <row r="17" spans="5:7" ht="12.75">
      <c r="E17" s="55"/>
      <c r="F17" s="55"/>
      <c r="G17" s="5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2060"/>
  </sheetPr>
  <dimension ref="C4:G2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1.140625" style="1" bestFit="1" customWidth="1"/>
    <col min="4" max="10" width="11.421875" style="1" customWidth="1"/>
    <col min="11" max="11" width="25.00390625" style="1" bestFit="1" customWidth="1"/>
    <col min="12" max="16384" width="11.421875" style="1" customWidth="1"/>
  </cols>
  <sheetData>
    <row r="4" spans="3:7" ht="12.75">
      <c r="C4" s="1" t="s">
        <v>132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" t="s">
        <v>59</v>
      </c>
      <c r="E5" s="48">
        <f>+(IndicePreciosTrabajo!E6+IndicePreciosMateriales!E6+IndicePreciosCapital!E6)/(IndicePreciosCapital!E7+IndicePreciosMateriales!E7+IndicePreciosTrabajo!E7)</f>
        <v>1.0313517479353689</v>
      </c>
      <c r="F5" s="48">
        <f>+(IndicePreciosTrabajo!F6+IndicePreciosMateriales!F6+IndicePreciosCapital!F6)/(IndicePreciosCapital!F7+IndicePreciosMateriales!F7+IndicePreciosTrabajo!F7)</f>
        <v>1.23979805069345</v>
      </c>
      <c r="G5" s="48">
        <f>+(IndicePreciosTrabajo!G6+IndicePreciosMateriales!G6+IndicePreciosCapital!G6)/(IndicePreciosCapital!G7+IndicePreciosMateriales!G7+IndicePreciosTrabajo!G7)</f>
        <v>0.9774075253948739</v>
      </c>
    </row>
    <row r="6" spans="3:7" ht="12.75">
      <c r="C6" s="1" t="s">
        <v>60</v>
      </c>
      <c r="E6" s="48">
        <f>+(IndicePreciosTrabajo!E9+IndicePreciosMateriales!E9+IndicePreciosCapital!E9)/(IndicePreciosCapital!E10+IndicePreciosMateriales!E10+IndicePreciosTrabajo!E10)</f>
        <v>1.0302871042985953</v>
      </c>
      <c r="F6" s="48">
        <f>+(IndicePreciosTrabajo!F9+IndicePreciosMateriales!F9+IndicePreciosCapital!F9)/(IndicePreciosCapital!F10+IndicePreciosMateriales!F10+IndicePreciosTrabajo!F10)</f>
        <v>1.2178603165024309</v>
      </c>
      <c r="G6" s="48">
        <f>+(IndicePreciosTrabajo!G9+IndicePreciosMateriales!G9+IndicePreciosCapital!G9)/(IndicePreciosCapital!G10+IndicePreciosMateriales!G10+IndicePreciosTrabajo!G10)</f>
        <v>0.9778538089136504</v>
      </c>
    </row>
    <row r="7" spans="3:7" ht="12.75">
      <c r="C7" s="1" t="s">
        <v>130</v>
      </c>
      <c r="E7" s="48">
        <f>+SQRT(E5*E6)</f>
        <v>1.030819288669758</v>
      </c>
      <c r="F7" s="48">
        <f>+SQRT(F5*F6)</f>
        <v>1.2287802270612194</v>
      </c>
      <c r="G7" s="48">
        <f>+SQRT(G5*G6)</f>
        <v>0.977630641688487</v>
      </c>
    </row>
    <row r="8" spans="3:7" ht="12.75">
      <c r="C8" s="1" t="s">
        <v>131</v>
      </c>
      <c r="E8" s="54">
        <f>+LN(E7)</f>
        <v>0.030353911950993687</v>
      </c>
      <c r="F8" s="54">
        <f>+LN(F7)</f>
        <v>0.20602199202303167</v>
      </c>
      <c r="G8" s="54">
        <f>+LN(G7)</f>
        <v>-0.0226233472666436</v>
      </c>
    </row>
    <row r="9" spans="6:7" ht="12.75">
      <c r="F9" s="15" t="s">
        <v>22</v>
      </c>
      <c r="G9" s="61">
        <f>+AVERAGE(E8:G8)</f>
        <v>0.07125085223579392</v>
      </c>
    </row>
    <row r="13" spans="5:7" ht="12.75">
      <c r="E13" s="55"/>
      <c r="F13" s="55"/>
      <c r="G13" s="55"/>
    </row>
    <row r="14" spans="5:7" ht="12.75">
      <c r="E14" s="55"/>
      <c r="F14" s="55"/>
      <c r="G14" s="55"/>
    </row>
    <row r="15" spans="5:7" ht="12.75">
      <c r="E15" s="55"/>
      <c r="F15" s="55"/>
      <c r="G15" s="55"/>
    </row>
    <row r="16" spans="5:7" ht="12.75">
      <c r="E16" s="55"/>
      <c r="F16" s="55"/>
      <c r="G16" s="55"/>
    </row>
    <row r="17" spans="5:7" ht="12.75">
      <c r="E17" s="55"/>
      <c r="F17" s="55"/>
      <c r="G17" s="55"/>
    </row>
    <row r="19" spans="5:7" ht="12.75">
      <c r="E19" s="56"/>
      <c r="F19" s="56"/>
      <c r="G19" s="56"/>
    </row>
    <row r="20" spans="5:7" ht="12.75">
      <c r="E20" s="56"/>
      <c r="F20" s="56"/>
      <c r="G20" s="56"/>
    </row>
    <row r="21" spans="5:7" ht="12.75">
      <c r="E21" s="56"/>
      <c r="F21" s="56"/>
      <c r="G21" s="56"/>
    </row>
    <row r="22" spans="5:7" ht="12.75">
      <c r="E22" s="56"/>
      <c r="F22" s="56"/>
      <c r="G22" s="5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2060"/>
  </sheetPr>
  <dimension ref="C4:G2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2.140625" style="1" bestFit="1" customWidth="1"/>
    <col min="4" max="10" width="11.421875" style="1" customWidth="1"/>
    <col min="11" max="11" width="25.00390625" style="1" bestFit="1" customWidth="1"/>
    <col min="12" max="16384" width="11.421875" style="1" customWidth="1"/>
  </cols>
  <sheetData>
    <row r="4" spans="3:7" ht="12.75">
      <c r="C4" s="1" t="s">
        <v>148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" t="s">
        <v>133</v>
      </c>
      <c r="E5" s="48">
        <f>+IndiceCantidadesProducto!E11</f>
        <v>1.3689090234977366</v>
      </c>
      <c r="F5" s="48">
        <f>+IndiceCantidadesProducto!F11</f>
        <v>1.2623830892974577</v>
      </c>
      <c r="G5" s="48">
        <f>+IndiceCantidadesProducto!G11</f>
        <v>0.9722337541504805</v>
      </c>
    </row>
    <row r="6" spans="3:7" ht="12.75">
      <c r="C6" s="1" t="s">
        <v>134</v>
      </c>
      <c r="E6" s="48">
        <f>+'Índice de Cantidades de Insumos'!E7</f>
        <v>0.9723143716289971</v>
      </c>
      <c r="F6" s="48">
        <f>+'Índice de Cantidades de Insumos'!F7</f>
        <v>1.236180024046992</v>
      </c>
      <c r="G6" s="48">
        <f>+'Índice de Cantidades de Insumos'!G7</f>
        <v>1.0857251795653835</v>
      </c>
    </row>
    <row r="7" spans="3:7" ht="12.75">
      <c r="C7" s="1" t="s">
        <v>8</v>
      </c>
      <c r="E7" s="48">
        <f>+E5/E6</f>
        <v>1.407887267164726</v>
      </c>
      <c r="F7" s="48">
        <f>+F5/F6</f>
        <v>1.0211968036537933</v>
      </c>
      <c r="G7" s="48">
        <f>+G5/G6</f>
        <v>0.8954694727994301</v>
      </c>
    </row>
    <row r="8" spans="3:7" ht="12.75">
      <c r="C8" s="1" t="s">
        <v>135</v>
      </c>
      <c r="E8" s="54">
        <f>+LN(E7)</f>
        <v>0.34209018859625917</v>
      </c>
      <c r="F8" s="54">
        <f>+LN(F7)</f>
        <v>0.020975276389883255</v>
      </c>
      <c r="G8" s="54">
        <f>+LN(G7)</f>
        <v>-0.11040714762197484</v>
      </c>
    </row>
    <row r="9" spans="6:7" ht="12.75">
      <c r="F9" s="15" t="s">
        <v>22</v>
      </c>
      <c r="G9" s="61">
        <f>+AVERAGE(E8:G8)</f>
        <v>0.0842194391213892</v>
      </c>
    </row>
    <row r="13" spans="5:7" ht="12.75">
      <c r="E13" s="55"/>
      <c r="F13" s="55"/>
      <c r="G13" s="55"/>
    </row>
    <row r="14" spans="5:7" ht="12.75">
      <c r="E14" s="55"/>
      <c r="F14" s="55"/>
      <c r="G14" s="55"/>
    </row>
    <row r="15" spans="5:7" ht="12.75">
      <c r="E15" s="55"/>
      <c r="F15" s="55"/>
      <c r="G15" s="55"/>
    </row>
    <row r="16" spans="5:7" ht="12.75">
      <c r="E16" s="55"/>
      <c r="F16" s="55"/>
      <c r="G16" s="55"/>
    </row>
    <row r="17" spans="5:7" ht="12.75">
      <c r="E17" s="55"/>
      <c r="F17" s="55"/>
      <c r="G17" s="55"/>
    </row>
    <row r="19" spans="5:7" ht="12.75">
      <c r="E19" s="56"/>
      <c r="F19" s="56"/>
      <c r="G19" s="56"/>
    </row>
    <row r="20" spans="5:7" ht="12.75">
      <c r="E20" s="56"/>
      <c r="F20" s="56"/>
      <c r="G20" s="56"/>
    </row>
    <row r="21" spans="5:7" ht="12.75">
      <c r="E21" s="56"/>
      <c r="F21" s="56"/>
      <c r="G21" s="56"/>
    </row>
    <row r="22" spans="5:7" ht="12.75">
      <c r="E22" s="56"/>
      <c r="F22" s="56"/>
      <c r="G22" s="5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C4:H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9.7109375" style="1" customWidth="1"/>
    <col min="4" max="16384" width="11.421875" style="1" customWidth="1"/>
  </cols>
  <sheetData>
    <row r="4" spans="3:8" ht="12.75">
      <c r="C4" s="1" t="s">
        <v>69</v>
      </c>
      <c r="D4" s="2" t="s">
        <v>77</v>
      </c>
      <c r="E4" s="2" t="s">
        <v>78</v>
      </c>
      <c r="F4" s="2" t="s">
        <v>79</v>
      </c>
      <c r="G4" s="2" t="s">
        <v>80</v>
      </c>
      <c r="H4" s="2"/>
    </row>
    <row r="5" spans="3:7" ht="12.75">
      <c r="C5" s="1" t="s">
        <v>70</v>
      </c>
      <c r="D5" s="59">
        <v>0.016</v>
      </c>
      <c r="E5" s="59">
        <v>0.016</v>
      </c>
      <c r="F5" s="59">
        <v>0.011</v>
      </c>
      <c r="G5" s="59">
        <v>0.009</v>
      </c>
    </row>
    <row r="6" spans="6:7" ht="12.75">
      <c r="F6" s="15" t="s">
        <v>22</v>
      </c>
      <c r="G6" s="62">
        <f>+AVERAGE(D5:G5)</f>
        <v>0.013</v>
      </c>
    </row>
    <row r="7" spans="3:7" ht="12.75">
      <c r="C7" s="37" t="s">
        <v>153</v>
      </c>
      <c r="G7" s="59"/>
    </row>
  </sheetData>
  <sheetProtection/>
  <printOptions/>
  <pageMargins left="0.7" right="0.7" top="0.75" bottom="0.75" header="0.3" footer="0.3"/>
  <pageSetup orientation="portrait" paperSize="9"/>
  <ignoredErrors>
    <ignoredError sqref="G5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4:H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1.28125" style="1" bestFit="1" customWidth="1"/>
    <col min="4" max="16384" width="11.421875" style="1" customWidth="1"/>
  </cols>
  <sheetData>
    <row r="4" spans="3:8" ht="12.75">
      <c r="C4" s="1" t="s">
        <v>128</v>
      </c>
      <c r="D4" s="2" t="s">
        <v>89</v>
      </c>
      <c r="E4" s="2" t="s">
        <v>77</v>
      </c>
      <c r="F4" s="2" t="s">
        <v>78</v>
      </c>
      <c r="G4" s="2" t="s">
        <v>79</v>
      </c>
      <c r="H4" s="2" t="s">
        <v>80</v>
      </c>
    </row>
    <row r="5" spans="3:8" ht="12.75">
      <c r="C5" s="1" t="s">
        <v>119</v>
      </c>
      <c r="D5" s="48">
        <f>+IPM!D17</f>
        <v>89.61351033333335</v>
      </c>
      <c r="E5" s="48">
        <f>+IPM!E17</f>
        <v>91.25499983333333</v>
      </c>
      <c r="F5" s="48">
        <f>+IPM!F17</f>
        <v>97.03861549999999</v>
      </c>
      <c r="G5" s="48">
        <f>+IPM!G17</f>
        <v>98.75689225</v>
      </c>
      <c r="H5" s="48">
        <f>+IPM!H17</f>
        <v>99.13292000000001</v>
      </c>
    </row>
    <row r="6" spans="3:8" ht="12.75">
      <c r="C6" s="1" t="s">
        <v>120</v>
      </c>
      <c r="D6" s="48">
        <f>+IPC!D17</f>
        <v>100.00000175000001</v>
      </c>
      <c r="E6" s="48">
        <f>+IPC!E17</f>
        <v>101.52952908333333</v>
      </c>
      <c r="F6" s="48">
        <f>+IPC!F17</f>
        <v>104.95073458333336</v>
      </c>
      <c r="G6" s="48">
        <f>+IPC!G17</f>
        <v>108.78711833333335</v>
      </c>
      <c r="H6" s="48">
        <f>+IPC!H17</f>
        <v>111.83949716666666</v>
      </c>
    </row>
    <row r="7" spans="3:8" ht="12.75">
      <c r="C7" s="1" t="s">
        <v>2</v>
      </c>
      <c r="D7" s="48">
        <v>3.012</v>
      </c>
      <c r="E7" s="48">
        <v>2.82578548611317</v>
      </c>
      <c r="F7" s="48">
        <v>2.7547087220274</v>
      </c>
      <c r="G7" s="48">
        <v>2.63819247234247</v>
      </c>
      <c r="H7" s="48">
        <v>2.70278198811423</v>
      </c>
    </row>
    <row r="8" spans="3:8" ht="12.75">
      <c r="C8" s="37" t="s">
        <v>151</v>
      </c>
      <c r="D8" s="48"/>
      <c r="E8" s="48"/>
      <c r="F8" s="48"/>
      <c r="G8" s="48"/>
      <c r="H8" s="48"/>
    </row>
    <row r="10" spans="3:8" ht="13.5" thickBot="1">
      <c r="C10" s="57" t="s">
        <v>128</v>
      </c>
      <c r="D10" s="58" t="s">
        <v>89</v>
      </c>
      <c r="E10" s="58" t="s">
        <v>77</v>
      </c>
      <c r="F10" s="58" t="s">
        <v>78</v>
      </c>
      <c r="G10" s="58" t="s">
        <v>79</v>
      </c>
      <c r="H10" s="58" t="s">
        <v>80</v>
      </c>
    </row>
    <row r="11" spans="3:8" ht="12.75">
      <c r="C11" s="1" t="s">
        <v>125</v>
      </c>
      <c r="D11" s="48">
        <f>+(D5/$E$5)/(D7/$E$7)</f>
        <v>0.9212999419489268</v>
      </c>
      <c r="E11" s="48">
        <f>+(E5/$E$5)/(E7/$E$7)</f>
        <v>1</v>
      </c>
      <c r="F11" s="48">
        <f>+(F5/$E$5)/(F7/$E$7)</f>
        <v>1.090815822959495</v>
      </c>
      <c r="G11" s="48">
        <f>+(G5/$E$5)/(G7/$E$7)</f>
        <v>1.1591601956524964</v>
      </c>
      <c r="H11" s="48">
        <f>+(H5/$E$5)/(H7/$E$7)</f>
        <v>1.1357674136609297</v>
      </c>
    </row>
    <row r="12" spans="3:8" ht="12.75">
      <c r="C12" s="1" t="s">
        <v>124</v>
      </c>
      <c r="D12" s="48">
        <f>+D5/$E$5</f>
        <v>0.9820120595803192</v>
      </c>
      <c r="E12" s="48">
        <f>+E5/$E$5</f>
        <v>1</v>
      </c>
      <c r="F12" s="48">
        <f>+F5/$E$5</f>
        <v>1.0633786168125556</v>
      </c>
      <c r="G12" s="48">
        <f>+G5/$E$5</f>
        <v>1.082208015236075</v>
      </c>
      <c r="H12" s="48">
        <f>+H5/$E$5</f>
        <v>1.0863286415106546</v>
      </c>
    </row>
    <row r="13" spans="3:8" ht="12.75">
      <c r="C13" s="1" t="s">
        <v>127</v>
      </c>
      <c r="D13" s="48">
        <f>+(D6/$E$6)/(D7/$E$7)</f>
        <v>0.9240423127051923</v>
      </c>
      <c r="E13" s="48">
        <f>+(E6/$E$6)/(E7/$E$7)</f>
        <v>1</v>
      </c>
      <c r="F13" s="48">
        <f>+(F6/$E$6)/(F7/$E$7)</f>
        <v>1.0603680095106118</v>
      </c>
      <c r="G13" s="48">
        <f>+(G6/$E$6)/(G7/$E$7)</f>
        <v>1.147672074469055</v>
      </c>
      <c r="H13" s="48">
        <f>+(H6/$E$6)/(H7/$E$7)</f>
        <v>1.1516778337799887</v>
      </c>
    </row>
    <row r="14" spans="3:8" ht="12.75">
      <c r="C14" s="1" t="s">
        <v>126</v>
      </c>
      <c r="D14" s="48">
        <f>+D6/$E$6</f>
        <v>0.98493514795998</v>
      </c>
      <c r="E14" s="48">
        <f>+E6/$E$6</f>
        <v>1</v>
      </c>
      <c r="F14" s="48">
        <f>+F6/$E$6</f>
        <v>1.0336966548637487</v>
      </c>
      <c r="G14" s="48">
        <f>+G6/$E$6</f>
        <v>1.0714825461668707</v>
      </c>
      <c r="H14" s="48">
        <f>+H6/$E$6</f>
        <v>1.1015464976191423</v>
      </c>
    </row>
    <row r="15" spans="4:8" ht="12.75">
      <c r="D15" s="48"/>
      <c r="E15" s="48"/>
      <c r="F15" s="48"/>
      <c r="G15" s="48"/>
      <c r="H15" s="48"/>
    </row>
    <row r="16" ht="12.75">
      <c r="H16" s="56"/>
    </row>
    <row r="17" spans="3:8" ht="13.5" thickBot="1">
      <c r="C17" s="57" t="s">
        <v>128</v>
      </c>
      <c r="D17" s="58" t="s">
        <v>89</v>
      </c>
      <c r="E17" s="58" t="s">
        <v>77</v>
      </c>
      <c r="F17" s="58" t="s">
        <v>78</v>
      </c>
      <c r="G17" s="58" t="s">
        <v>79</v>
      </c>
      <c r="H17" s="58" t="s">
        <v>80</v>
      </c>
    </row>
    <row r="18" spans="3:8" ht="12.75">
      <c r="C18" s="1" t="s">
        <v>123</v>
      </c>
      <c r="E18" s="59">
        <f>+E6/D6-1</f>
        <v>0.015295273065665915</v>
      </c>
      <c r="F18" s="59">
        <f>+F6/E6-1</f>
        <v>0.03369665486374873</v>
      </c>
      <c r="G18" s="59">
        <f>+G6/F6-1</f>
        <v>0.03655413909422256</v>
      </c>
      <c r="H18" s="59">
        <f>+H6/G6-1</f>
        <v>0.028058274546629125</v>
      </c>
    </row>
    <row r="19" spans="7:8" ht="12.75">
      <c r="G19" s="15" t="s">
        <v>22</v>
      </c>
      <c r="H19" s="60">
        <f>+AVERAGE(E18:H18)</f>
        <v>0.028401085392566583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H18"/>
  </ignoredErrors>
  <tableParts>
    <tablePart r:id="rId3"/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C4:H15"/>
  <sheetViews>
    <sheetView showGridLines="0" zoomScalePageLayoutView="0" workbookViewId="0" topLeftCell="A1">
      <selection activeCell="C15" sqref="C15"/>
    </sheetView>
  </sheetViews>
  <sheetFormatPr defaultColWidth="11.421875" defaultRowHeight="15"/>
  <cols>
    <col min="1" max="2" width="11.421875" style="1" customWidth="1"/>
    <col min="3" max="3" width="33.00390625" style="1" customWidth="1"/>
    <col min="4" max="4" width="35.57421875" style="1" bestFit="1" customWidth="1"/>
    <col min="5" max="16384" width="11.421875" style="1" customWidth="1"/>
  </cols>
  <sheetData>
    <row r="4" spans="3:8" ht="12.75">
      <c r="C4" s="2" t="s">
        <v>97</v>
      </c>
      <c r="D4" s="2" t="s">
        <v>23</v>
      </c>
      <c r="E4" s="2" t="s">
        <v>77</v>
      </c>
      <c r="F4" s="2" t="s">
        <v>78</v>
      </c>
      <c r="G4" s="2" t="s">
        <v>79</v>
      </c>
      <c r="H4" s="2" t="s">
        <v>80</v>
      </c>
    </row>
    <row r="5" spans="3:8" ht="12.75">
      <c r="C5" s="1" t="s">
        <v>24</v>
      </c>
      <c r="D5" s="1" t="s">
        <v>98</v>
      </c>
      <c r="E5" s="7">
        <v>2300258.064</v>
      </c>
      <c r="F5" s="7">
        <v>2295367.9699999997</v>
      </c>
      <c r="G5" s="7">
        <v>2602209.5962</v>
      </c>
      <c r="H5" s="7">
        <v>2524068.6134</v>
      </c>
    </row>
    <row r="6" spans="3:8" ht="12.75">
      <c r="C6" s="1" t="s">
        <v>25</v>
      </c>
      <c r="D6" s="2" t="s">
        <v>99</v>
      </c>
      <c r="E6" s="7">
        <v>15528223.92</v>
      </c>
      <c r="F6" s="7">
        <v>15797600</v>
      </c>
      <c r="G6" s="7">
        <v>21826462</v>
      </c>
      <c r="H6" s="7">
        <v>21326158</v>
      </c>
    </row>
    <row r="7" spans="3:8" ht="12.75">
      <c r="C7" s="1" t="s">
        <v>26</v>
      </c>
      <c r="D7" s="2" t="s">
        <v>99</v>
      </c>
      <c r="E7" s="7">
        <v>21631916.71199999</v>
      </c>
      <c r="F7" s="7">
        <v>28446180</v>
      </c>
      <c r="G7" s="7">
        <v>38595165</v>
      </c>
      <c r="H7" s="7">
        <v>36467796</v>
      </c>
    </row>
    <row r="8" spans="3:8" ht="12.75">
      <c r="C8" s="1" t="s">
        <v>27</v>
      </c>
      <c r="D8" s="2" t="s">
        <v>99</v>
      </c>
      <c r="E8" s="7">
        <v>3748910.5680000004</v>
      </c>
      <c r="F8" s="7">
        <v>3763130</v>
      </c>
      <c r="G8" s="7">
        <v>5478066</v>
      </c>
      <c r="H8" s="7">
        <v>5043144</v>
      </c>
    </row>
    <row r="9" spans="3:8" ht="12.75">
      <c r="C9" s="1" t="s">
        <v>28</v>
      </c>
      <c r="D9" s="2" t="s">
        <v>99</v>
      </c>
      <c r="E9" s="7">
        <v>9579987.552000003</v>
      </c>
      <c r="F9" s="7">
        <v>11118970</v>
      </c>
      <c r="G9" s="7">
        <v>14096657</v>
      </c>
      <c r="H9" s="7">
        <v>14803671</v>
      </c>
    </row>
    <row r="10" spans="3:8" ht="12.75">
      <c r="C10" s="1" t="s">
        <v>25</v>
      </c>
      <c r="D10" s="2" t="s">
        <v>99</v>
      </c>
      <c r="E10" s="7">
        <v>573894.5682669792</v>
      </c>
      <c r="F10" s="7">
        <v>1744453.4724150072</v>
      </c>
      <c r="G10" s="7">
        <v>2498288.5174177676</v>
      </c>
      <c r="H10" s="7">
        <v>2355768.6996846446</v>
      </c>
    </row>
    <row r="11" spans="3:8" ht="12.75">
      <c r="C11" s="1" t="s">
        <v>26</v>
      </c>
      <c r="D11" s="2" t="s">
        <v>99</v>
      </c>
      <c r="E11" s="7">
        <v>1324178.9104737623</v>
      </c>
      <c r="F11" s="7">
        <v>3658793.151939487</v>
      </c>
      <c r="G11" s="7">
        <v>3849127.275881018</v>
      </c>
      <c r="H11" s="7">
        <v>4485706.253330496</v>
      </c>
    </row>
    <row r="12" spans="3:8" ht="12.75">
      <c r="C12" s="1" t="s">
        <v>27</v>
      </c>
      <c r="D12" s="2" t="s">
        <v>99</v>
      </c>
      <c r="E12" s="7">
        <v>112035.03173302102</v>
      </c>
      <c r="F12" s="7">
        <v>208766.465413013</v>
      </c>
      <c r="G12" s="7">
        <v>392168.443437636</v>
      </c>
      <c r="H12" s="7">
        <v>536683.1275523026</v>
      </c>
    </row>
    <row r="13" spans="3:8" ht="12.75">
      <c r="C13" s="1" t="s">
        <v>28</v>
      </c>
      <c r="D13" s="2" t="s">
        <v>99</v>
      </c>
      <c r="E13" s="7">
        <v>585952.2895262375</v>
      </c>
      <c r="F13" s="7">
        <v>906337.0912098953</v>
      </c>
      <c r="G13" s="7">
        <v>1634907.3932635726</v>
      </c>
      <c r="H13" s="7">
        <v>2035792.8144325623</v>
      </c>
    </row>
    <row r="14" spans="3:8" ht="12.75">
      <c r="C14" s="37" t="s">
        <v>152</v>
      </c>
      <c r="D14" s="2"/>
      <c r="E14" s="7"/>
      <c r="F14" s="7"/>
      <c r="G14" s="7"/>
      <c r="H14" s="7"/>
    </row>
    <row r="15" ht="12.75">
      <c r="C15" s="37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C2:G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1.28125" style="1" bestFit="1" customWidth="1"/>
    <col min="4" max="16384" width="11.421875" style="1" customWidth="1"/>
  </cols>
  <sheetData>
    <row r="1" ht="13.5" thickBot="1"/>
    <row r="2" spans="3:4" ht="13.5" thickBot="1">
      <c r="C2" s="45" t="s">
        <v>106</v>
      </c>
      <c r="D2" s="46">
        <v>0.04</v>
      </c>
    </row>
    <row r="4" spans="3:7" ht="12.75">
      <c r="C4" s="2" t="s">
        <v>97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" t="s">
        <v>24</v>
      </c>
      <c r="D5" s="7">
        <f>+IngresosBrutos!E5*(1-IngresosNetos!$D$2)</f>
        <v>2208247.7414399995</v>
      </c>
      <c r="E5" s="7">
        <f>+IngresosBrutos!F5*(1-IngresosNetos!$D$2)</f>
        <v>2203553.2512</v>
      </c>
      <c r="F5" s="7">
        <f>+IngresosBrutos!G5*(1-IngresosNetos!$D$2)</f>
        <v>2498121.2123519997</v>
      </c>
      <c r="G5" s="7">
        <f>+IngresosBrutos!H5*(1-IngresosNetos!$D$2)</f>
        <v>2423105.868864</v>
      </c>
    </row>
    <row r="6" spans="3:7" ht="12.75">
      <c r="C6" s="1" t="s">
        <v>25</v>
      </c>
      <c r="D6" s="7">
        <f>+IngresosBrutos!E6*(1-IngresosNetos!$D$2)</f>
        <v>14907094.9632</v>
      </c>
      <c r="E6" s="7">
        <f>+IngresosBrutos!F6*(1-IngresosNetos!$D$2)</f>
        <v>15165696</v>
      </c>
      <c r="F6" s="7">
        <f>+IngresosBrutos!G6*(1-IngresosNetos!$D$2)</f>
        <v>20953403.52</v>
      </c>
      <c r="G6" s="7">
        <f>+IngresosBrutos!H6*(1-IngresosNetos!$D$2)</f>
        <v>20473111.68</v>
      </c>
    </row>
    <row r="7" spans="3:7" ht="12.75">
      <c r="C7" s="1" t="s">
        <v>26</v>
      </c>
      <c r="D7" s="7">
        <f>+IngresosBrutos!E7*(1-IngresosNetos!$D$2)</f>
        <v>20766640.04351999</v>
      </c>
      <c r="E7" s="7">
        <f>+IngresosBrutos!F7*(1-IngresosNetos!$D$2)</f>
        <v>27308332.8</v>
      </c>
      <c r="F7" s="7">
        <f>+IngresosBrutos!G7*(1-IngresosNetos!$D$2)</f>
        <v>37051358.4</v>
      </c>
      <c r="G7" s="7">
        <f>+IngresosBrutos!H7*(1-IngresosNetos!$D$2)</f>
        <v>35009084.16</v>
      </c>
    </row>
    <row r="8" spans="3:7" ht="12.75">
      <c r="C8" s="1" t="s">
        <v>27</v>
      </c>
      <c r="D8" s="7">
        <f>+IngresosBrutos!E8*(1-IngresosNetos!$D$2)</f>
        <v>3598954.1452800003</v>
      </c>
      <c r="E8" s="7">
        <f>+IngresosBrutos!F8*(1-IngresosNetos!$D$2)</f>
        <v>3612604.8</v>
      </c>
      <c r="F8" s="7">
        <f>+IngresosBrutos!G8*(1-IngresosNetos!$D$2)</f>
        <v>5258943.359999999</v>
      </c>
      <c r="G8" s="7">
        <f>+IngresosBrutos!H8*(1-IngresosNetos!$D$2)</f>
        <v>4841418.24</v>
      </c>
    </row>
    <row r="9" spans="3:7" ht="12.75">
      <c r="C9" s="1" t="s">
        <v>28</v>
      </c>
      <c r="D9" s="7">
        <f>+IngresosBrutos!E9*(1-IngresosNetos!$D$2)</f>
        <v>9196788.049920002</v>
      </c>
      <c r="E9" s="7">
        <f>+IngresosBrutos!F9*(1-IngresosNetos!$D$2)</f>
        <v>10674211.2</v>
      </c>
      <c r="F9" s="7">
        <f>+IngresosBrutos!G9*(1-IngresosNetos!$D$2)</f>
        <v>13532790.719999999</v>
      </c>
      <c r="G9" s="7">
        <f>+IngresosBrutos!H9*(1-IngresosNetos!$D$2)</f>
        <v>14211524.16</v>
      </c>
    </row>
    <row r="10" spans="3:7" ht="12.75">
      <c r="C10" s="1" t="s">
        <v>25</v>
      </c>
      <c r="D10" s="7">
        <f>+IngresosBrutos!E10*(1-IngresosNetos!$D$2)</f>
        <v>550938.7855363</v>
      </c>
      <c r="E10" s="7">
        <f>+IngresosBrutos!F10*(1-IngresosNetos!$D$2)</f>
        <v>1674675.3335184068</v>
      </c>
      <c r="F10" s="7">
        <f>+IngresosBrutos!G10*(1-IngresosNetos!$D$2)</f>
        <v>2398356.9767210567</v>
      </c>
      <c r="G10" s="7">
        <f>+IngresosBrutos!H10*(1-IngresosNetos!$D$2)</f>
        <v>2261537.9516972587</v>
      </c>
    </row>
    <row r="11" spans="3:7" ht="12.75">
      <c r="C11" s="1" t="s">
        <v>26</v>
      </c>
      <c r="D11" s="7">
        <f>+IngresosBrutos!E11*(1-IngresosNetos!$D$2)</f>
        <v>1271211.7540548118</v>
      </c>
      <c r="E11" s="7">
        <f>+IngresosBrutos!F11*(1-IngresosNetos!$D$2)</f>
        <v>3512441.4258619077</v>
      </c>
      <c r="F11" s="7">
        <f>+IngresosBrutos!G11*(1-IngresosNetos!$D$2)</f>
        <v>3695162.184845777</v>
      </c>
      <c r="G11" s="7">
        <f>+IngresosBrutos!H11*(1-IngresosNetos!$D$2)</f>
        <v>4306278.003197276</v>
      </c>
    </row>
    <row r="12" spans="3:7" ht="12.75">
      <c r="C12" s="1" t="s">
        <v>27</v>
      </c>
      <c r="D12" s="7">
        <f>+IngresosBrutos!E12*(1-IngresosNetos!$D$2)</f>
        <v>107553.63046370017</v>
      </c>
      <c r="E12" s="7">
        <f>+IngresosBrutos!F12*(1-IngresosNetos!$D$2)</f>
        <v>200415.80679649248</v>
      </c>
      <c r="F12" s="7">
        <f>+IngresosBrutos!G12*(1-IngresosNetos!$D$2)</f>
        <v>376481.70570013055</v>
      </c>
      <c r="G12" s="7">
        <f>+IngresosBrutos!H12*(1-IngresosNetos!$D$2)</f>
        <v>515215.80245021044</v>
      </c>
    </row>
    <row r="13" spans="3:7" ht="12.75">
      <c r="C13" s="1" t="s">
        <v>28</v>
      </c>
      <c r="D13" s="7">
        <f>+IngresosBrutos!E13*(1-IngresosNetos!$D$2)</f>
        <v>562514.197945188</v>
      </c>
      <c r="E13" s="7">
        <f>+IngresosBrutos!F13*(1-IngresosNetos!$D$2)</f>
        <v>870083.6075614995</v>
      </c>
      <c r="F13" s="7">
        <f>+IngresosBrutos!G13*(1-IngresosNetos!$D$2)</f>
        <v>1569511.0975330297</v>
      </c>
      <c r="G13" s="7">
        <f>+IngresosBrutos!H13*(1-IngresosNetos!$D$2)</f>
        <v>1954361.1018552599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C4:H15"/>
  <sheetViews>
    <sheetView showGridLines="0" zoomScalePageLayoutView="0" workbookViewId="0" topLeftCell="A1">
      <selection activeCell="C17" sqref="C17"/>
    </sheetView>
  </sheetViews>
  <sheetFormatPr defaultColWidth="11.421875" defaultRowHeight="15"/>
  <cols>
    <col min="1" max="2" width="11.421875" style="1" customWidth="1"/>
    <col min="3" max="3" width="26.57421875" style="1" bestFit="1" customWidth="1"/>
    <col min="4" max="4" width="35.57421875" style="1" bestFit="1" customWidth="1"/>
    <col min="5" max="16384" width="11.421875" style="1" customWidth="1"/>
  </cols>
  <sheetData>
    <row r="4" spans="3:8" ht="12.75">
      <c r="C4" s="2" t="s">
        <v>100</v>
      </c>
      <c r="D4" s="2" t="s">
        <v>23</v>
      </c>
      <c r="E4" s="2" t="s">
        <v>77</v>
      </c>
      <c r="F4" s="2" t="s">
        <v>78</v>
      </c>
      <c r="G4" s="2" t="s">
        <v>79</v>
      </c>
      <c r="H4" s="2" t="s">
        <v>80</v>
      </c>
    </row>
    <row r="5" spans="3:8" ht="12.75">
      <c r="C5" s="1" t="s">
        <v>24</v>
      </c>
      <c r="D5" s="1" t="s">
        <v>98</v>
      </c>
      <c r="E5" s="7">
        <v>3092184.2001677277</v>
      </c>
      <c r="F5" s="7">
        <v>3201266.77924131</v>
      </c>
      <c r="G5" s="7">
        <v>3648288.817135135</v>
      </c>
      <c r="H5" s="7">
        <v>3416752.1249509803</v>
      </c>
    </row>
    <row r="6" spans="3:8" ht="12.75">
      <c r="C6" s="1" t="s">
        <v>25</v>
      </c>
      <c r="D6" s="2" t="s">
        <v>99</v>
      </c>
      <c r="E6" s="7">
        <v>131379.672</v>
      </c>
      <c r="F6" s="7">
        <v>176753</v>
      </c>
      <c r="G6" s="7">
        <v>216354</v>
      </c>
      <c r="H6" s="7">
        <v>200754</v>
      </c>
    </row>
    <row r="7" spans="3:8" ht="12.75">
      <c r="C7" s="1" t="s">
        <v>26</v>
      </c>
      <c r="D7" s="2" t="s">
        <v>99</v>
      </c>
      <c r="E7" s="7">
        <v>303704.23199999996</v>
      </c>
      <c r="F7" s="7">
        <v>422122</v>
      </c>
      <c r="G7" s="7">
        <v>496540</v>
      </c>
      <c r="H7" s="7">
        <v>449933</v>
      </c>
    </row>
    <row r="8" spans="3:8" ht="12.75">
      <c r="C8" s="1" t="s">
        <v>27</v>
      </c>
      <c r="D8" s="2" t="s">
        <v>99</v>
      </c>
      <c r="E8" s="7">
        <v>42391.032</v>
      </c>
      <c r="F8" s="7">
        <v>52899</v>
      </c>
      <c r="G8" s="7">
        <v>75942</v>
      </c>
      <c r="H8" s="7">
        <v>68455</v>
      </c>
    </row>
    <row r="9" spans="3:8" ht="12.75">
      <c r="C9" s="1" t="s">
        <v>28</v>
      </c>
      <c r="D9" s="2" t="s">
        <v>99</v>
      </c>
      <c r="E9" s="7">
        <v>157266.33599999998</v>
      </c>
      <c r="F9" s="7">
        <v>207472</v>
      </c>
      <c r="G9" s="7">
        <v>261114</v>
      </c>
      <c r="H9" s="7">
        <v>267282</v>
      </c>
    </row>
    <row r="10" spans="3:8" ht="12.75">
      <c r="C10" s="1" t="s">
        <v>25</v>
      </c>
      <c r="D10" s="2" t="s">
        <v>99</v>
      </c>
      <c r="E10" s="7">
        <v>54918.551999999996</v>
      </c>
      <c r="F10" s="7">
        <v>62904</v>
      </c>
      <c r="G10" s="7">
        <v>91658</v>
      </c>
      <c r="H10" s="7">
        <v>81074</v>
      </c>
    </row>
    <row r="11" spans="3:8" ht="12.75">
      <c r="C11" s="1" t="s">
        <v>26</v>
      </c>
      <c r="D11" s="2" t="s">
        <v>99</v>
      </c>
      <c r="E11" s="7">
        <v>104427.864</v>
      </c>
      <c r="F11" s="7">
        <v>131934</v>
      </c>
      <c r="G11" s="7">
        <v>141218</v>
      </c>
      <c r="H11" s="7">
        <v>154376</v>
      </c>
    </row>
    <row r="12" spans="3:8" ht="12.75">
      <c r="C12" s="1" t="s">
        <v>27</v>
      </c>
      <c r="D12" s="2" t="s">
        <v>99</v>
      </c>
      <c r="E12" s="7">
        <v>10721.136</v>
      </c>
      <c r="F12" s="7">
        <v>7528</v>
      </c>
      <c r="G12" s="7">
        <v>14388</v>
      </c>
      <c r="H12" s="7">
        <v>18470</v>
      </c>
    </row>
    <row r="13" spans="3:8" ht="12.75">
      <c r="C13" s="1" t="s">
        <v>28</v>
      </c>
      <c r="D13" s="2" t="s">
        <v>99</v>
      </c>
      <c r="E13" s="7">
        <v>46209.576</v>
      </c>
      <c r="F13" s="7">
        <v>32682</v>
      </c>
      <c r="G13" s="7">
        <v>59982</v>
      </c>
      <c r="H13" s="7">
        <v>70062</v>
      </c>
    </row>
    <row r="14" spans="3:8" ht="12.75">
      <c r="C14" s="37" t="s">
        <v>152</v>
      </c>
      <c r="D14" s="2"/>
      <c r="E14" s="7"/>
      <c r="F14" s="7"/>
      <c r="G14" s="7"/>
      <c r="H14" s="7"/>
    </row>
    <row r="15" ht="12.75">
      <c r="C15" s="37" t="s">
        <v>162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C4:G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6.57421875" style="1" bestFit="1" customWidth="1"/>
    <col min="4" max="16384" width="11.421875" style="1" customWidth="1"/>
  </cols>
  <sheetData>
    <row r="4" spans="3:7" ht="12.75">
      <c r="C4" s="2" t="s">
        <v>97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1" t="s">
        <v>24</v>
      </c>
      <c r="D5" s="40">
        <f>+IngresosNetos!D5/CantidadesProducto!E5</f>
        <v>0.714138485449935</v>
      </c>
      <c r="E5" s="40">
        <f>+IngresosNetos!E5/CantidadesProducto!F5</f>
        <v>0.6883378996992668</v>
      </c>
      <c r="F5" s="40">
        <f>+IngresosNetos!F5/CantidadesProducto!G5</f>
        <v>0.6847377873755294</v>
      </c>
      <c r="G5" s="40">
        <f>+IngresosNetos!G5/CantidadesProducto!H5</f>
        <v>0.7091839794783954</v>
      </c>
    </row>
    <row r="6" spans="3:7" ht="12.75">
      <c r="C6" s="1" t="s">
        <v>25</v>
      </c>
      <c r="D6" s="40">
        <f>+IngresosNetos!D6/CantidadesProducto!E6</f>
        <v>113.4657648041624</v>
      </c>
      <c r="E6" s="40">
        <f>+IngresosNetos!E6/CantidadesProducto!F6</f>
        <v>85.80163278699655</v>
      </c>
      <c r="F6" s="40">
        <f>+IngresosNetos!F6/CantidadesProducto!G6</f>
        <v>96.84777503535872</v>
      </c>
      <c r="G6" s="40">
        <f>+IngresosNetos!G6/CantidadesProducto!H6</f>
        <v>101.98108969186168</v>
      </c>
    </row>
    <row r="7" spans="3:7" ht="12.75">
      <c r="C7" s="1" t="s">
        <v>26</v>
      </c>
      <c r="D7" s="40">
        <f>+IngresosNetos!D7/CantidadesProducto!E7</f>
        <v>68.37784217481695</v>
      </c>
      <c r="E7" s="40">
        <f>+IngresosNetos!E7/CantidadesProducto!F7</f>
        <v>64.69298638782153</v>
      </c>
      <c r="F7" s="40">
        <f>+IngresosNetos!F7/CantidadesProducto!G7</f>
        <v>74.61908083940871</v>
      </c>
      <c r="G7" s="40">
        <f>+IngresosNetos!G7/CantidadesProducto!H7</f>
        <v>77.80954977741129</v>
      </c>
    </row>
    <row r="8" spans="3:7" ht="12.75">
      <c r="C8" s="1" t="s">
        <v>27</v>
      </c>
      <c r="D8" s="40">
        <f>+IngresosNetos!D8/CantidadesProducto!E8</f>
        <v>84.89895092150624</v>
      </c>
      <c r="E8" s="40">
        <f>+IngresosNetos!E8/CantidadesProducto!F8</f>
        <v>68.29249702262803</v>
      </c>
      <c r="F8" s="40">
        <f>+IngresosNetos!F8/CantidadesProducto!G8</f>
        <v>69.24947143872954</v>
      </c>
      <c r="G8" s="40">
        <f>+IngresosNetos!G8/CantidadesProducto!H8</f>
        <v>70.72409962749252</v>
      </c>
    </row>
    <row r="9" spans="3:7" ht="12.75">
      <c r="C9" s="1" t="s">
        <v>28</v>
      </c>
      <c r="D9" s="40">
        <f>+IngresosNetos!D9/CantidadesProducto!E9</f>
        <v>58.47906350358416</v>
      </c>
      <c r="E9" s="40">
        <f>+IngresosNetos!E9/CantidadesProducto!F9</f>
        <v>51.448924192180144</v>
      </c>
      <c r="F9" s="40">
        <f>+IngresosNetos!F9/CantidadesProducto!G9</f>
        <v>51.82713573381741</v>
      </c>
      <c r="G9" s="40">
        <f>+IngresosNetos!G9/CantidadesProducto!H9</f>
        <v>53.170524614452155</v>
      </c>
    </row>
    <row r="10" spans="3:7" ht="12.75">
      <c r="C10" s="1" t="s">
        <v>25</v>
      </c>
      <c r="D10" s="40">
        <f>+IngresosNetos!D10/CantidadesProducto!E10</f>
        <v>10.031924831818218</v>
      </c>
      <c r="E10" s="40">
        <f>+IngresosNetos!E10/CantidadesProducto!F10</f>
        <v>26.62271609942781</v>
      </c>
      <c r="F10" s="40">
        <f>+IngresosNetos!F10/CantidadesProducto!G10</f>
        <v>26.166368202677962</v>
      </c>
      <c r="G10" s="40">
        <f>+IngresosNetos!G10/CantidadesProducto!H10</f>
        <v>27.894737544678428</v>
      </c>
    </row>
    <row r="11" spans="3:7" ht="12.75">
      <c r="C11" s="1" t="s">
        <v>26</v>
      </c>
      <c r="D11" s="40">
        <f>+IngresosNetos!D11/CantidadesProducto!E11</f>
        <v>12.173108836687609</v>
      </c>
      <c r="E11" s="40">
        <f>+IngresosNetos!E11/CantidadesProducto!F11</f>
        <v>26.6227160994278</v>
      </c>
      <c r="F11" s="40">
        <f>+IngresosNetos!F11/CantidadesProducto!G11</f>
        <v>26.16636820267797</v>
      </c>
      <c r="G11" s="40">
        <f>+IngresosNetos!G11/CantidadesProducto!H11</f>
        <v>27.89473754467842</v>
      </c>
    </row>
    <row r="12" spans="3:7" ht="12.75">
      <c r="C12" s="1" t="s">
        <v>27</v>
      </c>
      <c r="D12" s="40">
        <f>+IngresosNetos!D12/CantidadesProducto!E12</f>
        <v>10.03192483181821</v>
      </c>
      <c r="E12" s="40">
        <f>+IngresosNetos!E12/CantidadesProducto!F12</f>
        <v>26.6227160994278</v>
      </c>
      <c r="F12" s="40">
        <f>+IngresosNetos!F12/CantidadesProducto!G12</f>
        <v>26.166368202677965</v>
      </c>
      <c r="G12" s="40">
        <f>+IngresosNetos!G12/CantidadesProducto!H12</f>
        <v>27.89473754467842</v>
      </c>
    </row>
    <row r="13" spans="3:7" ht="12.75">
      <c r="C13" s="1" t="s">
        <v>28</v>
      </c>
      <c r="D13" s="40">
        <f>+IngresosNetos!D13/CantidadesProducto!E13</f>
        <v>12.173108836687616</v>
      </c>
      <c r="E13" s="40">
        <f>+IngresosNetos!E13/CantidadesProducto!F13</f>
        <v>26.6227160994278</v>
      </c>
      <c r="F13" s="40">
        <f>+IngresosNetos!F13/CantidadesProducto!G13</f>
        <v>26.166368202677965</v>
      </c>
      <c r="G13" s="40">
        <f>+IngresosNetos!G13/CantidadesProducto!H13</f>
        <v>27.894737544678424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C4:G14"/>
  <sheetViews>
    <sheetView showGridLines="0" zoomScalePageLayoutView="0" workbookViewId="0" topLeftCell="A1">
      <selection activeCell="D13" sqref="D13"/>
    </sheetView>
  </sheetViews>
  <sheetFormatPr defaultColWidth="11.421875" defaultRowHeight="15"/>
  <cols>
    <col min="1" max="2" width="11.421875" style="1" customWidth="1"/>
    <col min="3" max="3" width="36.8515625" style="1" bestFit="1" customWidth="1"/>
    <col min="4" max="4" width="11.421875" style="1" customWidth="1"/>
    <col min="5" max="6" width="12.7109375" style="1" bestFit="1" customWidth="1"/>
    <col min="7" max="7" width="13.00390625" style="1" bestFit="1" customWidth="1"/>
    <col min="8" max="16384" width="11.421875" style="1" customWidth="1"/>
  </cols>
  <sheetData>
    <row r="4" spans="3:7" ht="12.75">
      <c r="C4" s="2" t="s">
        <v>61</v>
      </c>
      <c r="D4" s="2" t="s">
        <v>77</v>
      </c>
      <c r="E4" s="2" t="s">
        <v>78</v>
      </c>
      <c r="F4" s="2" t="s">
        <v>79</v>
      </c>
      <c r="G4" s="2" t="s">
        <v>80</v>
      </c>
    </row>
    <row r="5" spans="3:7" ht="12.75">
      <c r="C5" s="29" t="s">
        <v>90</v>
      </c>
      <c r="E5" s="25">
        <f>+E6/E7</f>
        <v>1.3744812739197672</v>
      </c>
      <c r="F5" s="25">
        <f>+F6/F7</f>
        <v>1.2629008625700187</v>
      </c>
      <c r="G5" s="25">
        <f>+G6/G7</f>
        <v>0.9730185925021313</v>
      </c>
    </row>
    <row r="6" spans="3:7" ht="12.75">
      <c r="C6" s="19" t="s">
        <v>0</v>
      </c>
      <c r="E6" s="30">
        <v>93656525.83309843</v>
      </c>
      <c r="F6" s="30">
        <v>112668026.26259656</v>
      </c>
      <c r="G6" s="30">
        <v>118999920.23932733</v>
      </c>
    </row>
    <row r="7" spans="3:7" ht="12.75">
      <c r="C7" s="19" t="s">
        <v>1</v>
      </c>
      <c r="E7" s="30">
        <v>68139542.97537084</v>
      </c>
      <c r="F7" s="30">
        <v>89213674.32857378</v>
      </c>
      <c r="G7" s="30">
        <v>122299739.34343569</v>
      </c>
    </row>
    <row r="8" spans="3:7" ht="12.75">
      <c r="C8" s="29" t="s">
        <v>91</v>
      </c>
      <c r="D8" s="15"/>
      <c r="E8" s="32">
        <f>+E9/E10</f>
        <v>1.3633593633978551</v>
      </c>
      <c r="F8" s="32">
        <f>+F9/F10</f>
        <v>1.2618655283053455</v>
      </c>
      <c r="G8" s="32">
        <f>+G9/G10</f>
        <v>0.9714495488506985</v>
      </c>
    </row>
    <row r="9" spans="3:7" ht="12.75">
      <c r="C9" s="19" t="s">
        <v>0</v>
      </c>
      <c r="E9" s="30">
        <v>89213674.32857378</v>
      </c>
      <c r="F9" s="30">
        <v>122299739.34343569</v>
      </c>
      <c r="G9" s="30">
        <v>124012073.31080031</v>
      </c>
    </row>
    <row r="10" spans="3:7" ht="12.75">
      <c r="C10" s="19" t="s">
        <v>1</v>
      </c>
      <c r="E10" s="30">
        <v>65436653.551290765</v>
      </c>
      <c r="F10" s="30">
        <v>96919787.88554534</v>
      </c>
      <c r="G10" s="30">
        <v>127656730.56054881</v>
      </c>
    </row>
    <row r="11" spans="3:7" ht="13.5" thickBot="1">
      <c r="C11" s="29" t="s">
        <v>92</v>
      </c>
      <c r="D11" s="15"/>
      <c r="E11" s="25">
        <f>+SQRT(E5*E8)</f>
        <v>1.3689090234977366</v>
      </c>
      <c r="F11" s="25">
        <f>+SQRT(F5*F8)</f>
        <v>1.2623830892974577</v>
      </c>
      <c r="G11" s="25">
        <f>+SQRT(G5*G8)</f>
        <v>0.9722337541504805</v>
      </c>
    </row>
    <row r="12" spans="3:7" ht="12.75">
      <c r="C12" s="20" t="s">
        <v>157</v>
      </c>
      <c r="D12" s="26"/>
      <c r="E12" s="27">
        <f>+LN(E11)</f>
        <v>0.314014089384978</v>
      </c>
      <c r="F12" s="27">
        <f>+LN(F11)</f>
        <v>0.23300127534283105</v>
      </c>
      <c r="G12" s="27">
        <f>+LN(G11)</f>
        <v>-0.02815901562511949</v>
      </c>
    </row>
    <row r="13" ht="13.5" thickBot="1"/>
    <row r="14" spans="6:7" ht="13.5" thickBot="1">
      <c r="F14" s="28" t="s">
        <v>22</v>
      </c>
      <c r="G14" s="39">
        <f>+AVERAGE(E12:G12)</f>
        <v>0.17295211636756322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caparicio</dc:creator>
  <cp:keywords/>
  <dc:description/>
  <cp:lastModifiedBy>Josue Zavaleta</cp:lastModifiedBy>
  <cp:lastPrinted>2014-02-13T16:29:48Z</cp:lastPrinted>
  <dcterms:created xsi:type="dcterms:W3CDTF">2008-12-12T22:45:09Z</dcterms:created>
  <dcterms:modified xsi:type="dcterms:W3CDTF">2015-05-07T15:13:21Z</dcterms:modified>
  <cp:category/>
  <cp:version/>
  <cp:contentType/>
  <cp:contentStatus/>
</cp:coreProperties>
</file>