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135" tabRatio="785" activeTab="0"/>
  </bookViews>
  <sheets>
    <sheet name="1.Parametros" sheetId="1" r:id="rId1"/>
    <sheet name="2. Flujo de Caja" sheetId="2" r:id="rId2"/>
    <sheet name="3.Ingresos" sheetId="3" r:id="rId3"/>
    <sheet name="3.1 Demanda" sheetId="4" r:id="rId4"/>
    <sheet name="3.1.1 Resumen Proyecciones" sheetId="5" r:id="rId5"/>
    <sheet name="3.2 Otros ingresos" sheetId="6" r:id="rId6"/>
    <sheet name="3.3 Tarifas" sheetId="7" r:id="rId7"/>
    <sheet name="4. OPEX" sheetId="8" r:id="rId8"/>
    <sheet name="5. CAPEX" sheetId="9" r:id="rId9"/>
  </sheets>
  <externalReferences>
    <externalReference r:id="rId12"/>
  </externalReferences>
  <definedNames>
    <definedName name="CBWorkbookPriority" hidden="1">-1935235038</definedName>
    <definedName name="solver_eng" localSheetId="7" hidden="1">1</definedName>
    <definedName name="solver_neg" localSheetId="7" hidden="1">1</definedName>
    <definedName name="solver_num" localSheetId="7" hidden="1">0</definedName>
    <definedName name="solver_opt" localSheetId="7" hidden="1">'4. OPEX'!$G$3</definedName>
    <definedName name="solver_typ" localSheetId="7" hidden="1">1</definedName>
    <definedName name="solver_val" localSheetId="7" hidden="1">0</definedName>
    <definedName name="solver_ver" localSheetId="7" hidden="1">3</definedName>
  </definedNames>
  <calcPr fullCalcOnLoad="1"/>
</workbook>
</file>

<file path=xl/sharedStrings.xml><?xml version="1.0" encoding="utf-8"?>
<sst xmlns="http://schemas.openxmlformats.org/spreadsheetml/2006/main" count="449" uniqueCount="273">
  <si>
    <t>Año</t>
  </si>
  <si>
    <t>Ingresos Brutos</t>
  </si>
  <si>
    <t>Aporte por Regulación</t>
  </si>
  <si>
    <t>Ingresos Netos</t>
  </si>
  <si>
    <t>Pago de IR</t>
  </si>
  <si>
    <t>Flujo de Caja Operativo</t>
  </si>
  <si>
    <t>Inversión realizadas</t>
  </si>
  <si>
    <t>Plan de Inversiones</t>
  </si>
  <si>
    <t>Flujo de Caja Económico</t>
  </si>
  <si>
    <t>VAN</t>
  </si>
  <si>
    <t>Gastos Operativos</t>
  </si>
  <si>
    <t>Depreciación y Amortización</t>
  </si>
  <si>
    <t>Utilidad Neta</t>
  </si>
  <si>
    <t>Granel Sólido</t>
  </si>
  <si>
    <t>PROYECCION DE DEMANDA</t>
  </si>
  <si>
    <t>Carga Fraccionada</t>
  </si>
  <si>
    <t xml:space="preserve">Carga Líquida a granel </t>
  </si>
  <si>
    <t>Carga Rodante</t>
  </si>
  <si>
    <t>Contenedores con carga de 20 pies</t>
  </si>
  <si>
    <t>Contenedores con carga de 40 pies</t>
  </si>
  <si>
    <t>USO DE AMARRADERO</t>
  </si>
  <si>
    <t>Naves de Alto Bordo</t>
  </si>
  <si>
    <t>Importación (TM )</t>
  </si>
  <si>
    <t>Exportación (TM )</t>
  </si>
  <si>
    <t>Años</t>
  </si>
  <si>
    <t>Opex Total</t>
  </si>
  <si>
    <t>CR 2012</t>
  </si>
  <si>
    <t>CR 2013</t>
  </si>
  <si>
    <t>CR 2014</t>
  </si>
  <si>
    <t>Intangible</t>
  </si>
  <si>
    <t>Rubro</t>
  </si>
  <si>
    <t>%</t>
  </si>
  <si>
    <t>Activo</t>
  </si>
  <si>
    <t>Depreciación Acumulada</t>
  </si>
  <si>
    <t>Activo Neto</t>
  </si>
  <si>
    <t>Inversiones realizadas</t>
  </si>
  <si>
    <t>Recuperación Inversión</t>
  </si>
  <si>
    <t>ACTIVO FIJO</t>
  </si>
  <si>
    <t>DESCRIPCIÓN</t>
  </si>
  <si>
    <t>AL 31.DIC.2014</t>
  </si>
  <si>
    <t>(Expresado en Nuevos Soles)</t>
  </si>
  <si>
    <t>SALDO INICIAL</t>
  </si>
  <si>
    <t>ADICIONES/MEJORAS</t>
  </si>
  <si>
    <t>RETIROS/BAJAS</t>
  </si>
  <si>
    <t>AJUSTE/TRANSFERENCIAS</t>
  </si>
  <si>
    <t>REVALUACIÓN</t>
  </si>
  <si>
    <t>GASTOS DE DEPRECIACION</t>
  </si>
  <si>
    <t>SALDO FINAL</t>
  </si>
  <si>
    <t>Terrenos</t>
  </si>
  <si>
    <t>Edificios y Construcciones</t>
  </si>
  <si>
    <t>Maquinaria y Equipo</t>
  </si>
  <si>
    <t>Otros</t>
  </si>
  <si>
    <t>Provisión Desvalorización</t>
  </si>
  <si>
    <t>INTANGIBLE</t>
  </si>
  <si>
    <t>Amortización</t>
  </si>
  <si>
    <t>Descripción</t>
  </si>
  <si>
    <t>Estado
 Financiero</t>
  </si>
  <si>
    <t>Servicios Regulados</t>
  </si>
  <si>
    <t>Servicio sin tarifa Regulada pero con poder de mercado</t>
  </si>
  <si>
    <t>Servicios No Regulados</t>
  </si>
  <si>
    <t>Amarre Desamarre</t>
  </si>
  <si>
    <t>Uso Amarradero</t>
  </si>
  <si>
    <t>Uso de Muelle</t>
  </si>
  <si>
    <t>Carga  Peligrosa</t>
  </si>
  <si>
    <t xml:space="preserve">Alq. Equ. Mod  Muelles o </t>
  </si>
  <si>
    <t>Almacenam.</t>
  </si>
  <si>
    <t>Transf. Manip. de Carga</t>
  </si>
  <si>
    <t>Carga   Rodante</t>
  </si>
  <si>
    <t>Carga Contenedore</t>
  </si>
  <si>
    <t>Carga Sólida  a Granel</t>
  </si>
  <si>
    <t>Carga    Líquida</t>
  </si>
  <si>
    <t>ESTADO DE PERDIDAS Y GANACIAS PARA EL PERIODO TERMIADO AL 31 DE DICIEMBRE 2014</t>
  </si>
  <si>
    <t>Activo Fijo (Neto)</t>
  </si>
  <si>
    <t>Amortización Ac Intangible</t>
  </si>
  <si>
    <t>Amort. Acumulada Intangible</t>
  </si>
  <si>
    <t>Amort Intangible</t>
  </si>
  <si>
    <t>Deprec. Acumulada Edificios y Construcciones</t>
  </si>
  <si>
    <t>Deprec. Acumulada Maquinaria y Equipo</t>
  </si>
  <si>
    <t>Deprec. Acumulada Otros</t>
  </si>
  <si>
    <t>Carga Sólida a granel</t>
  </si>
  <si>
    <t>TARIFA ACTUAL (US$)</t>
  </si>
  <si>
    <t>TARIFA PROPUESTA (S/.)</t>
  </si>
  <si>
    <t>TC</t>
  </si>
  <si>
    <t>Granel Líquido</t>
  </si>
  <si>
    <t>Llenos de 20'</t>
  </si>
  <si>
    <t>Llenos de 40'</t>
  </si>
  <si>
    <t>NAVES</t>
  </si>
  <si>
    <t>SERVICIOS</t>
  </si>
  <si>
    <t>Por contenedor</t>
  </si>
  <si>
    <t>Por tonelada</t>
  </si>
  <si>
    <t xml:space="preserve"> USO DE MUELLE </t>
  </si>
  <si>
    <t>Embarque/Desembarque de pasajeros</t>
  </si>
  <si>
    <t>Por pasajero</t>
  </si>
  <si>
    <t>Por metro de eslora-hora</t>
  </si>
  <si>
    <t>PASAJEROS</t>
  </si>
  <si>
    <t>USO DE MUELLE</t>
  </si>
  <si>
    <t>RESUMEN PROYECCIONES</t>
  </si>
  <si>
    <t>NUMERO DE NAVES</t>
  </si>
  <si>
    <t>2012-2014</t>
  </si>
  <si>
    <t>Naves de Alto Bordo (Eslora X Hora)</t>
  </si>
  <si>
    <t>Suma de Eslora (Metros)</t>
  </si>
  <si>
    <t>Suma de Permanencia (Horas)</t>
  </si>
  <si>
    <t>Eslora Promedio (Metros)</t>
  </si>
  <si>
    <t>Permanencia Promedio (Horas)</t>
  </si>
  <si>
    <t>Contenedores (Unid.)</t>
  </si>
  <si>
    <t>GRANEL SÓLIDO</t>
  </si>
  <si>
    <t>Opex Directo (S/.)</t>
  </si>
  <si>
    <t>Opex Indirecto (S/.)</t>
  </si>
  <si>
    <t>Opex No Imputable (S/.)</t>
  </si>
  <si>
    <t>Promedio 2012-2014</t>
  </si>
  <si>
    <t>GRANEL LÍQUIDO</t>
  </si>
  <si>
    <t>CARGA FRACCIONADA</t>
  </si>
  <si>
    <t>CARGA RODANTE</t>
  </si>
  <si>
    <t>CONTENEDORES</t>
  </si>
  <si>
    <t>NAVE ALTO BORDO</t>
  </si>
  <si>
    <t>Total movilizado (Tm, contenedores, pasajeros, eslora-hora)</t>
  </si>
  <si>
    <t>TOTAL INGRESOS</t>
  </si>
  <si>
    <t>VARIACIÓN RESPECO A LA TARIFA ACTUAL</t>
  </si>
  <si>
    <t>OPEX</t>
  </si>
  <si>
    <t>UNIDAD DE COBRO</t>
  </si>
  <si>
    <t>Iquitos</t>
  </si>
  <si>
    <t>Yurimaguas</t>
  </si>
  <si>
    <t>Puerto Maldonado</t>
  </si>
  <si>
    <t>Huacho-Supe</t>
  </si>
  <si>
    <t>Chicama</t>
  </si>
  <si>
    <t>OTROS INGRESOS</t>
  </si>
  <si>
    <t>Ingresos por tarifas reguladas</t>
  </si>
  <si>
    <t>Driver servicios regulados</t>
  </si>
  <si>
    <t>Driver de egresos</t>
  </si>
  <si>
    <t>Total Costos</t>
  </si>
  <si>
    <t>PROMEDIO</t>
  </si>
  <si>
    <t>Tasa de descuento</t>
  </si>
  <si>
    <t>Montos expresados en S/.</t>
  </si>
  <si>
    <t>WACC en Soles</t>
  </si>
  <si>
    <t>PROYECCION DE INGRESOS EN DÓLARES A TIPO DE CAMBIO DEL AÑO CORRIENTE</t>
  </si>
  <si>
    <t>Impo_CS (TM )</t>
  </si>
  <si>
    <t>Expo_CS (TM )</t>
  </si>
  <si>
    <t>Impo_CF</t>
  </si>
  <si>
    <t>Expo_CF</t>
  </si>
  <si>
    <t>Expo_CL</t>
  </si>
  <si>
    <t>AMARRE Y DESAMARRE</t>
  </si>
  <si>
    <t>Por operación</t>
  </si>
  <si>
    <t>AMARRE/DESAMARRE</t>
  </si>
  <si>
    <t>Total_Ctr_LL_20</t>
  </si>
  <si>
    <t>Total_Ctr_LL_40</t>
  </si>
  <si>
    <t>Pago de IR (2015-2016)</t>
  </si>
  <si>
    <t>Pago de IR (2017-2018)</t>
  </si>
  <si>
    <t>Pago de IR (2019 en adelante)</t>
  </si>
  <si>
    <t>Ilo</t>
  </si>
  <si>
    <t xml:space="preserve">UTILIDAD/PÉRDIDAS PUERTOS SUBSIDIADOS </t>
  </si>
  <si>
    <t>Driver en función del subsidio 2014</t>
  </si>
  <si>
    <t>A. OTROS INGRESOS ENAPU</t>
  </si>
  <si>
    <t>B. OTROS INGRESOS ILO</t>
  </si>
  <si>
    <t xml:space="preserve"> B.1 DETERMINACIÓN DEL DRIVER DE ASIGNACION DE TRASFERENCIAS POR PUERTO</t>
  </si>
  <si>
    <t>B.3.1 DETERMINACIÓN DEL DRIVER DE ASIGNACION DE TRASFERENCIAS POR SERVICIOS</t>
  </si>
  <si>
    <t>Otros ingresos (transferencias APM Terminals)</t>
  </si>
  <si>
    <t>B.3.2 Otros ingresos y egresos asignados a servicios regulados (En Nuevos Soles)</t>
  </si>
  <si>
    <t>Total_Ctr_Vac_20</t>
  </si>
  <si>
    <t>Total_Ctr_Vac_40</t>
  </si>
  <si>
    <t>Contenedores vacíos de 20 pies</t>
  </si>
  <si>
    <t>Contenedores vacíos de 40 pies</t>
  </si>
  <si>
    <t>Contenedores sin carga de 20 pies</t>
  </si>
  <si>
    <t>A. COSTO PROMEDIO POR UNIDAD PRODUCIDA</t>
  </si>
  <si>
    <t>A.1 ESTIMACIÓN DE COSTO POR UNIDAD PRODUCIDA</t>
  </si>
  <si>
    <t>Fuente: Reportes de Contabilidad Regulatoria - ENAPU</t>
  </si>
  <si>
    <t>A.2 INFLACIÓN ESTIMADA</t>
  </si>
  <si>
    <t>Tasa de Inflación, (MMM 2016-18)</t>
  </si>
  <si>
    <t>Fuente: Marco Macroeconómico Multianual -MEF</t>
  </si>
  <si>
    <t>A.3 COSTO PROMEDIO POR UNIDAD PRODUCIDA AJUSTADO POR INFLACIÓN</t>
  </si>
  <si>
    <t>Costo promedio ajustado por inflación</t>
  </si>
  <si>
    <t>Fuente: ENAPU</t>
  </si>
  <si>
    <t>B. OPEX TOTAL</t>
  </si>
  <si>
    <t>COSTO TOTAL (S/.)</t>
  </si>
  <si>
    <t>A. INFORMACIÓN BASE</t>
  </si>
  <si>
    <t>Vida útil</t>
  </si>
  <si>
    <t>Depreciación de las edificaciones</t>
  </si>
  <si>
    <t>30 años</t>
  </si>
  <si>
    <t>10 años</t>
  </si>
  <si>
    <t>Tasa</t>
  </si>
  <si>
    <t>A.1 DEPRECIACIÓN</t>
  </si>
  <si>
    <t>A.2 ACTIVO FIJO Y ACTIVO INTANGIBLE POR PARTIDAS</t>
  </si>
  <si>
    <t>Fuente: Reporte de Contabilidad Regulatoria - ENAPU 2014</t>
  </si>
  <si>
    <t>B. DRIVER DE ASIGNACIÓN DE ACTIVOS A SERVICIOS REGULADOS*</t>
  </si>
  <si>
    <t>C. ESTRUCTURA DEL CAPEX TOTAL</t>
  </si>
  <si>
    <t>C.1 CAPEX ACTUAL ASIGNADO A SERVICIOS REGULADOS (S/.)</t>
  </si>
  <si>
    <t>C.2 DEPRECIACIÓN (S/.)</t>
  </si>
  <si>
    <t>Deprec anual (2015-2019)</t>
  </si>
  <si>
    <t>C.3 CAPEX NUEVAS INVERSIONES</t>
  </si>
  <si>
    <r>
      <t xml:space="preserve">C.4 RESUMEN CAPEX TOTAL DE SERVICIOS REGULADOS </t>
    </r>
    <r>
      <rPr>
        <sz val="10"/>
        <color indexed="8"/>
        <rFont val="Corbel"/>
        <family val="2"/>
      </rPr>
      <t>(En S/.)</t>
    </r>
  </si>
  <si>
    <t>Depreciación anual (2015-2019)</t>
  </si>
  <si>
    <t>Proyección</t>
  </si>
  <si>
    <t>Uso de transferencias</t>
  </si>
  <si>
    <t xml:space="preserve"> B.2 ASIGNACIÓN DE OTROS INGREOS A ILO (Total)</t>
  </si>
  <si>
    <t>Transferencias APM Terminals Callao S.A. (S/.)</t>
  </si>
  <si>
    <t>Proyectos ENAPU  (S/.)</t>
  </si>
  <si>
    <t>Subsidio puertos deficitarios  (S/.)</t>
  </si>
  <si>
    <t>Iquitos  (S/.)</t>
  </si>
  <si>
    <t>Yurimaguas  (S/.)</t>
  </si>
  <si>
    <t>Puerto Maldonado  (S/.)</t>
  </si>
  <si>
    <t>Huacho-Supe  (S/.)</t>
  </si>
  <si>
    <t>Chicama  (S/.)</t>
  </si>
  <si>
    <t>Ilo  (S/.)</t>
  </si>
  <si>
    <t>Transferencias APM Terminals Callao S.A.  (S/.)</t>
  </si>
  <si>
    <t>OTROS INGRESOS  (S/.)</t>
  </si>
  <si>
    <t>COSTOS TOTALES  (S/.)</t>
  </si>
  <si>
    <t>OTROS INGRESOS ASIGNADOS A SERVICIOS REGULADOS (S/.)</t>
  </si>
  <si>
    <t>B.3 ASIGNACIÓN DE OTROS INGREOS A SERVICIOS REGULADOS</t>
  </si>
  <si>
    <t>Variación de las tarifas portuarias respecto a la tarifa actual</t>
  </si>
  <si>
    <t xml:space="preserve">* Tipo de cambio 2014: </t>
  </si>
  <si>
    <t>EQUIVALENCIA DE TARIFA PROPUESTA EN US$*</t>
  </si>
  <si>
    <t>CAPACIDAD DE NAVES</t>
  </si>
  <si>
    <t>ND</t>
  </si>
  <si>
    <t>GRANELEROS (TM)</t>
  </si>
  <si>
    <t>CONTEINERAS (CONT.)</t>
  </si>
  <si>
    <t>GENERAL CARGO-CONVENCIONAL. (TM)</t>
  </si>
  <si>
    <t>TANQUE-PETROLERO/GAS ( TM)</t>
  </si>
  <si>
    <t>Alto bordo (Unid.)</t>
  </si>
  <si>
    <t>GRANELEROS (Unid.)</t>
  </si>
  <si>
    <t>PASAJEROS (Unid.)</t>
  </si>
  <si>
    <t>TANQUE-PETROLERO/GAS (Unid.)</t>
  </si>
  <si>
    <t>CONTAINER SHIP (Unid.)</t>
  </si>
  <si>
    <t>GENERAL CARGO-CONVENCIONAL (Unid.)</t>
  </si>
  <si>
    <t>REFRIGERADO (Unid.)</t>
  </si>
  <si>
    <t>MINERALES (Unid.)</t>
  </si>
  <si>
    <t>ROLL ON ROLL OF (Unid.)</t>
  </si>
  <si>
    <t>PESQUEROS (Unid.)</t>
  </si>
  <si>
    <t>CHATA, LANCHÓN, NAVES MENORES (Unid.)</t>
  </si>
  <si>
    <t>INVESTIGACIÓN/CIENTÍFICOS (Unid.)</t>
  </si>
  <si>
    <t>ARMADA - DE GUERRA (Unid.)</t>
  </si>
  <si>
    <t>Granel Sólido  (TM )</t>
  </si>
  <si>
    <t>Granel Líquido  (TM )</t>
  </si>
  <si>
    <t>Carga Fraccionada  (TM )</t>
  </si>
  <si>
    <t>Carga Rodante  (TM )</t>
  </si>
  <si>
    <t>PROYECCION DE INGRESOS EN SOLES</t>
  </si>
  <si>
    <t>PARAMETROS</t>
  </si>
  <si>
    <t>Inflación</t>
  </si>
  <si>
    <t>ESTRUCTURA TARIFARIA</t>
  </si>
  <si>
    <t>SERVICIOS A LA NAVE</t>
  </si>
  <si>
    <t>SERVICIO A LA CARGA</t>
  </si>
  <si>
    <t>Uso de muelle</t>
  </si>
  <si>
    <t>Uso de amarradero</t>
  </si>
  <si>
    <t>Amarre y desamarre</t>
  </si>
  <si>
    <t>Tonelada</t>
  </si>
  <si>
    <t>Contenedor</t>
  </si>
  <si>
    <t>Pasajero</t>
  </si>
  <si>
    <t>Metro de eslora-hora</t>
  </si>
  <si>
    <t>Uso de muelle Carga sólida (S/. por Tm.)</t>
  </si>
  <si>
    <t>Uso de muelle Carga líquida(S/. por Tm.)</t>
  </si>
  <si>
    <t>Uso de muelle Carga fraccionada (S/. por Tm.)</t>
  </si>
  <si>
    <t>Uso de muelle Carga rodante (S/. por Tm.)</t>
  </si>
  <si>
    <t>Uso de muelle Contenedores (S/. por contenedor.)</t>
  </si>
  <si>
    <t>Uso de muelle Pasajeros ((S/. por pasajero)</t>
  </si>
  <si>
    <t>Uso de amarradero ((S/. por eslora-hora)</t>
  </si>
  <si>
    <t>Amarre y desamarre (S/. por operación)</t>
  </si>
  <si>
    <t>Uso de muelle Carga sólida (S/.)</t>
  </si>
  <si>
    <t>Uso de muelle Carga líquida (S/.)</t>
  </si>
  <si>
    <t>Uso de muelle Carga fraccionada (S/.)</t>
  </si>
  <si>
    <t>Uso de muelle Carga rodante (S/.)</t>
  </si>
  <si>
    <t>Contenedores con carga de 20 pies (S/.)</t>
  </si>
  <si>
    <t>Contenedores con carga de 40 pies (S/.)</t>
  </si>
  <si>
    <t>Embarque/Desembarque de pasajeros (S/.)</t>
  </si>
  <si>
    <t>Flujo de Caja de Servicios Regulados</t>
  </si>
  <si>
    <t>Vacíos de 20'</t>
  </si>
  <si>
    <t>Vacíos de 40'</t>
  </si>
  <si>
    <t>Contenedores vacíos de 20 pies (S/.)</t>
  </si>
  <si>
    <t>Contenedores vacíos de 40 pies (S/.)</t>
  </si>
  <si>
    <t>Costo promedio por Tm, contenedores, pasajeros, eslora-hora, según corresponda</t>
  </si>
  <si>
    <t>* En función a la distribución de la depreciación de activos</t>
  </si>
  <si>
    <t>Depreciación Ac A Fijo</t>
  </si>
  <si>
    <t>Depreciación de maquinaria y equipo</t>
  </si>
  <si>
    <t>Depreciación de otros bienes del activo fijo</t>
  </si>
  <si>
    <t>Depreciación (S/)</t>
  </si>
  <si>
    <t>Tipo de cambio (Fin de periodo de 2014 enS/ por US$)</t>
  </si>
</sst>
</file>

<file path=xl/styles.xml><?xml version="1.0" encoding="utf-8"?>
<styleSheet xmlns="http://schemas.openxmlformats.org/spreadsheetml/2006/main">
  <numFmts count="1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yyyy"/>
    <numFmt numFmtId="165" formatCode="0.0%"/>
    <numFmt numFmtId="166" formatCode="_(* #,##0_);_(* \(#,##0\);_(* &quot;-&quot;??_);_(@_)"/>
    <numFmt numFmtId="167" formatCode="_ * #,##0_ ;_ * \-#,##0_ ;_ * &quot;-&quot;??_ ;_ @_ "/>
    <numFmt numFmtId="168" formatCode="_(* #,##0.0_);_(* \(#,##0.0\);_(* &quot;-&quot;??_);_(@_)"/>
    <numFmt numFmtId="169" formatCode="_(* #,##0.00_);_(* \(#,##0.00\);_(* &quot;-&quot;??_);_(@_)"/>
    <numFmt numFmtId="170" formatCode="0_ ;\-0\ "/>
  </numFmts>
  <fonts count="9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orbel"/>
      <family val="2"/>
    </font>
    <font>
      <sz val="10"/>
      <name val="Arial"/>
      <family val="2"/>
    </font>
    <font>
      <b/>
      <sz val="14"/>
      <name val="Corbel"/>
      <family val="2"/>
    </font>
    <font>
      <i/>
      <sz val="11"/>
      <color indexed="8"/>
      <name val="Corbel"/>
      <family val="2"/>
    </font>
    <font>
      <i/>
      <sz val="10"/>
      <name val="Corbel"/>
      <family val="2"/>
    </font>
    <font>
      <i/>
      <sz val="10"/>
      <color indexed="53"/>
      <name val="Corbel"/>
      <family val="2"/>
    </font>
    <font>
      <b/>
      <sz val="10"/>
      <color indexed="9"/>
      <name val="Corbel"/>
      <family val="2"/>
    </font>
    <font>
      <sz val="10"/>
      <color indexed="9"/>
      <name val="Corbel"/>
      <family val="2"/>
    </font>
    <font>
      <sz val="8"/>
      <color indexed="8"/>
      <name val="Corbel"/>
      <family val="2"/>
    </font>
    <font>
      <b/>
      <sz val="10"/>
      <name val="Corbel"/>
      <family val="2"/>
    </font>
    <font>
      <sz val="10"/>
      <name val="Corbel"/>
      <family val="2"/>
    </font>
    <font>
      <b/>
      <i/>
      <sz val="10"/>
      <name val="Corbel"/>
      <family val="2"/>
    </font>
    <font>
      <sz val="11"/>
      <color indexed="8"/>
      <name val="Corbel"/>
      <family val="2"/>
    </font>
    <font>
      <b/>
      <sz val="11"/>
      <color indexed="8"/>
      <name val="Corbel"/>
      <family val="2"/>
    </font>
    <font>
      <b/>
      <sz val="11"/>
      <color indexed="9"/>
      <name val="Corbel"/>
      <family val="2"/>
    </font>
    <font>
      <b/>
      <sz val="12"/>
      <color indexed="8"/>
      <name val="Corbel"/>
      <family val="2"/>
    </font>
    <font>
      <sz val="11"/>
      <color indexed="55"/>
      <name val="Corbel"/>
      <family val="2"/>
    </font>
    <font>
      <b/>
      <sz val="11"/>
      <name val="Corbel"/>
      <family val="2"/>
    </font>
    <font>
      <sz val="10"/>
      <color indexed="22"/>
      <name val="Corbel"/>
      <family val="2"/>
    </font>
    <font>
      <sz val="11"/>
      <name val="Corbel"/>
      <family val="2"/>
    </font>
    <font>
      <b/>
      <sz val="10"/>
      <color indexed="8"/>
      <name val="Corbel"/>
      <family val="2"/>
    </font>
    <font>
      <b/>
      <sz val="10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Corbel"/>
      <family val="2"/>
    </font>
    <font>
      <b/>
      <sz val="10"/>
      <color indexed="10"/>
      <name val="Corbel"/>
      <family val="2"/>
    </font>
    <font>
      <sz val="8"/>
      <name val="Corbel"/>
      <family val="2"/>
    </font>
    <font>
      <b/>
      <u val="single"/>
      <sz val="11"/>
      <color indexed="8"/>
      <name val="Corbel"/>
      <family val="2"/>
    </font>
    <font>
      <sz val="11"/>
      <color indexed="10"/>
      <name val="Corbel"/>
      <family val="2"/>
    </font>
    <font>
      <b/>
      <sz val="9.2"/>
      <color indexed="8"/>
      <name val="Corbel"/>
      <family val="2"/>
    </font>
    <font>
      <sz val="9.2"/>
      <color indexed="8"/>
      <name val="Corbe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9"/>
      <name val="Corbel"/>
      <family val="0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14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orbel"/>
      <family val="2"/>
    </font>
    <font>
      <i/>
      <sz val="11"/>
      <color theme="1"/>
      <name val="Corbel"/>
      <family val="2"/>
    </font>
    <font>
      <i/>
      <sz val="10"/>
      <color theme="5"/>
      <name val="Corbel"/>
      <family val="2"/>
    </font>
    <font>
      <sz val="10"/>
      <color theme="2"/>
      <name val="Corbel"/>
      <family val="2"/>
    </font>
    <font>
      <sz val="8"/>
      <color theme="1"/>
      <name val="Corbel"/>
      <family val="2"/>
    </font>
    <font>
      <b/>
      <sz val="10"/>
      <color theme="0"/>
      <name val="Corbel"/>
      <family val="2"/>
    </font>
    <font>
      <sz val="10"/>
      <color theme="0"/>
      <name val="Corbel"/>
      <family val="2"/>
    </font>
    <font>
      <sz val="11"/>
      <color theme="1"/>
      <name val="Corbel"/>
      <family val="2"/>
    </font>
    <font>
      <b/>
      <sz val="11"/>
      <color theme="1"/>
      <name val="Corbel"/>
      <family val="2"/>
    </font>
    <font>
      <b/>
      <sz val="12"/>
      <color theme="1"/>
      <name val="Corbel"/>
      <family val="2"/>
    </font>
    <font>
      <sz val="11"/>
      <color theme="0" tint="-0.3499799966812134"/>
      <name val="Corbel"/>
      <family val="2"/>
    </font>
    <font>
      <b/>
      <sz val="11"/>
      <color theme="0"/>
      <name val="Corbel"/>
      <family val="2"/>
    </font>
    <font>
      <sz val="10"/>
      <color theme="0" tint="-0.1499900072813034"/>
      <name val="Corbel"/>
      <family val="2"/>
    </font>
    <font>
      <b/>
      <sz val="10"/>
      <color theme="1"/>
      <name val="Corbe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Corbel"/>
      <family val="2"/>
    </font>
    <font>
      <b/>
      <u val="single"/>
      <sz val="11"/>
      <color theme="1"/>
      <name val="Corbel"/>
      <family val="2"/>
    </font>
    <font>
      <sz val="11"/>
      <color rgb="FFFF0000"/>
      <name val="Corbel"/>
      <family val="2"/>
    </font>
    <font>
      <b/>
      <sz val="9.2"/>
      <color theme="1"/>
      <name val="Corbel"/>
      <family val="2"/>
    </font>
    <font>
      <sz val="9.2"/>
      <color theme="1"/>
      <name val="Corbel"/>
      <family val="2"/>
    </font>
    <font>
      <sz val="10"/>
      <color rgb="FFFF0000"/>
      <name val="Corbel"/>
      <family val="2"/>
    </font>
    <font>
      <b/>
      <sz val="10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/>
      <right/>
      <top/>
      <bottom style="double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>
        <color theme="9" tint="-0.4999699890613556"/>
      </left>
      <right style="thin">
        <color theme="9" tint="-0.4999699890613556"/>
      </right>
      <top/>
      <bottom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/>
      <right/>
      <top style="thin">
        <color theme="1"/>
      </top>
      <bottom style="double">
        <color theme="1"/>
      </bottom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</border>
    <border>
      <left style="medium">
        <color theme="1"/>
      </left>
      <right style="thin">
        <color theme="1"/>
      </right>
      <top style="medium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</border>
    <border>
      <left/>
      <right/>
      <top/>
      <bottom style="thin">
        <color theme="1"/>
      </bottom>
    </border>
    <border>
      <left style="medium">
        <color theme="1"/>
      </left>
      <right style="thin">
        <color theme="1"/>
      </right>
      <top style="thin">
        <color theme="1"/>
      </top>
      <bottom/>
    </border>
    <border>
      <left style="thin">
        <color theme="1"/>
      </left>
      <right style="thin">
        <color theme="1"/>
      </right>
      <top style="thin">
        <color theme="1"/>
      </top>
      <bottom/>
    </border>
    <border>
      <left style="thin">
        <color theme="1"/>
      </left>
      <right style="medium">
        <color theme="1"/>
      </right>
      <top style="thin">
        <color theme="1"/>
      </top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>
        <color theme="9" tint="-0.4999699890613556"/>
      </left>
      <right/>
      <top style="thin">
        <color theme="9" tint="-0.4999699890613556"/>
      </top>
      <bottom/>
    </border>
    <border>
      <left/>
      <right/>
      <top style="thin">
        <color theme="9" tint="-0.4999699890613556"/>
      </top>
      <bottom/>
    </border>
    <border>
      <left/>
      <right style="thin">
        <color theme="9" tint="-0.4999699890613556"/>
      </right>
      <top style="thin">
        <color theme="9" tint="-0.4999699890613556"/>
      </top>
      <bottom/>
    </border>
    <border>
      <left style="thin">
        <color theme="9" tint="-0.4999699890613556"/>
      </left>
      <right/>
      <top/>
      <bottom style="thin">
        <color theme="0"/>
      </bottom>
    </border>
    <border>
      <left/>
      <right/>
      <top/>
      <bottom style="thin">
        <color theme="0"/>
      </bottom>
    </border>
    <border>
      <left/>
      <right style="thin">
        <color theme="9" tint="-0.4999699890613556"/>
      </right>
      <top/>
      <bottom style="thin">
        <color theme="0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theme="1"/>
      </left>
      <right/>
      <top style="medium">
        <color theme="1"/>
      </top>
      <bottom/>
    </border>
    <border>
      <left/>
      <right/>
      <top style="medium">
        <color theme="1"/>
      </top>
      <bottom/>
    </border>
    <border>
      <left/>
      <right style="medium">
        <color theme="1"/>
      </right>
      <top style="medium">
        <color theme="1"/>
      </top>
      <bottom/>
    </border>
    <border>
      <left style="medium"/>
      <right/>
      <top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/>
      <bottom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0" applyNumberFormat="0" applyBorder="0" applyAlignment="0" applyProtection="0"/>
    <xf numFmtId="0" fontId="56" fillId="21" borderId="1" applyNumberFormat="0" applyAlignment="0" applyProtection="0"/>
    <xf numFmtId="0" fontId="57" fillId="22" borderId="2" applyNumberFormat="0" applyAlignment="0" applyProtection="0"/>
    <xf numFmtId="0" fontId="58" fillId="0" borderId="3" applyNumberFormat="0" applyFill="0" applyAlignment="0" applyProtection="0"/>
    <xf numFmtId="0" fontId="3" fillId="0" borderId="0">
      <alignment/>
      <protection/>
    </xf>
    <xf numFmtId="0" fontId="59" fillId="0" borderId="4" applyNumberFormat="0" applyFill="0" applyAlignment="0" applyProtection="0"/>
    <xf numFmtId="0" fontId="60" fillId="0" borderId="0" applyNumberFormat="0" applyFill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61" fillId="29" borderId="1" applyNumberFormat="0" applyAlignment="0" applyProtection="0"/>
    <xf numFmtId="0" fontId="6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4" fillId="21" borderId="6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7" applyNumberFormat="0" applyFill="0" applyAlignment="0" applyProtection="0"/>
    <xf numFmtId="0" fontId="60" fillId="0" borderId="8" applyNumberFormat="0" applyFill="0" applyAlignment="0" applyProtection="0"/>
    <xf numFmtId="0" fontId="69" fillId="0" borderId="9" applyNumberFormat="0" applyFill="0" applyAlignment="0" applyProtection="0"/>
  </cellStyleXfs>
  <cellXfs count="538">
    <xf numFmtId="0" fontId="0" fillId="0" borderId="0" xfId="0" applyFont="1" applyAlignment="1">
      <alignment/>
    </xf>
    <xf numFmtId="0" fontId="70" fillId="0" borderId="0" xfId="0" applyFont="1" applyAlignment="1">
      <alignment/>
    </xf>
    <xf numFmtId="0" fontId="4" fillId="0" borderId="0" xfId="37" applyFont="1" applyFill="1" applyBorder="1" applyAlignment="1">
      <alignment horizontal="left" vertical="center"/>
      <protection/>
    </xf>
    <xf numFmtId="0" fontId="70" fillId="0" borderId="0" xfId="0" applyFont="1" applyFill="1" applyAlignment="1">
      <alignment/>
    </xf>
    <xf numFmtId="0" fontId="71" fillId="0" borderId="0" xfId="0" applyFont="1" applyAlignment="1">
      <alignment horizontal="left" indent="1"/>
    </xf>
    <xf numFmtId="0" fontId="6" fillId="0" borderId="10" xfId="37" applyFont="1" applyFill="1" applyBorder="1" applyAlignment="1">
      <alignment horizontal="center" vertical="center"/>
      <protection/>
    </xf>
    <xf numFmtId="0" fontId="72" fillId="0" borderId="0" xfId="48" applyNumberFormat="1" applyFont="1" applyFill="1" applyBorder="1" applyAlignment="1">
      <alignment horizontal="center" vertical="center"/>
    </xf>
    <xf numFmtId="0" fontId="70" fillId="0" borderId="0" xfId="0" applyFont="1" applyAlignment="1">
      <alignment horizontal="center"/>
    </xf>
    <xf numFmtId="0" fontId="73" fillId="0" borderId="0" xfId="0" applyFont="1" applyAlignment="1">
      <alignment/>
    </xf>
    <xf numFmtId="0" fontId="74" fillId="0" borderId="0" xfId="0" applyFont="1" applyAlignment="1">
      <alignment/>
    </xf>
    <xf numFmtId="1" fontId="70" fillId="0" borderId="0" xfId="0" applyNumberFormat="1" applyFont="1" applyAlignment="1">
      <alignment/>
    </xf>
    <xf numFmtId="0" fontId="12" fillId="0" borderId="0" xfId="37" applyFont="1" applyFill="1" applyBorder="1" applyAlignment="1">
      <alignment vertical="center"/>
      <protection/>
    </xf>
    <xf numFmtId="37" fontId="12" fillId="0" borderId="0" xfId="37" applyNumberFormat="1" applyFont="1" applyFill="1" applyBorder="1" applyAlignment="1">
      <alignment horizontal="right" vertical="center"/>
      <protection/>
    </xf>
    <xf numFmtId="9" fontId="12" fillId="0" borderId="0" xfId="64" applyFont="1" applyFill="1" applyBorder="1" applyAlignment="1">
      <alignment horizontal="center" vertical="center"/>
    </xf>
    <xf numFmtId="0" fontId="11" fillId="0" borderId="0" xfId="37" applyFont="1" applyFill="1" applyBorder="1" applyAlignment="1">
      <alignment vertical="center"/>
      <protection/>
    </xf>
    <xf numFmtId="0" fontId="12" fillId="0" borderId="0" xfId="37" applyFont="1" applyFill="1" applyBorder="1" applyAlignment="1">
      <alignment horizontal="center" vertical="center"/>
      <protection/>
    </xf>
    <xf numFmtId="0" fontId="13" fillId="0" borderId="10" xfId="37" applyFont="1" applyFill="1" applyBorder="1" applyAlignment="1">
      <alignment horizontal="left" vertical="center"/>
      <protection/>
    </xf>
    <xf numFmtId="166" fontId="6" fillId="0" borderId="0" xfId="48" applyNumberFormat="1" applyFont="1" applyFill="1" applyBorder="1" applyAlignment="1">
      <alignment horizontal="center" vertical="center"/>
    </xf>
    <xf numFmtId="37" fontId="12" fillId="0" borderId="0" xfId="37" applyNumberFormat="1" applyFont="1" applyFill="1" applyAlignment="1">
      <alignment horizontal="right" vertical="center"/>
      <protection/>
    </xf>
    <xf numFmtId="37" fontId="12" fillId="0" borderId="0" xfId="0" applyNumberFormat="1" applyFont="1" applyFill="1" applyAlignment="1">
      <alignment/>
    </xf>
    <xf numFmtId="37" fontId="11" fillId="0" borderId="0" xfId="37" applyNumberFormat="1" applyFont="1" applyFill="1" applyBorder="1" applyAlignment="1">
      <alignment horizontal="center" vertical="center"/>
      <protection/>
    </xf>
    <xf numFmtId="0" fontId="12" fillId="0" borderId="0" xfId="0" applyFont="1" applyFill="1" applyAlignment="1">
      <alignment/>
    </xf>
    <xf numFmtId="0" fontId="12" fillId="0" borderId="0" xfId="37" applyFont="1" applyAlignment="1">
      <alignment vertical="center"/>
      <protection/>
    </xf>
    <xf numFmtId="0" fontId="12" fillId="0" borderId="0" xfId="37" applyFont="1" applyAlignment="1">
      <alignment horizontal="center" vertical="center"/>
      <protection/>
    </xf>
    <xf numFmtId="0" fontId="12" fillId="0" borderId="0" xfId="37" applyFont="1" applyAlignment="1">
      <alignment horizontal="right" vertical="center"/>
      <protection/>
    </xf>
    <xf numFmtId="164" fontId="75" fillId="33" borderId="11" xfId="37" applyNumberFormat="1" applyFont="1" applyFill="1" applyBorder="1" applyAlignment="1">
      <alignment horizontal="center"/>
      <protection/>
    </xf>
    <xf numFmtId="1" fontId="75" fillId="33" borderId="11" xfId="37" applyNumberFormat="1" applyFont="1" applyFill="1" applyBorder="1" applyAlignment="1">
      <alignment horizontal="center"/>
      <protection/>
    </xf>
    <xf numFmtId="0" fontId="75" fillId="33" borderId="11" xfId="37" applyFont="1" applyFill="1" applyBorder="1" applyAlignment="1">
      <alignment horizontal="left" vertical="center"/>
      <protection/>
    </xf>
    <xf numFmtId="0" fontId="76" fillId="33" borderId="11" xfId="37" applyFont="1" applyFill="1" applyBorder="1" applyAlignment="1">
      <alignment horizontal="center" vertical="center"/>
      <protection/>
    </xf>
    <xf numFmtId="166" fontId="75" fillId="33" borderId="11" xfId="48" applyNumberFormat="1" applyFont="1" applyFill="1" applyBorder="1" applyAlignment="1">
      <alignment horizontal="center" vertical="center"/>
    </xf>
    <xf numFmtId="0" fontId="77" fillId="0" borderId="0" xfId="0" applyFont="1" applyAlignment="1">
      <alignment/>
    </xf>
    <xf numFmtId="0" fontId="12" fillId="0" borderId="11" xfId="0" applyFont="1" applyFill="1" applyBorder="1" applyAlignment="1">
      <alignment/>
    </xf>
    <xf numFmtId="10" fontId="70" fillId="0" borderId="11" xfId="0" applyNumberFormat="1" applyFont="1" applyBorder="1" applyAlignment="1">
      <alignment horizontal="center"/>
    </xf>
    <xf numFmtId="0" fontId="78" fillId="0" borderId="0" xfId="0" applyFont="1" applyAlignment="1">
      <alignment/>
    </xf>
    <xf numFmtId="0" fontId="75" fillId="33" borderId="11" xfId="0" applyFont="1" applyFill="1" applyBorder="1" applyAlignment="1">
      <alignment horizontal="center" vertical="center"/>
    </xf>
    <xf numFmtId="0" fontId="75" fillId="33" borderId="10" xfId="37" applyFont="1" applyFill="1" applyBorder="1">
      <alignment/>
      <protection/>
    </xf>
    <xf numFmtId="37" fontId="75" fillId="33" borderId="10" xfId="0" applyNumberFormat="1" applyFont="1" applyFill="1" applyBorder="1" applyAlignment="1">
      <alignment/>
    </xf>
    <xf numFmtId="0" fontId="77" fillId="0" borderId="0" xfId="0" applyFont="1" applyBorder="1" applyAlignment="1">
      <alignment/>
    </xf>
    <xf numFmtId="0" fontId="79" fillId="0" borderId="0" xfId="0" applyFont="1" applyAlignment="1">
      <alignment/>
    </xf>
    <xf numFmtId="0" fontId="77" fillId="34" borderId="12" xfId="0" applyFont="1" applyFill="1" applyBorder="1" applyAlignment="1">
      <alignment/>
    </xf>
    <xf numFmtId="0" fontId="77" fillId="34" borderId="0" xfId="0" applyFont="1" applyFill="1" applyBorder="1" applyAlignment="1">
      <alignment/>
    </xf>
    <xf numFmtId="0" fontId="77" fillId="34" borderId="10" xfId="0" applyFont="1" applyFill="1" applyBorder="1" applyAlignment="1">
      <alignment/>
    </xf>
    <xf numFmtId="0" fontId="77" fillId="0" borderId="0" xfId="0" applyFont="1" applyAlignment="1">
      <alignment horizontal="right"/>
    </xf>
    <xf numFmtId="0" fontId="79" fillId="0" borderId="0" xfId="0" applyFont="1" applyAlignment="1">
      <alignment vertical="center"/>
    </xf>
    <xf numFmtId="0" fontId="80" fillId="0" borderId="0" xfId="0" applyFont="1" applyAlignment="1">
      <alignment horizontal="center"/>
    </xf>
    <xf numFmtId="0" fontId="78" fillId="34" borderId="0" xfId="0" applyFont="1" applyFill="1" applyBorder="1" applyAlignment="1">
      <alignment/>
    </xf>
    <xf numFmtId="10" fontId="77" fillId="0" borderId="0" xfId="0" applyNumberFormat="1" applyFont="1" applyAlignment="1">
      <alignment/>
    </xf>
    <xf numFmtId="0" fontId="77" fillId="0" borderId="13" xfId="0" applyFont="1" applyBorder="1" applyAlignment="1">
      <alignment/>
    </xf>
    <xf numFmtId="0" fontId="19" fillId="0" borderId="0" xfId="0" applyFont="1" applyFill="1" applyBorder="1" applyAlignment="1">
      <alignment horizontal="center"/>
    </xf>
    <xf numFmtId="0" fontId="77" fillId="0" borderId="0" xfId="0" applyFont="1" applyAlignment="1">
      <alignment horizontal="center" vertical="center"/>
    </xf>
    <xf numFmtId="9" fontId="77" fillId="0" borderId="13" xfId="64" applyFont="1" applyBorder="1" applyAlignment="1">
      <alignment vertical="center"/>
    </xf>
    <xf numFmtId="165" fontId="77" fillId="0" borderId="13" xfId="64" applyNumberFormat="1" applyFont="1" applyBorder="1" applyAlignment="1">
      <alignment vertical="center"/>
    </xf>
    <xf numFmtId="0" fontId="81" fillId="33" borderId="11" xfId="0" applyFont="1" applyFill="1" applyBorder="1" applyAlignment="1">
      <alignment horizontal="center"/>
    </xf>
    <xf numFmtId="3" fontId="77" fillId="0" borderId="0" xfId="0" applyNumberFormat="1" applyFont="1" applyAlignment="1">
      <alignment/>
    </xf>
    <xf numFmtId="0" fontId="78" fillId="34" borderId="12" xfId="0" applyFont="1" applyFill="1" applyBorder="1" applyAlignment="1">
      <alignment/>
    </xf>
    <xf numFmtId="0" fontId="78" fillId="34" borderId="10" xfId="0" applyFont="1" applyFill="1" applyBorder="1" applyAlignment="1">
      <alignment/>
    </xf>
    <xf numFmtId="0" fontId="75" fillId="33" borderId="11" xfId="37" applyFont="1" applyFill="1" applyBorder="1" applyAlignment="1">
      <alignment vertical="center"/>
      <protection/>
    </xf>
    <xf numFmtId="0" fontId="82" fillId="0" borderId="0" xfId="0" applyNumberFormat="1" applyFont="1" applyAlignment="1">
      <alignment horizontal="center"/>
    </xf>
    <xf numFmtId="0" fontId="75" fillId="33" borderId="14" xfId="37" applyFont="1" applyFill="1" applyBorder="1" applyAlignment="1">
      <alignment horizontal="center" vertical="center"/>
      <protection/>
    </xf>
    <xf numFmtId="10" fontId="75" fillId="33" borderId="15" xfId="37" applyNumberFormat="1" applyFont="1" applyFill="1" applyBorder="1" applyAlignment="1">
      <alignment horizontal="center" vertical="center"/>
      <protection/>
    </xf>
    <xf numFmtId="0" fontId="75" fillId="33" borderId="16" xfId="37" applyFont="1" applyFill="1" applyBorder="1" applyAlignment="1">
      <alignment horizontal="center" vertical="center"/>
      <protection/>
    </xf>
    <xf numFmtId="3" fontId="75" fillId="33" borderId="17" xfId="48" applyNumberFormat="1" applyFont="1" applyFill="1" applyBorder="1" applyAlignment="1">
      <alignment horizontal="center" vertical="center"/>
    </xf>
    <xf numFmtId="0" fontId="75" fillId="33" borderId="11" xfId="37" applyFont="1" applyFill="1" applyBorder="1" applyAlignment="1">
      <alignment horizontal="center" vertical="center"/>
      <protection/>
    </xf>
    <xf numFmtId="3" fontId="75" fillId="33" borderId="11" xfId="64" applyNumberFormat="1" applyFont="1" applyFill="1" applyBorder="1" applyAlignment="1">
      <alignment horizontal="right" vertical="center"/>
    </xf>
    <xf numFmtId="10" fontId="77" fillId="0" borderId="0" xfId="0" applyNumberFormat="1" applyFont="1" applyBorder="1" applyAlignment="1">
      <alignment/>
    </xf>
    <xf numFmtId="0" fontId="78" fillId="0" borderId="0" xfId="0" applyFont="1" applyBorder="1" applyAlignment="1">
      <alignment/>
    </xf>
    <xf numFmtId="10" fontId="70" fillId="10" borderId="11" xfId="0" applyNumberFormat="1" applyFont="1" applyFill="1" applyBorder="1" applyAlignment="1">
      <alignment horizontal="center"/>
    </xf>
    <xf numFmtId="0" fontId="75" fillId="33" borderId="12" xfId="0" applyFont="1" applyFill="1" applyBorder="1" applyAlignment="1">
      <alignment horizontal="center" vertical="center"/>
    </xf>
    <xf numFmtId="0" fontId="75" fillId="35" borderId="12" xfId="0" applyFont="1" applyFill="1" applyBorder="1" applyAlignment="1">
      <alignment horizontal="center" vertical="center"/>
    </xf>
    <xf numFmtId="8" fontId="70" fillId="0" borderId="0" xfId="0" applyNumberFormat="1" applyFont="1" applyAlignment="1">
      <alignment horizontal="center"/>
    </xf>
    <xf numFmtId="8" fontId="70" fillId="0" borderId="0" xfId="0" applyNumberFormat="1" applyFont="1" applyAlignment="1">
      <alignment/>
    </xf>
    <xf numFmtId="166" fontId="12" fillId="35" borderId="0" xfId="48" applyNumberFormat="1" applyFont="1" applyFill="1" applyBorder="1" applyAlignment="1">
      <alignment horizontal="center" vertical="center"/>
    </xf>
    <xf numFmtId="0" fontId="70" fillId="35" borderId="0" xfId="0" applyFont="1" applyFill="1" applyAlignment="1">
      <alignment/>
    </xf>
    <xf numFmtId="0" fontId="75" fillId="35" borderId="0" xfId="37" applyFont="1" applyFill="1" applyBorder="1">
      <alignment/>
      <protection/>
    </xf>
    <xf numFmtId="37" fontId="75" fillId="35" borderId="0" xfId="0" applyNumberFormat="1" applyFont="1" applyFill="1" applyBorder="1" applyAlignment="1">
      <alignment/>
    </xf>
    <xf numFmtId="0" fontId="70" fillId="35" borderId="0" xfId="0" applyFont="1" applyFill="1" applyAlignment="1">
      <alignment horizontal="center"/>
    </xf>
    <xf numFmtId="167" fontId="11" fillId="35" borderId="0" xfId="48" applyNumberFormat="1" applyFont="1" applyFill="1" applyBorder="1" applyAlignment="1">
      <alignment/>
    </xf>
    <xf numFmtId="0" fontId="12" fillId="35" borderId="0" xfId="37" applyFont="1" applyFill="1" applyBorder="1">
      <alignment/>
      <protection/>
    </xf>
    <xf numFmtId="1" fontId="75" fillId="33" borderId="12" xfId="37" applyNumberFormat="1" applyFont="1" applyFill="1" applyBorder="1" applyAlignment="1">
      <alignment horizontal="center"/>
      <protection/>
    </xf>
    <xf numFmtId="3" fontId="75" fillId="33" borderId="10" xfId="64" applyNumberFormat="1" applyFont="1" applyFill="1" applyBorder="1" applyAlignment="1">
      <alignment horizontal="right" vertical="center"/>
    </xf>
    <xf numFmtId="167" fontId="12" fillId="35" borderId="0" xfId="48" applyNumberFormat="1" applyFont="1" applyFill="1" applyBorder="1" applyAlignment="1">
      <alignment/>
    </xf>
    <xf numFmtId="0" fontId="70" fillId="0" borderId="13" xfId="0" applyFont="1" applyBorder="1" applyAlignment="1">
      <alignment/>
    </xf>
    <xf numFmtId="43" fontId="77" fillId="0" borderId="13" xfId="48" applyNumberFormat="1" applyFont="1" applyBorder="1" applyAlignment="1">
      <alignment horizontal="center" vertical="center"/>
    </xf>
    <xf numFmtId="0" fontId="21" fillId="35" borderId="0" xfId="0" applyFont="1" applyFill="1" applyBorder="1" applyAlignment="1">
      <alignment/>
    </xf>
    <xf numFmtId="0" fontId="75" fillId="33" borderId="13" xfId="37" applyFont="1" applyFill="1" applyBorder="1" applyAlignment="1">
      <alignment horizontal="left" vertical="center"/>
      <protection/>
    </xf>
    <xf numFmtId="0" fontId="76" fillId="33" borderId="13" xfId="37" applyFont="1" applyFill="1" applyBorder="1" applyAlignment="1">
      <alignment horizontal="center" vertical="center"/>
      <protection/>
    </xf>
    <xf numFmtId="166" fontId="75" fillId="33" borderId="13" xfId="48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right"/>
    </xf>
    <xf numFmtId="0" fontId="77" fillId="0" borderId="13" xfId="0" applyFont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83" fillId="0" borderId="0" xfId="0" applyFont="1" applyAlignment="1">
      <alignment/>
    </xf>
    <xf numFmtId="0" fontId="83" fillId="0" borderId="0" xfId="0" applyFont="1" applyBorder="1" applyAlignment="1">
      <alignment/>
    </xf>
    <xf numFmtId="0" fontId="83" fillId="0" borderId="13" xfId="0" applyFont="1" applyBorder="1" applyAlignment="1">
      <alignment horizontal="center"/>
    </xf>
    <xf numFmtId="0" fontId="83" fillId="0" borderId="18" xfId="0" applyFont="1" applyBorder="1" applyAlignment="1">
      <alignment/>
    </xf>
    <xf numFmtId="0" fontId="83" fillId="0" borderId="16" xfId="0" applyFont="1" applyBorder="1" applyAlignment="1">
      <alignment/>
    </xf>
    <xf numFmtId="0" fontId="83" fillId="0" borderId="17" xfId="0" applyFont="1" applyBorder="1" applyAlignment="1">
      <alignment horizontal="center"/>
    </xf>
    <xf numFmtId="9" fontId="70" fillId="0" borderId="0" xfId="64" applyFont="1" applyAlignment="1">
      <alignment horizontal="center"/>
    </xf>
    <xf numFmtId="166" fontId="70" fillId="0" borderId="13" xfId="0" applyNumberFormat="1" applyFont="1" applyBorder="1" applyAlignment="1">
      <alignment/>
    </xf>
    <xf numFmtId="166" fontId="70" fillId="0" borderId="18" xfId="0" applyNumberFormat="1" applyFont="1" applyBorder="1" applyAlignment="1">
      <alignment/>
    </xf>
    <xf numFmtId="166" fontId="70" fillId="0" borderId="16" xfId="0" applyNumberFormat="1" applyFont="1" applyBorder="1" applyAlignment="1">
      <alignment/>
    </xf>
    <xf numFmtId="169" fontId="70" fillId="0" borderId="13" xfId="0" applyNumberFormat="1" applyFont="1" applyBorder="1" applyAlignment="1">
      <alignment/>
    </xf>
    <xf numFmtId="166" fontId="70" fillId="0" borderId="17" xfId="0" applyNumberFormat="1" applyFont="1" applyBorder="1" applyAlignment="1">
      <alignment/>
    </xf>
    <xf numFmtId="169" fontId="70" fillId="0" borderId="19" xfId="0" applyNumberFormat="1" applyFont="1" applyBorder="1" applyAlignment="1">
      <alignment/>
    </xf>
    <xf numFmtId="166" fontId="83" fillId="0" borderId="19" xfId="0" applyNumberFormat="1" applyFont="1" applyBorder="1" applyAlignment="1">
      <alignment/>
    </xf>
    <xf numFmtId="166" fontId="83" fillId="0" borderId="13" xfId="0" applyNumberFormat="1" applyFont="1" applyBorder="1" applyAlignment="1">
      <alignment/>
    </xf>
    <xf numFmtId="166" fontId="83" fillId="0" borderId="18" xfId="0" applyNumberFormat="1" applyFont="1" applyBorder="1" applyAlignment="1">
      <alignment/>
    </xf>
    <xf numFmtId="166" fontId="83" fillId="0" borderId="16" xfId="0" applyNumberFormat="1" applyFont="1" applyBorder="1" applyAlignment="1">
      <alignment/>
    </xf>
    <xf numFmtId="169" fontId="83" fillId="0" borderId="13" xfId="0" applyNumberFormat="1" applyFont="1" applyBorder="1" applyAlignment="1">
      <alignment/>
    </xf>
    <xf numFmtId="166" fontId="83" fillId="0" borderId="20" xfId="0" applyNumberFormat="1" applyFont="1" applyBorder="1" applyAlignment="1">
      <alignment/>
    </xf>
    <xf numFmtId="166" fontId="83" fillId="0" borderId="21" xfId="0" applyNumberFormat="1" applyFont="1" applyBorder="1" applyAlignment="1">
      <alignment/>
    </xf>
    <xf numFmtId="166" fontId="83" fillId="0" borderId="22" xfId="0" applyNumberFormat="1" applyFont="1" applyBorder="1" applyAlignment="1">
      <alignment/>
    </xf>
    <xf numFmtId="166" fontId="83" fillId="0" borderId="23" xfId="0" applyNumberFormat="1" applyFont="1" applyBorder="1" applyAlignment="1">
      <alignment/>
    </xf>
    <xf numFmtId="169" fontId="83" fillId="0" borderId="24" xfId="0" applyNumberFormat="1" applyFont="1" applyBorder="1" applyAlignment="1">
      <alignment/>
    </xf>
    <xf numFmtId="169" fontId="83" fillId="0" borderId="25" xfId="0" applyNumberFormat="1" applyFont="1" applyBorder="1" applyAlignment="1">
      <alignment/>
    </xf>
    <xf numFmtId="169" fontId="83" fillId="0" borderId="26" xfId="0" applyNumberFormat="1" applyFont="1" applyBorder="1" applyAlignment="1">
      <alignment/>
    </xf>
    <xf numFmtId="169" fontId="83" fillId="0" borderId="27" xfId="0" applyNumberFormat="1" applyFont="1" applyBorder="1" applyAlignment="1">
      <alignment/>
    </xf>
    <xf numFmtId="169" fontId="83" fillId="0" borderId="0" xfId="0" applyNumberFormat="1" applyFont="1" applyBorder="1" applyAlignment="1">
      <alignment/>
    </xf>
    <xf numFmtId="10" fontId="70" fillId="0" borderId="0" xfId="0" applyNumberFormat="1" applyFont="1" applyAlignment="1">
      <alignment horizontal="center"/>
    </xf>
    <xf numFmtId="168" fontId="70" fillId="0" borderId="0" xfId="0" applyNumberFormat="1" applyFont="1" applyBorder="1" applyAlignment="1">
      <alignment/>
    </xf>
    <xf numFmtId="168" fontId="70" fillId="10" borderId="0" xfId="0" applyNumberFormat="1" applyFont="1" applyFill="1" applyBorder="1" applyAlignment="1">
      <alignment/>
    </xf>
    <xf numFmtId="0" fontId="70" fillId="0" borderId="0" xfId="0" applyFont="1" applyBorder="1" applyAlignment="1">
      <alignment/>
    </xf>
    <xf numFmtId="169" fontId="70" fillId="0" borderId="0" xfId="0" applyNumberFormat="1" applyFont="1" applyBorder="1" applyAlignment="1">
      <alignment/>
    </xf>
    <xf numFmtId="168" fontId="70" fillId="35" borderId="0" xfId="0" applyNumberFormat="1" applyFont="1" applyFill="1" applyBorder="1" applyAlignment="1">
      <alignment/>
    </xf>
    <xf numFmtId="166" fontId="70" fillId="0" borderId="0" xfId="0" applyNumberFormat="1" applyFont="1" applyAlignment="1">
      <alignment/>
    </xf>
    <xf numFmtId="0" fontId="70" fillId="35" borderId="0" xfId="0" applyFont="1" applyFill="1" applyBorder="1" applyAlignment="1">
      <alignment/>
    </xf>
    <xf numFmtId="0" fontId="84" fillId="35" borderId="0" xfId="0" applyFont="1" applyFill="1" applyBorder="1" applyAlignment="1">
      <alignment horizontal="left"/>
    </xf>
    <xf numFmtId="0" fontId="84" fillId="0" borderId="12" xfId="0" applyFont="1" applyBorder="1" applyAlignment="1">
      <alignment horizontal="left"/>
    </xf>
    <xf numFmtId="0" fontId="85" fillId="35" borderId="0" xfId="0" applyFont="1" applyFill="1" applyBorder="1" applyAlignment="1">
      <alignment horizontal="left" indent="1"/>
    </xf>
    <xf numFmtId="168" fontId="70" fillId="0" borderId="0" xfId="0" applyNumberFormat="1" applyFont="1" applyBorder="1" applyAlignment="1">
      <alignment horizontal="left" indent="1"/>
    </xf>
    <xf numFmtId="166" fontId="70" fillId="0" borderId="0" xfId="0" applyNumberFormat="1" applyFont="1" applyBorder="1" applyAlignment="1">
      <alignment/>
    </xf>
    <xf numFmtId="0" fontId="84" fillId="0" borderId="0" xfId="0" applyFont="1" applyBorder="1" applyAlignment="1">
      <alignment horizontal="left"/>
    </xf>
    <xf numFmtId="0" fontId="84" fillId="0" borderId="10" xfId="0" applyFont="1" applyBorder="1" applyAlignment="1">
      <alignment horizontal="left"/>
    </xf>
    <xf numFmtId="166" fontId="70" fillId="0" borderId="10" xfId="0" applyNumberFormat="1" applyFont="1" applyBorder="1" applyAlignment="1">
      <alignment/>
    </xf>
    <xf numFmtId="167" fontId="83" fillId="35" borderId="28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75" fillId="33" borderId="16" xfId="0" applyFont="1" applyFill="1" applyBorder="1" applyAlignment="1">
      <alignment horizontal="left" vertical="center"/>
    </xf>
    <xf numFmtId="0" fontId="75" fillId="33" borderId="17" xfId="0" applyFont="1" applyFill="1" applyBorder="1" applyAlignment="1">
      <alignment horizontal="center" vertical="center"/>
    </xf>
    <xf numFmtId="168" fontId="70" fillId="0" borderId="29" xfId="0" applyNumberFormat="1" applyFont="1" applyBorder="1" applyAlignment="1">
      <alignment/>
    </xf>
    <xf numFmtId="168" fontId="70" fillId="10" borderId="30" xfId="0" applyNumberFormat="1" applyFont="1" applyFill="1" applyBorder="1" applyAlignment="1">
      <alignment/>
    </xf>
    <xf numFmtId="168" fontId="70" fillId="35" borderId="10" xfId="0" applyNumberFormat="1" applyFont="1" applyFill="1" applyBorder="1" applyAlignment="1">
      <alignment/>
    </xf>
    <xf numFmtId="168" fontId="70" fillId="0" borderId="10" xfId="0" applyNumberFormat="1" applyFont="1" applyBorder="1" applyAlignment="1">
      <alignment/>
    </xf>
    <xf numFmtId="168" fontId="70" fillId="10" borderId="10" xfId="0" applyNumberFormat="1" applyFont="1" applyFill="1" applyBorder="1" applyAlignment="1">
      <alignment/>
    </xf>
    <xf numFmtId="168" fontId="70" fillId="10" borderId="15" xfId="0" applyNumberFormat="1" applyFont="1" applyFill="1" applyBorder="1" applyAlignment="1">
      <alignment/>
    </xf>
    <xf numFmtId="168" fontId="12" fillId="35" borderId="14" xfId="0" applyNumberFormat="1" applyFont="1" applyFill="1" applyBorder="1" applyAlignment="1">
      <alignment/>
    </xf>
    <xf numFmtId="0" fontId="84" fillId="0" borderId="31" xfId="0" applyFont="1" applyBorder="1" applyAlignment="1">
      <alignment horizontal="left"/>
    </xf>
    <xf numFmtId="0" fontId="83" fillId="0" borderId="13" xfId="0" applyFont="1" applyBorder="1" applyAlignment="1">
      <alignment/>
    </xf>
    <xf numFmtId="9" fontId="70" fillId="0" borderId="13" xfId="64" applyNumberFormat="1" applyFont="1" applyBorder="1" applyAlignment="1">
      <alignment/>
    </xf>
    <xf numFmtId="0" fontId="70" fillId="0" borderId="13" xfId="0" applyFont="1" applyBorder="1" applyAlignment="1">
      <alignment horizontal="center"/>
    </xf>
    <xf numFmtId="0" fontId="70" fillId="0" borderId="13" xfId="0" applyFont="1" applyBorder="1" applyAlignment="1">
      <alignment/>
    </xf>
    <xf numFmtId="10" fontId="70" fillId="0" borderId="13" xfId="0" applyNumberFormat="1" applyFont="1" applyBorder="1" applyAlignment="1">
      <alignment/>
    </xf>
    <xf numFmtId="167" fontId="12" fillId="0" borderId="13" xfId="48" applyNumberFormat="1" applyFont="1" applyFill="1" applyBorder="1" applyAlignment="1">
      <alignment/>
    </xf>
    <xf numFmtId="0" fontId="12" fillId="0" borderId="13" xfId="0" applyFont="1" applyFill="1" applyBorder="1" applyAlignment="1">
      <alignment/>
    </xf>
    <xf numFmtId="4" fontId="12" fillId="0" borderId="13" xfId="0" applyNumberFormat="1" applyFont="1" applyFill="1" applyBorder="1" applyAlignment="1">
      <alignment/>
    </xf>
    <xf numFmtId="167" fontId="12" fillId="0" borderId="13" xfId="0" applyNumberFormat="1" applyFont="1" applyFill="1" applyBorder="1" applyAlignment="1">
      <alignment/>
    </xf>
    <xf numFmtId="3" fontId="12" fillId="0" borderId="13" xfId="0" applyNumberFormat="1" applyFont="1" applyFill="1" applyBorder="1" applyAlignment="1">
      <alignment/>
    </xf>
    <xf numFmtId="167" fontId="12" fillId="35" borderId="13" xfId="48" applyNumberFormat="1" applyFont="1" applyFill="1" applyBorder="1" applyAlignment="1">
      <alignment/>
    </xf>
    <xf numFmtId="0" fontId="12" fillId="35" borderId="13" xfId="0" applyFont="1" applyFill="1" applyBorder="1" applyAlignment="1">
      <alignment/>
    </xf>
    <xf numFmtId="4" fontId="12" fillId="35" borderId="13" xfId="0" applyNumberFormat="1" applyFont="1" applyFill="1" applyBorder="1" applyAlignment="1">
      <alignment/>
    </xf>
    <xf numFmtId="43" fontId="12" fillId="35" borderId="13" xfId="48" applyFont="1" applyFill="1" applyBorder="1" applyAlignment="1">
      <alignment/>
    </xf>
    <xf numFmtId="4" fontId="70" fillId="0" borderId="13" xfId="0" applyNumberFormat="1" applyFont="1" applyBorder="1" applyAlignment="1">
      <alignment/>
    </xf>
    <xf numFmtId="0" fontId="6" fillId="0" borderId="0" xfId="0" applyFont="1" applyAlignment="1">
      <alignment/>
    </xf>
    <xf numFmtId="0" fontId="75" fillId="33" borderId="16" xfId="0" applyFont="1" applyFill="1" applyBorder="1" applyAlignment="1">
      <alignment horizontal="center"/>
    </xf>
    <xf numFmtId="0" fontId="75" fillId="33" borderId="11" xfId="0" applyFont="1" applyFill="1" applyBorder="1" applyAlignment="1">
      <alignment horizontal="center"/>
    </xf>
    <xf numFmtId="0" fontId="75" fillId="33" borderId="17" xfId="0" applyFont="1" applyFill="1" applyBorder="1" applyAlignment="1">
      <alignment horizontal="center"/>
    </xf>
    <xf numFmtId="0" fontId="77" fillId="0" borderId="0" xfId="0" applyFont="1" applyFill="1" applyBorder="1" applyAlignment="1">
      <alignment/>
    </xf>
    <xf numFmtId="3" fontId="21" fillId="0" borderId="0" xfId="0" applyNumberFormat="1" applyFont="1" applyFill="1" applyBorder="1" applyAlignment="1">
      <alignment horizontal="right"/>
    </xf>
    <xf numFmtId="3" fontId="77" fillId="0" borderId="0" xfId="0" applyNumberFormat="1" applyFont="1" applyFill="1" applyBorder="1" applyAlignment="1">
      <alignment horizontal="right"/>
    </xf>
    <xf numFmtId="0" fontId="11" fillId="0" borderId="31" xfId="0" applyFont="1" applyFill="1" applyBorder="1" applyAlignment="1">
      <alignment/>
    </xf>
    <xf numFmtId="3" fontId="77" fillId="0" borderId="12" xfId="0" applyNumberFormat="1" applyFont="1" applyFill="1" applyBorder="1" applyAlignment="1">
      <alignment horizontal="right"/>
    </xf>
    <xf numFmtId="167" fontId="21" fillId="0" borderId="0" xfId="48" applyNumberFormat="1" applyFont="1" applyFill="1" applyBorder="1" applyAlignment="1">
      <alignment horizontal="right"/>
    </xf>
    <xf numFmtId="167" fontId="77" fillId="0" borderId="0" xfId="48" applyNumberFormat="1" applyFont="1" applyFill="1" applyBorder="1" applyAlignment="1">
      <alignment horizontal="right"/>
    </xf>
    <xf numFmtId="167" fontId="11" fillId="0" borderId="31" xfId="48" applyNumberFormat="1" applyFont="1" applyFill="1" applyBorder="1" applyAlignment="1">
      <alignment/>
    </xf>
    <xf numFmtId="170" fontId="77" fillId="0" borderId="0" xfId="48" applyNumberFormat="1" applyFont="1" applyFill="1" applyBorder="1" applyAlignment="1">
      <alignment horizontal="right"/>
    </xf>
    <xf numFmtId="0" fontId="77" fillId="0" borderId="29" xfId="0" applyFont="1" applyFill="1" applyBorder="1" applyAlignment="1">
      <alignment/>
    </xf>
    <xf numFmtId="167" fontId="77" fillId="0" borderId="30" xfId="48" applyNumberFormat="1" applyFont="1" applyFill="1" applyBorder="1" applyAlignment="1">
      <alignment horizontal="right"/>
    </xf>
    <xf numFmtId="170" fontId="77" fillId="0" borderId="30" xfId="48" applyNumberFormat="1" applyFont="1" applyFill="1" applyBorder="1" applyAlignment="1">
      <alignment horizontal="right"/>
    </xf>
    <xf numFmtId="0" fontId="11" fillId="0" borderId="32" xfId="0" applyFont="1" applyFill="1" applyBorder="1" applyAlignment="1">
      <alignment/>
    </xf>
    <xf numFmtId="167" fontId="11" fillId="0" borderId="33" xfId="48" applyNumberFormat="1" applyFont="1" applyFill="1" applyBorder="1" applyAlignment="1">
      <alignment/>
    </xf>
    <xf numFmtId="3" fontId="77" fillId="0" borderId="30" xfId="0" applyNumberFormat="1" applyFont="1" applyFill="1" applyBorder="1" applyAlignment="1">
      <alignment horizontal="right"/>
    </xf>
    <xf numFmtId="3" fontId="77" fillId="0" borderId="34" xfId="0" applyNumberFormat="1" applyFont="1" applyFill="1" applyBorder="1" applyAlignment="1">
      <alignment horizontal="left"/>
    </xf>
    <xf numFmtId="3" fontId="77" fillId="0" borderId="23" xfId="0" applyNumberFormat="1" applyFont="1" applyFill="1" applyBorder="1" applyAlignment="1">
      <alignment horizontal="right"/>
    </xf>
    <xf numFmtId="3" fontId="77" fillId="0" borderId="29" xfId="0" applyNumberFormat="1" applyFont="1" applyFill="1" applyBorder="1" applyAlignment="1">
      <alignment horizontal="left"/>
    </xf>
    <xf numFmtId="3" fontId="77" fillId="0" borderId="14" xfId="0" applyNumberFormat="1" applyFont="1" applyFill="1" applyBorder="1" applyAlignment="1">
      <alignment horizontal="left"/>
    </xf>
    <xf numFmtId="3" fontId="77" fillId="0" borderId="10" xfId="0" applyNumberFormat="1" applyFont="1" applyFill="1" applyBorder="1" applyAlignment="1">
      <alignment horizontal="right"/>
    </xf>
    <xf numFmtId="3" fontId="77" fillId="0" borderId="15" xfId="0" applyNumberFormat="1" applyFont="1" applyFill="1" applyBorder="1" applyAlignment="1">
      <alignment horizontal="right"/>
    </xf>
    <xf numFmtId="3" fontId="77" fillId="0" borderId="11" xfId="0" applyNumberFormat="1" applyFont="1" applyFill="1" applyBorder="1" applyAlignment="1">
      <alignment horizontal="right"/>
    </xf>
    <xf numFmtId="0" fontId="78" fillId="0" borderId="0" xfId="0" applyFont="1" applyFill="1" applyBorder="1" applyAlignment="1">
      <alignment/>
    </xf>
    <xf numFmtId="0" fontId="79" fillId="0" borderId="0" xfId="0" applyFont="1" applyFill="1" applyBorder="1" applyAlignment="1">
      <alignment/>
    </xf>
    <xf numFmtId="0" fontId="81" fillId="0" borderId="0" xfId="0" applyFont="1" applyFill="1" applyBorder="1" applyAlignment="1">
      <alignment horizontal="center"/>
    </xf>
    <xf numFmtId="0" fontId="70" fillId="35" borderId="11" xfId="0" applyFont="1" applyFill="1" applyBorder="1" applyAlignment="1">
      <alignment/>
    </xf>
    <xf numFmtId="0" fontId="70" fillId="35" borderId="12" xfId="0" applyFont="1" applyFill="1" applyBorder="1" applyAlignment="1">
      <alignment/>
    </xf>
    <xf numFmtId="3" fontId="19" fillId="0" borderId="12" xfId="0" applyNumberFormat="1" applyFont="1" applyFill="1" applyBorder="1" applyAlignment="1">
      <alignment horizontal="right"/>
    </xf>
    <xf numFmtId="3" fontId="21" fillId="0" borderId="10" xfId="0" applyNumberFormat="1" applyFont="1" applyFill="1" applyBorder="1" applyAlignment="1">
      <alignment horizontal="right"/>
    </xf>
    <xf numFmtId="0" fontId="70" fillId="35" borderId="16" xfId="0" applyFont="1" applyFill="1" applyBorder="1" applyAlignment="1">
      <alignment/>
    </xf>
    <xf numFmtId="165" fontId="12" fillId="35" borderId="17" xfId="0" applyNumberFormat="1" applyFont="1" applyFill="1" applyBorder="1" applyAlignment="1">
      <alignment/>
    </xf>
    <xf numFmtId="0" fontId="75" fillId="36" borderId="0" xfId="0" applyFont="1" applyFill="1" applyBorder="1" applyAlignment="1">
      <alignment horizontal="center" vertical="center" wrapText="1"/>
    </xf>
    <xf numFmtId="0" fontId="83" fillId="0" borderId="13" xfId="0" applyFont="1" applyBorder="1" applyAlignment="1">
      <alignment horizontal="left"/>
    </xf>
    <xf numFmtId="0" fontId="12" fillId="0" borderId="13" xfId="0" applyFont="1" applyFill="1" applyBorder="1" applyAlignment="1">
      <alignment horizontal="left" indent="1"/>
    </xf>
    <xf numFmtId="0" fontId="70" fillId="0" borderId="13" xfId="0" applyFont="1" applyFill="1" applyBorder="1" applyAlignment="1">
      <alignment horizontal="left" indent="1"/>
    </xf>
    <xf numFmtId="2" fontId="12" fillId="0" borderId="13" xfId="0" applyNumberFormat="1" applyFont="1" applyFill="1" applyBorder="1" applyAlignment="1">
      <alignment/>
    </xf>
    <xf numFmtId="165" fontId="12" fillId="0" borderId="13" xfId="64" applyNumberFormat="1" applyFont="1" applyFill="1" applyBorder="1" applyAlignment="1">
      <alignment/>
    </xf>
    <xf numFmtId="0" fontId="70" fillId="0" borderId="13" xfId="0" applyFont="1" applyBorder="1" applyAlignment="1">
      <alignment horizontal="left" indent="1"/>
    </xf>
    <xf numFmtId="2" fontId="70" fillId="0" borderId="13" xfId="0" applyNumberFormat="1" applyFont="1" applyBorder="1" applyAlignment="1">
      <alignment/>
    </xf>
    <xf numFmtId="165" fontId="70" fillId="0" borderId="13" xfId="64" applyNumberFormat="1" applyFont="1" applyBorder="1" applyAlignment="1">
      <alignment/>
    </xf>
    <xf numFmtId="0" fontId="70" fillId="35" borderId="0" xfId="0" applyFont="1" applyFill="1" applyBorder="1" applyAlignment="1">
      <alignment horizontal="left" indent="1"/>
    </xf>
    <xf numFmtId="2" fontId="70" fillId="35" borderId="0" xfId="0" applyNumberFormat="1" applyFont="1" applyFill="1" applyBorder="1" applyAlignment="1">
      <alignment/>
    </xf>
    <xf numFmtId="9" fontId="70" fillId="35" borderId="0" xfId="64" applyFont="1" applyFill="1" applyBorder="1" applyAlignment="1">
      <alignment horizontal="center" vertical="center"/>
    </xf>
    <xf numFmtId="0" fontId="83" fillId="35" borderId="22" xfId="0" applyFont="1" applyFill="1" applyBorder="1" applyAlignment="1">
      <alignment horizontal="right"/>
    </xf>
    <xf numFmtId="2" fontId="70" fillId="35" borderId="0" xfId="0" applyNumberFormat="1" applyFont="1" applyFill="1" applyAlignment="1">
      <alignment/>
    </xf>
    <xf numFmtId="2" fontId="70" fillId="35" borderId="35" xfId="0" applyNumberFormat="1" applyFont="1" applyFill="1" applyBorder="1" applyAlignment="1">
      <alignment/>
    </xf>
    <xf numFmtId="0" fontId="83" fillId="35" borderId="0" xfId="0" applyFont="1" applyFill="1" applyAlignment="1">
      <alignment/>
    </xf>
    <xf numFmtId="0" fontId="75" fillId="36" borderId="13" xfId="0" applyFont="1" applyFill="1" applyBorder="1" applyAlignment="1">
      <alignment/>
    </xf>
    <xf numFmtId="0" fontId="11" fillId="35" borderId="13" xfId="0" applyFont="1" applyFill="1" applyBorder="1" applyAlignment="1">
      <alignment/>
    </xf>
    <xf numFmtId="0" fontId="83" fillId="35" borderId="13" xfId="0" applyFont="1" applyFill="1" applyBorder="1" applyAlignment="1">
      <alignment/>
    </xf>
    <xf numFmtId="0" fontId="12" fillId="35" borderId="13" xfId="0" applyFont="1" applyFill="1" applyBorder="1" applyAlignment="1">
      <alignment horizontal="left"/>
    </xf>
    <xf numFmtId="167" fontId="12" fillId="35" borderId="0" xfId="0" applyNumberFormat="1" applyFont="1" applyFill="1" applyAlignment="1">
      <alignment/>
    </xf>
    <xf numFmtId="9" fontId="70" fillId="35" borderId="0" xfId="64" applyFont="1" applyFill="1" applyAlignment="1">
      <alignment/>
    </xf>
    <xf numFmtId="0" fontId="70" fillId="35" borderId="0" xfId="0" applyFont="1" applyFill="1" applyBorder="1" applyAlignment="1">
      <alignment horizontal="left"/>
    </xf>
    <xf numFmtId="0" fontId="70" fillId="35" borderId="13" xfId="0" applyFont="1" applyFill="1" applyBorder="1" applyAlignment="1">
      <alignment horizontal="left"/>
    </xf>
    <xf numFmtId="0" fontId="75" fillId="36" borderId="17" xfId="0" applyFont="1" applyFill="1" applyBorder="1" applyAlignment="1">
      <alignment/>
    </xf>
    <xf numFmtId="167" fontId="11" fillId="35" borderId="13" xfId="0" applyNumberFormat="1" applyFont="1" applyFill="1" applyBorder="1" applyAlignment="1">
      <alignment/>
    </xf>
    <xf numFmtId="3" fontId="70" fillId="35" borderId="0" xfId="0" applyNumberFormat="1" applyFont="1" applyFill="1" applyAlignment="1">
      <alignment/>
    </xf>
    <xf numFmtId="3" fontId="75" fillId="36" borderId="13" xfId="0" applyNumberFormat="1" applyFont="1" applyFill="1" applyBorder="1" applyAlignment="1">
      <alignment/>
    </xf>
    <xf numFmtId="3" fontId="83" fillId="0" borderId="13" xfId="0" applyNumberFormat="1" applyFont="1" applyBorder="1" applyAlignment="1">
      <alignment/>
    </xf>
    <xf numFmtId="3" fontId="83" fillId="37" borderId="13" xfId="48" applyNumberFormat="1" applyFont="1" applyFill="1" applyBorder="1" applyAlignment="1">
      <alignment/>
    </xf>
    <xf numFmtId="3" fontId="70" fillId="0" borderId="13" xfId="0" applyNumberFormat="1" applyFont="1" applyBorder="1" applyAlignment="1">
      <alignment/>
    </xf>
    <xf numFmtId="3" fontId="12" fillId="0" borderId="13" xfId="48" applyNumberFormat="1" applyFont="1" applyBorder="1" applyAlignment="1">
      <alignment/>
    </xf>
    <xf numFmtId="3" fontId="70" fillId="0" borderId="13" xfId="48" applyNumberFormat="1" applyFont="1" applyBorder="1" applyAlignment="1">
      <alignment/>
    </xf>
    <xf numFmtId="3" fontId="70" fillId="37" borderId="13" xfId="48" applyNumberFormat="1" applyFont="1" applyFill="1" applyBorder="1" applyAlignment="1">
      <alignment/>
    </xf>
    <xf numFmtId="3" fontId="83" fillId="35" borderId="13" xfId="0" applyNumberFormat="1" applyFont="1" applyFill="1" applyBorder="1" applyAlignment="1">
      <alignment/>
    </xf>
    <xf numFmtId="3" fontId="11" fillId="37" borderId="13" xfId="48" applyNumberFormat="1" applyFont="1" applyFill="1" applyBorder="1" applyAlignment="1">
      <alignment/>
    </xf>
    <xf numFmtId="3" fontId="70" fillId="35" borderId="13" xfId="0" applyNumberFormat="1" applyFont="1" applyFill="1" applyBorder="1" applyAlignment="1">
      <alignment/>
    </xf>
    <xf numFmtId="3" fontId="12" fillId="35" borderId="13" xfId="48" applyNumberFormat="1" applyFont="1" applyFill="1" applyBorder="1" applyAlignment="1">
      <alignment/>
    </xf>
    <xf numFmtId="3" fontId="70" fillId="35" borderId="13" xfId="48" applyNumberFormat="1" applyFont="1" applyFill="1" applyBorder="1" applyAlignment="1">
      <alignment/>
    </xf>
    <xf numFmtId="3" fontId="12" fillId="37" borderId="13" xfId="48" applyNumberFormat="1" applyFont="1" applyFill="1" applyBorder="1" applyAlignment="1">
      <alignment/>
    </xf>
    <xf numFmtId="3" fontId="83" fillId="37" borderId="13" xfId="0" applyNumberFormat="1" applyFont="1" applyFill="1" applyBorder="1" applyAlignment="1">
      <alignment/>
    </xf>
    <xf numFmtId="3" fontId="11" fillId="35" borderId="13" xfId="0" applyNumberFormat="1" applyFont="1" applyFill="1" applyBorder="1" applyAlignment="1">
      <alignment/>
    </xf>
    <xf numFmtId="3" fontId="86" fillId="35" borderId="13" xfId="0" applyNumberFormat="1" applyFont="1" applyFill="1" applyBorder="1" applyAlignment="1">
      <alignment/>
    </xf>
    <xf numFmtId="3" fontId="70" fillId="35" borderId="0" xfId="64" applyNumberFormat="1" applyFont="1" applyFill="1" applyAlignment="1">
      <alignment/>
    </xf>
    <xf numFmtId="3" fontId="70" fillId="0" borderId="0" xfId="0" applyNumberFormat="1" applyFont="1" applyAlignment="1">
      <alignment/>
    </xf>
    <xf numFmtId="3" fontId="12" fillId="37" borderId="13" xfId="0" applyNumberFormat="1" applyFont="1" applyFill="1" applyBorder="1" applyAlignment="1">
      <alignment/>
    </xf>
    <xf numFmtId="3" fontId="70" fillId="35" borderId="0" xfId="0" applyNumberFormat="1" applyFont="1" applyFill="1" applyBorder="1" applyAlignment="1">
      <alignment/>
    </xf>
    <xf numFmtId="3" fontId="75" fillId="36" borderId="13" xfId="0" applyNumberFormat="1" applyFont="1" applyFill="1" applyBorder="1" applyAlignment="1">
      <alignment horizontal="center"/>
    </xf>
    <xf numFmtId="3" fontId="70" fillId="35" borderId="13" xfId="0" applyNumberFormat="1" applyFont="1" applyFill="1" applyBorder="1" applyAlignment="1">
      <alignment horizontal="center"/>
    </xf>
    <xf numFmtId="3" fontId="83" fillId="35" borderId="13" xfId="0" applyNumberFormat="1" applyFont="1" applyFill="1" applyBorder="1" applyAlignment="1">
      <alignment horizontal="center"/>
    </xf>
    <xf numFmtId="3" fontId="70" fillId="35" borderId="13" xfId="0" applyNumberFormat="1" applyFont="1" applyFill="1" applyBorder="1" applyAlignment="1">
      <alignment horizontal="left"/>
    </xf>
    <xf numFmtId="3" fontId="70" fillId="35" borderId="0" xfId="48" applyNumberFormat="1" applyFont="1" applyFill="1" applyBorder="1" applyAlignment="1">
      <alignment/>
    </xf>
    <xf numFmtId="3" fontId="28" fillId="0" borderId="0" xfId="0" applyNumberFormat="1" applyFont="1" applyFill="1" applyBorder="1" applyAlignment="1">
      <alignment/>
    </xf>
    <xf numFmtId="3" fontId="70" fillId="35" borderId="13" xfId="0" applyNumberFormat="1" applyFont="1" applyFill="1" applyBorder="1" applyAlignment="1">
      <alignment horizontal="center" vertical="center"/>
    </xf>
    <xf numFmtId="3" fontId="83" fillId="35" borderId="13" xfId="0" applyNumberFormat="1" applyFont="1" applyFill="1" applyBorder="1" applyAlignment="1">
      <alignment horizontal="center" vertical="center"/>
    </xf>
    <xf numFmtId="167" fontId="75" fillId="36" borderId="13" xfId="48" applyNumberFormat="1" applyFont="1" applyFill="1" applyBorder="1" applyAlignment="1">
      <alignment/>
    </xf>
    <xf numFmtId="167" fontId="70" fillId="35" borderId="0" xfId="48" applyNumberFormat="1" applyFont="1" applyFill="1" applyAlignment="1">
      <alignment/>
    </xf>
    <xf numFmtId="0" fontId="83" fillId="0" borderId="31" xfId="0" applyFont="1" applyBorder="1" applyAlignment="1">
      <alignment horizontal="left"/>
    </xf>
    <xf numFmtId="3" fontId="83" fillId="35" borderId="0" xfId="0" applyNumberFormat="1" applyFont="1" applyFill="1" applyAlignment="1">
      <alignment/>
    </xf>
    <xf numFmtId="3" fontId="83" fillId="35" borderId="31" xfId="0" applyNumberFormat="1" applyFont="1" applyFill="1" applyBorder="1" applyAlignment="1">
      <alignment/>
    </xf>
    <xf numFmtId="0" fontId="77" fillId="35" borderId="0" xfId="0" applyFont="1" applyFill="1" applyAlignment="1">
      <alignment/>
    </xf>
    <xf numFmtId="0" fontId="78" fillId="35" borderId="29" xfId="0" applyFont="1" applyFill="1" applyBorder="1" applyAlignment="1">
      <alignment/>
    </xf>
    <xf numFmtId="0" fontId="77" fillId="35" borderId="0" xfId="0" applyFont="1" applyFill="1" applyBorder="1" applyAlignment="1">
      <alignment/>
    </xf>
    <xf numFmtId="9" fontId="78" fillId="35" borderId="0" xfId="0" applyNumberFormat="1" applyFont="1" applyFill="1" applyBorder="1" applyAlignment="1">
      <alignment/>
    </xf>
    <xf numFmtId="0" fontId="77" fillId="37" borderId="0" xfId="0" applyFont="1" applyFill="1" applyBorder="1" applyAlignment="1">
      <alignment/>
    </xf>
    <xf numFmtId="0" fontId="77" fillId="37" borderId="30" xfId="0" applyFont="1" applyFill="1" applyBorder="1" applyAlignment="1">
      <alignment/>
    </xf>
    <xf numFmtId="0" fontId="77" fillId="35" borderId="29" xfId="0" applyFont="1" applyFill="1" applyBorder="1" applyAlignment="1">
      <alignment/>
    </xf>
    <xf numFmtId="167" fontId="78" fillId="35" borderId="0" xfId="48" applyNumberFormat="1" applyFont="1" applyFill="1" applyBorder="1" applyAlignment="1">
      <alignment/>
    </xf>
    <xf numFmtId="167" fontId="19" fillId="35" borderId="0" xfId="48" applyNumberFormat="1" applyFont="1" applyFill="1" applyBorder="1" applyAlignment="1">
      <alignment/>
    </xf>
    <xf numFmtId="167" fontId="78" fillId="37" borderId="0" xfId="48" applyNumberFormat="1" applyFont="1" applyFill="1" applyBorder="1" applyAlignment="1">
      <alignment/>
    </xf>
    <xf numFmtId="167" fontId="78" fillId="37" borderId="30" xfId="48" applyNumberFormat="1" applyFont="1" applyFill="1" applyBorder="1" applyAlignment="1">
      <alignment/>
    </xf>
    <xf numFmtId="0" fontId="77" fillId="35" borderId="29" xfId="0" applyFont="1" applyFill="1" applyBorder="1" applyAlignment="1">
      <alignment horizontal="left" indent="2"/>
    </xf>
    <xf numFmtId="9" fontId="77" fillId="35" borderId="0" xfId="0" applyNumberFormat="1" applyFont="1" applyFill="1" applyBorder="1" applyAlignment="1">
      <alignment/>
    </xf>
    <xf numFmtId="167" fontId="77" fillId="35" borderId="0" xfId="48" applyNumberFormat="1" applyFont="1" applyFill="1" applyBorder="1" applyAlignment="1">
      <alignment/>
    </xf>
    <xf numFmtId="167" fontId="21" fillId="35" borderId="0" xfId="48" applyNumberFormat="1" applyFont="1" applyFill="1" applyBorder="1" applyAlignment="1">
      <alignment/>
    </xf>
    <xf numFmtId="0" fontId="77" fillId="35" borderId="29" xfId="0" applyFont="1" applyFill="1" applyBorder="1" applyAlignment="1">
      <alignment horizontal="left" indent="4"/>
    </xf>
    <xf numFmtId="167" fontId="77" fillId="37" borderId="0" xfId="48" applyNumberFormat="1" applyFont="1" applyFill="1" applyBorder="1" applyAlignment="1">
      <alignment/>
    </xf>
    <xf numFmtId="167" fontId="77" fillId="37" borderId="30" xfId="48" applyNumberFormat="1" applyFont="1" applyFill="1" applyBorder="1" applyAlignment="1">
      <alignment/>
    </xf>
    <xf numFmtId="0" fontId="77" fillId="35" borderId="14" xfId="0" applyFont="1" applyFill="1" applyBorder="1" applyAlignment="1">
      <alignment horizontal="left" indent="4"/>
    </xf>
    <xf numFmtId="9" fontId="77" fillId="35" borderId="10" xfId="0" applyNumberFormat="1" applyFont="1" applyFill="1" applyBorder="1" applyAlignment="1">
      <alignment/>
    </xf>
    <xf numFmtId="167" fontId="77" fillId="35" borderId="10" xfId="48" applyNumberFormat="1" applyFont="1" applyFill="1" applyBorder="1" applyAlignment="1">
      <alignment/>
    </xf>
    <xf numFmtId="167" fontId="21" fillId="35" borderId="10" xfId="48" applyNumberFormat="1" applyFont="1" applyFill="1" applyBorder="1" applyAlignment="1">
      <alignment/>
    </xf>
    <xf numFmtId="167" fontId="77" fillId="37" borderId="10" xfId="48" applyNumberFormat="1" applyFont="1" applyFill="1" applyBorder="1" applyAlignment="1">
      <alignment/>
    </xf>
    <xf numFmtId="167" fontId="77" fillId="37" borderId="15" xfId="48" applyNumberFormat="1" applyFont="1" applyFill="1" applyBorder="1" applyAlignment="1">
      <alignment/>
    </xf>
    <xf numFmtId="0" fontId="77" fillId="35" borderId="0" xfId="0" applyFont="1" applyFill="1" applyAlignment="1">
      <alignment horizontal="left" indent="3"/>
    </xf>
    <xf numFmtId="9" fontId="77" fillId="35" borderId="0" xfId="0" applyNumberFormat="1" applyFont="1" applyFill="1" applyAlignment="1">
      <alignment/>
    </xf>
    <xf numFmtId="167" fontId="77" fillId="35" borderId="0" xfId="48" applyNumberFormat="1" applyFont="1" applyFill="1" applyAlignment="1">
      <alignment/>
    </xf>
    <xf numFmtId="167" fontId="21" fillId="35" borderId="0" xfId="48" applyNumberFormat="1" applyFont="1" applyFill="1" applyAlignment="1">
      <alignment/>
    </xf>
    <xf numFmtId="43" fontId="77" fillId="35" borderId="0" xfId="48" applyNumberFormat="1" applyFont="1" applyFill="1" applyAlignment="1">
      <alignment horizontal="left"/>
    </xf>
    <xf numFmtId="0" fontId="78" fillId="35" borderId="0" xfId="0" applyFont="1" applyFill="1" applyAlignment="1">
      <alignment/>
    </xf>
    <xf numFmtId="0" fontId="77" fillId="35" borderId="13" xfId="0" applyFont="1" applyFill="1" applyBorder="1" applyAlignment="1">
      <alignment/>
    </xf>
    <xf numFmtId="0" fontId="78" fillId="35" borderId="13" xfId="0" applyFont="1" applyFill="1" applyBorder="1" applyAlignment="1">
      <alignment/>
    </xf>
    <xf numFmtId="9" fontId="78" fillId="35" borderId="13" xfId="0" applyNumberFormat="1" applyFont="1" applyFill="1" applyBorder="1" applyAlignment="1">
      <alignment/>
    </xf>
    <xf numFmtId="167" fontId="78" fillId="35" borderId="13" xfId="0" applyNumberFormat="1" applyFont="1" applyFill="1" applyBorder="1" applyAlignment="1">
      <alignment/>
    </xf>
    <xf numFmtId="167" fontId="77" fillId="35" borderId="13" xfId="48" applyNumberFormat="1" applyFont="1" applyFill="1" applyBorder="1" applyAlignment="1">
      <alignment horizontal="left"/>
    </xf>
    <xf numFmtId="167" fontId="77" fillId="35" borderId="13" xfId="48" applyNumberFormat="1" applyFont="1" applyFill="1" applyBorder="1" applyAlignment="1">
      <alignment/>
    </xf>
    <xf numFmtId="43" fontId="77" fillId="35" borderId="13" xfId="48" applyNumberFormat="1" applyFont="1" applyFill="1" applyBorder="1" applyAlignment="1">
      <alignment horizontal="left"/>
    </xf>
    <xf numFmtId="9" fontId="77" fillId="35" borderId="13" xfId="64" applyFont="1" applyFill="1" applyBorder="1" applyAlignment="1">
      <alignment/>
    </xf>
    <xf numFmtId="9" fontId="78" fillId="35" borderId="13" xfId="64" applyFont="1" applyFill="1" applyBorder="1" applyAlignment="1">
      <alignment/>
    </xf>
    <xf numFmtId="9" fontId="77" fillId="35" borderId="0" xfId="64" applyFont="1" applyFill="1" applyBorder="1" applyAlignment="1">
      <alignment/>
    </xf>
    <xf numFmtId="167" fontId="21" fillId="35" borderId="30" xfId="48" applyNumberFormat="1" applyFont="1" applyFill="1" applyBorder="1" applyAlignment="1">
      <alignment/>
    </xf>
    <xf numFmtId="0" fontId="77" fillId="35" borderId="14" xfId="0" applyFont="1" applyFill="1" applyBorder="1" applyAlignment="1">
      <alignment/>
    </xf>
    <xf numFmtId="9" fontId="78" fillId="35" borderId="10" xfId="0" applyNumberFormat="1" applyFont="1" applyFill="1" applyBorder="1" applyAlignment="1">
      <alignment/>
    </xf>
    <xf numFmtId="167" fontId="77" fillId="35" borderId="15" xfId="48" applyNumberFormat="1" applyFont="1" applyFill="1" applyBorder="1" applyAlignment="1">
      <alignment/>
    </xf>
    <xf numFmtId="0" fontId="87" fillId="35" borderId="0" xfId="0" applyFont="1" applyFill="1" applyAlignment="1">
      <alignment horizontal="left" indent="1"/>
    </xf>
    <xf numFmtId="0" fontId="19" fillId="35" borderId="0" xfId="0" applyFont="1" applyFill="1" applyAlignment="1">
      <alignment vertical="top"/>
    </xf>
    <xf numFmtId="0" fontId="21" fillId="0" borderId="13" xfId="0" applyFont="1" applyBorder="1" applyAlignment="1">
      <alignment vertical="top"/>
    </xf>
    <xf numFmtId="0" fontId="21" fillId="35" borderId="0" xfId="0" applyFont="1" applyFill="1" applyAlignment="1">
      <alignment/>
    </xf>
    <xf numFmtId="0" fontId="19" fillId="35" borderId="13" xfId="0" applyFont="1" applyFill="1" applyBorder="1" applyAlignment="1">
      <alignment/>
    </xf>
    <xf numFmtId="165" fontId="19" fillId="35" borderId="13" xfId="64" applyNumberFormat="1" applyFont="1" applyFill="1" applyBorder="1" applyAlignment="1">
      <alignment/>
    </xf>
    <xf numFmtId="0" fontId="19" fillId="35" borderId="36" xfId="0" applyFont="1" applyFill="1" applyBorder="1" applyAlignment="1">
      <alignment/>
    </xf>
    <xf numFmtId="165" fontId="21" fillId="35" borderId="37" xfId="0" applyNumberFormat="1" applyFont="1" applyFill="1" applyBorder="1" applyAlignment="1">
      <alignment/>
    </xf>
    <xf numFmtId="0" fontId="78" fillId="35" borderId="0" xfId="0" applyFont="1" applyFill="1" applyAlignment="1">
      <alignment horizontal="left" indent="1"/>
    </xf>
    <xf numFmtId="167" fontId="78" fillId="35" borderId="0" xfId="0" applyNumberFormat="1" applyFont="1" applyFill="1" applyBorder="1" applyAlignment="1">
      <alignment/>
    </xf>
    <xf numFmtId="167" fontId="78" fillId="35" borderId="30" xfId="0" applyNumberFormat="1" applyFont="1" applyFill="1" applyBorder="1" applyAlignment="1">
      <alignment/>
    </xf>
    <xf numFmtId="167" fontId="88" fillId="35" borderId="0" xfId="48" applyNumberFormat="1" applyFont="1" applyFill="1" applyAlignment="1">
      <alignment/>
    </xf>
    <xf numFmtId="0" fontId="81" fillId="33" borderId="16" xfId="0" applyFont="1" applyFill="1" applyBorder="1" applyAlignment="1">
      <alignment horizontal="center" vertical="center"/>
    </xf>
    <xf numFmtId="0" fontId="81" fillId="33" borderId="11" xfId="0" applyFont="1" applyFill="1" applyBorder="1" applyAlignment="1">
      <alignment horizontal="center" vertical="center"/>
    </xf>
    <xf numFmtId="0" fontId="81" fillId="33" borderId="17" xfId="0" applyFont="1" applyFill="1" applyBorder="1" applyAlignment="1">
      <alignment horizontal="center" vertical="center"/>
    </xf>
    <xf numFmtId="0" fontId="21" fillId="0" borderId="0" xfId="0" applyFont="1" applyFill="1" applyAlignment="1">
      <alignment/>
    </xf>
    <xf numFmtId="0" fontId="81" fillId="33" borderId="11" xfId="0" applyFont="1" applyFill="1" applyBorder="1" applyAlignment="1">
      <alignment horizontal="right" vertical="center"/>
    </xf>
    <xf numFmtId="0" fontId="81" fillId="33" borderId="17" xfId="0" applyFont="1" applyFill="1" applyBorder="1" applyAlignment="1">
      <alignment horizontal="right" vertical="center"/>
    </xf>
    <xf numFmtId="0" fontId="19" fillId="0" borderId="13" xfId="0" applyFont="1" applyBorder="1" applyAlignment="1">
      <alignment horizontal="center" vertical="top" wrapText="1"/>
    </xf>
    <xf numFmtId="4" fontId="21" fillId="0" borderId="13" xfId="0" applyNumberFormat="1" applyFont="1" applyBorder="1" applyAlignment="1">
      <alignment horizontal="center" vertical="center" wrapText="1"/>
    </xf>
    <xf numFmtId="4" fontId="21" fillId="0" borderId="13" xfId="0" applyNumberFormat="1" applyFont="1" applyBorder="1" applyAlignment="1">
      <alignment horizontal="center" vertical="top" wrapText="1"/>
    </xf>
    <xf numFmtId="0" fontId="21" fillId="0" borderId="13" xfId="0" applyFont="1" applyBorder="1" applyAlignment="1">
      <alignment horizontal="center" vertical="center" wrapText="1"/>
    </xf>
    <xf numFmtId="9" fontId="77" fillId="35" borderId="0" xfId="64" applyFont="1" applyFill="1" applyAlignment="1">
      <alignment/>
    </xf>
    <xf numFmtId="0" fontId="77" fillId="35" borderId="38" xfId="0" applyFont="1" applyFill="1" applyBorder="1" applyAlignment="1">
      <alignment/>
    </xf>
    <xf numFmtId="0" fontId="89" fillId="35" borderId="0" xfId="0" applyFont="1" applyFill="1" applyBorder="1" applyAlignment="1">
      <alignment horizontal="center" vertical="center"/>
    </xf>
    <xf numFmtId="0" fontId="90" fillId="35" borderId="0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3" fontId="70" fillId="35" borderId="13" xfId="48" applyNumberFormat="1" applyFont="1" applyFill="1" applyBorder="1" applyAlignment="1">
      <alignment horizontal="center" vertical="center"/>
    </xf>
    <xf numFmtId="0" fontId="86" fillId="35" borderId="0" xfId="0" applyFont="1" applyFill="1" applyBorder="1" applyAlignment="1">
      <alignment/>
    </xf>
    <xf numFmtId="3" fontId="83" fillId="35" borderId="0" xfId="0" applyNumberFormat="1" applyFont="1" applyFill="1" applyBorder="1" applyAlignment="1">
      <alignment/>
    </xf>
    <xf numFmtId="0" fontId="86" fillId="38" borderId="0" xfId="0" applyFont="1" applyFill="1" applyBorder="1" applyAlignment="1">
      <alignment/>
    </xf>
    <xf numFmtId="3" fontId="86" fillId="38" borderId="0" xfId="0" applyNumberFormat="1" applyFont="1" applyFill="1" applyBorder="1" applyAlignment="1">
      <alignment horizontal="center"/>
    </xf>
    <xf numFmtId="0" fontId="86" fillId="35" borderId="0" xfId="0" applyFont="1" applyFill="1" applyBorder="1" applyAlignment="1">
      <alignment horizontal="left"/>
    </xf>
    <xf numFmtId="3" fontId="91" fillId="35" borderId="0" xfId="0" applyNumberFormat="1" applyFont="1" applyFill="1" applyBorder="1" applyAlignment="1">
      <alignment/>
    </xf>
    <xf numFmtId="170" fontId="83" fillId="35" borderId="0" xfId="48" applyNumberFormat="1" applyFont="1" applyFill="1" applyBorder="1" applyAlignment="1">
      <alignment horizontal="right" vertical="center"/>
    </xf>
    <xf numFmtId="0" fontId="91" fillId="35" borderId="0" xfId="0" applyFont="1" applyFill="1" applyBorder="1" applyAlignment="1">
      <alignment horizontal="left" indent="1"/>
    </xf>
    <xf numFmtId="3" fontId="91" fillId="35" borderId="0" xfId="48" applyNumberFormat="1" applyFont="1" applyFill="1" applyBorder="1" applyAlignment="1">
      <alignment/>
    </xf>
    <xf numFmtId="43" fontId="70" fillId="35" borderId="0" xfId="48" applyFont="1" applyFill="1" applyBorder="1" applyAlignment="1">
      <alignment horizontal="right" vertical="center"/>
    </xf>
    <xf numFmtId="0" fontId="91" fillId="35" borderId="0" xfId="0" applyFont="1" applyFill="1" applyBorder="1" applyAlignment="1">
      <alignment/>
    </xf>
    <xf numFmtId="3" fontId="86" fillId="35" borderId="0" xfId="0" applyNumberFormat="1" applyFont="1" applyFill="1" applyBorder="1" applyAlignment="1">
      <alignment/>
    </xf>
    <xf numFmtId="0" fontId="83" fillId="35" borderId="0" xfId="0" applyFont="1" applyFill="1" applyBorder="1" applyAlignment="1">
      <alignment/>
    </xf>
    <xf numFmtId="0" fontId="75" fillId="38" borderId="0" xfId="0" applyFont="1" applyFill="1" applyBorder="1" applyAlignment="1">
      <alignment/>
    </xf>
    <xf numFmtId="3" fontId="75" fillId="38" borderId="0" xfId="0" applyNumberFormat="1" applyFont="1" applyFill="1" applyBorder="1" applyAlignment="1">
      <alignment horizontal="center"/>
    </xf>
    <xf numFmtId="0" fontId="83" fillId="35" borderId="0" xfId="0" applyFont="1" applyFill="1" applyBorder="1" applyAlignment="1">
      <alignment horizontal="left"/>
    </xf>
    <xf numFmtId="0" fontId="77" fillId="35" borderId="29" xfId="0" applyFont="1" applyFill="1" applyBorder="1" applyAlignment="1">
      <alignment horizontal="left" indent="1"/>
    </xf>
    <xf numFmtId="9" fontId="77" fillId="35" borderId="30" xfId="64" applyNumberFormat="1" applyFont="1" applyFill="1" applyBorder="1" applyAlignment="1">
      <alignment/>
    </xf>
    <xf numFmtId="0" fontId="77" fillId="35" borderId="29" xfId="0" applyFont="1" applyFill="1" applyBorder="1" applyAlignment="1">
      <alignment horizontal="left" indent="3"/>
    </xf>
    <xf numFmtId="10" fontId="77" fillId="35" borderId="30" xfId="64" applyNumberFormat="1" applyFont="1" applyFill="1" applyBorder="1" applyAlignment="1">
      <alignment/>
    </xf>
    <xf numFmtId="0" fontId="77" fillId="35" borderId="14" xfId="0" applyFont="1" applyFill="1" applyBorder="1" applyAlignment="1">
      <alignment horizontal="left" indent="3"/>
    </xf>
    <xf numFmtId="10" fontId="77" fillId="35" borderId="15" xfId="64" applyNumberFormat="1" applyFont="1" applyFill="1" applyBorder="1" applyAlignment="1">
      <alignment/>
    </xf>
    <xf numFmtId="0" fontId="78" fillId="0" borderId="13" xfId="0" applyFont="1" applyBorder="1" applyAlignment="1">
      <alignment horizontal="left"/>
    </xf>
    <xf numFmtId="0" fontId="77" fillId="0" borderId="13" xfId="0" applyFont="1" applyBorder="1" applyAlignment="1">
      <alignment horizontal="left" indent="3"/>
    </xf>
    <xf numFmtId="10" fontId="77" fillId="34" borderId="30" xfId="64" applyNumberFormat="1" applyFont="1" applyFill="1" applyBorder="1" applyAlignment="1">
      <alignment horizontal="right" vertical="center"/>
    </xf>
    <xf numFmtId="43" fontId="77" fillId="34" borderId="30" xfId="48" applyFont="1" applyFill="1" applyBorder="1" applyAlignment="1">
      <alignment horizontal="right" vertical="center"/>
    </xf>
    <xf numFmtId="10" fontId="77" fillId="0" borderId="30" xfId="64" applyNumberFormat="1" applyFont="1" applyBorder="1" applyAlignment="1">
      <alignment/>
    </xf>
    <xf numFmtId="0" fontId="77" fillId="0" borderId="30" xfId="0" applyFont="1" applyBorder="1" applyAlignment="1">
      <alignment/>
    </xf>
    <xf numFmtId="43" fontId="77" fillId="35" borderId="0" xfId="48" applyFont="1" applyFill="1" applyBorder="1" applyAlignment="1">
      <alignment horizontal="right" vertical="center"/>
    </xf>
    <xf numFmtId="0" fontId="77" fillId="0" borderId="13" xfId="0" applyFont="1" applyFill="1" applyBorder="1" applyAlignment="1">
      <alignment horizontal="center"/>
    </xf>
    <xf numFmtId="0" fontId="77" fillId="0" borderId="13" xfId="0" applyFont="1" applyBorder="1" applyAlignment="1">
      <alignment horizontal="center"/>
    </xf>
    <xf numFmtId="0" fontId="19" fillId="38" borderId="13" xfId="0" applyFont="1" applyFill="1" applyBorder="1" applyAlignment="1">
      <alignment horizontal="left" vertical="center" wrapText="1"/>
    </xf>
    <xf numFmtId="0" fontId="77" fillId="0" borderId="13" xfId="0" applyFont="1" applyBorder="1" applyAlignment="1">
      <alignment horizontal="right"/>
    </xf>
    <xf numFmtId="2" fontId="77" fillId="0" borderId="13" xfId="0" applyNumberFormat="1" applyFont="1" applyBorder="1" applyAlignment="1">
      <alignment horizontal="right"/>
    </xf>
    <xf numFmtId="0" fontId="81" fillId="38" borderId="13" xfId="0" applyFont="1" applyFill="1" applyBorder="1" applyAlignment="1">
      <alignment horizontal="center" vertical="center" wrapText="1"/>
    </xf>
    <xf numFmtId="0" fontId="81" fillId="38" borderId="13" xfId="0" applyFont="1" applyFill="1" applyBorder="1" applyAlignment="1">
      <alignment horizontal="right" vertical="center" wrapText="1"/>
    </xf>
    <xf numFmtId="0" fontId="78" fillId="0" borderId="13" xfId="0" applyFont="1" applyBorder="1" applyAlignment="1">
      <alignment horizontal="left" indent="2"/>
    </xf>
    <xf numFmtId="0" fontId="78" fillId="0" borderId="13" xfId="0" applyFont="1" applyBorder="1" applyAlignment="1">
      <alignment horizontal="center"/>
    </xf>
    <xf numFmtId="2" fontId="21" fillId="0" borderId="13" xfId="0" applyNumberFormat="1" applyFont="1" applyFill="1" applyBorder="1" applyAlignment="1">
      <alignment horizontal="right"/>
    </xf>
    <xf numFmtId="2" fontId="78" fillId="0" borderId="13" xfId="0" applyNumberFormat="1" applyFont="1" applyBorder="1" applyAlignment="1">
      <alignment horizontal="right"/>
    </xf>
    <xf numFmtId="0" fontId="21" fillId="0" borderId="13" xfId="0" applyFont="1" applyFill="1" applyBorder="1" applyAlignment="1">
      <alignment horizontal="left" indent="4"/>
    </xf>
    <xf numFmtId="0" fontId="77" fillId="0" borderId="13" xfId="0" applyFont="1" applyBorder="1" applyAlignment="1">
      <alignment horizontal="left" indent="4"/>
    </xf>
    <xf numFmtId="0" fontId="77" fillId="0" borderId="39" xfId="0" applyFont="1" applyBorder="1" applyAlignment="1">
      <alignment/>
    </xf>
    <xf numFmtId="0" fontId="19" fillId="0" borderId="40" xfId="37" applyFont="1" applyFill="1" applyBorder="1" applyAlignment="1">
      <alignment horizontal="left" vertical="center"/>
      <protection/>
    </xf>
    <xf numFmtId="0" fontId="77" fillId="0" borderId="40" xfId="0" applyFont="1" applyBorder="1" applyAlignment="1">
      <alignment/>
    </xf>
    <xf numFmtId="0" fontId="77" fillId="0" borderId="41" xfId="0" applyFont="1" applyBorder="1" applyAlignment="1">
      <alignment/>
    </xf>
    <xf numFmtId="0" fontId="77" fillId="0" borderId="42" xfId="0" applyFont="1" applyBorder="1" applyAlignment="1">
      <alignment/>
    </xf>
    <xf numFmtId="0" fontId="77" fillId="0" borderId="38" xfId="0" applyFont="1" applyBorder="1" applyAlignment="1">
      <alignment/>
    </xf>
    <xf numFmtId="43" fontId="77" fillId="35" borderId="38" xfId="48" applyFont="1" applyFill="1" applyBorder="1" applyAlignment="1">
      <alignment horizontal="right" vertical="center"/>
    </xf>
    <xf numFmtId="0" fontId="77" fillId="0" borderId="43" xfId="0" applyFont="1" applyBorder="1" applyAlignment="1">
      <alignment/>
    </xf>
    <xf numFmtId="0" fontId="77" fillId="0" borderId="44" xfId="0" applyFont="1" applyBorder="1" applyAlignment="1">
      <alignment/>
    </xf>
    <xf numFmtId="43" fontId="77" fillId="35" borderId="45" xfId="48" applyFont="1" applyFill="1" applyBorder="1" applyAlignment="1">
      <alignment horizontal="right" vertical="center"/>
    </xf>
    <xf numFmtId="0" fontId="81" fillId="36" borderId="46" xfId="0" applyFont="1" applyFill="1" applyBorder="1" applyAlignment="1">
      <alignment horizontal="center" vertical="center" wrapText="1"/>
    </xf>
    <xf numFmtId="9" fontId="21" fillId="0" borderId="30" xfId="0" applyNumberFormat="1" applyFont="1" applyBorder="1" applyAlignment="1">
      <alignment horizontal="right"/>
    </xf>
    <xf numFmtId="0" fontId="75" fillId="36" borderId="22" xfId="0" applyFont="1" applyFill="1" applyBorder="1" applyAlignment="1">
      <alignment/>
    </xf>
    <xf numFmtId="3" fontId="75" fillId="36" borderId="22" xfId="0" applyNumberFormat="1" applyFont="1" applyFill="1" applyBorder="1" applyAlignment="1">
      <alignment horizontal="center"/>
    </xf>
    <xf numFmtId="0" fontId="83" fillId="0" borderId="0" xfId="0" applyFont="1" applyBorder="1" applyAlignment="1">
      <alignment horizontal="left"/>
    </xf>
    <xf numFmtId="0" fontId="83" fillId="0" borderId="47" xfId="0" applyFont="1" applyBorder="1" applyAlignment="1">
      <alignment horizontal="left"/>
    </xf>
    <xf numFmtId="3" fontId="70" fillId="35" borderId="47" xfId="0" applyNumberFormat="1" applyFont="1" applyFill="1" applyBorder="1" applyAlignment="1">
      <alignment/>
    </xf>
    <xf numFmtId="0" fontId="70" fillId="0" borderId="47" xfId="0" applyFont="1" applyBorder="1" applyAlignment="1">
      <alignment horizontal="left" indent="1"/>
    </xf>
    <xf numFmtId="3" fontId="70" fillId="35" borderId="47" xfId="48" applyNumberFormat="1" applyFont="1" applyFill="1" applyBorder="1" applyAlignment="1">
      <alignment/>
    </xf>
    <xf numFmtId="0" fontId="83" fillId="0" borderId="48" xfId="0" applyFont="1" applyBorder="1" applyAlignment="1">
      <alignment horizontal="center"/>
    </xf>
    <xf numFmtId="3" fontId="83" fillId="35" borderId="48" xfId="0" applyNumberFormat="1" applyFont="1" applyFill="1" applyBorder="1" applyAlignment="1">
      <alignment/>
    </xf>
    <xf numFmtId="0" fontId="78" fillId="0" borderId="16" xfId="0" applyFont="1" applyBorder="1" applyAlignment="1">
      <alignment horizontal="left"/>
    </xf>
    <xf numFmtId="0" fontId="70" fillId="35" borderId="35" xfId="0" applyFont="1" applyFill="1" applyBorder="1" applyAlignment="1">
      <alignment/>
    </xf>
    <xf numFmtId="0" fontId="75" fillId="38" borderId="47" xfId="0" applyFont="1" applyFill="1" applyBorder="1" applyAlignment="1">
      <alignment horizontal="center" vertical="center" wrapText="1"/>
    </xf>
    <xf numFmtId="0" fontId="83" fillId="0" borderId="35" xfId="0" applyFont="1" applyBorder="1" applyAlignment="1">
      <alignment horizontal="left"/>
    </xf>
    <xf numFmtId="0" fontId="75" fillId="36" borderId="47" xfId="0" applyFont="1" applyFill="1" applyBorder="1" applyAlignment="1">
      <alignment horizontal="center" vertical="center" wrapText="1"/>
    </xf>
    <xf numFmtId="0" fontId="78" fillId="0" borderId="47" xfId="0" applyFont="1" applyBorder="1" applyAlignment="1">
      <alignment horizontal="left"/>
    </xf>
    <xf numFmtId="0" fontId="12" fillId="35" borderId="10" xfId="0" applyFont="1" applyFill="1" applyBorder="1" applyAlignment="1">
      <alignment/>
    </xf>
    <xf numFmtId="9" fontId="12" fillId="35" borderId="10" xfId="0" applyNumberFormat="1" applyFont="1" applyFill="1" applyBorder="1" applyAlignment="1">
      <alignment horizontal="center"/>
    </xf>
    <xf numFmtId="37" fontId="12" fillId="35" borderId="10" xfId="0" applyNumberFormat="1" applyFont="1" applyFill="1" applyBorder="1" applyAlignment="1">
      <alignment/>
    </xf>
    <xf numFmtId="0" fontId="12" fillId="35" borderId="0" xfId="37" applyFont="1" applyFill="1" applyBorder="1" applyAlignment="1">
      <alignment vertical="center"/>
      <protection/>
    </xf>
    <xf numFmtId="0" fontId="12" fillId="35" borderId="10" xfId="37" applyFont="1" applyFill="1" applyBorder="1" applyAlignment="1">
      <alignment vertical="center"/>
      <protection/>
    </xf>
    <xf numFmtId="0" fontId="12" fillId="35" borderId="12" xfId="37" applyFont="1" applyFill="1" applyBorder="1" applyAlignment="1">
      <alignment vertical="center"/>
      <protection/>
    </xf>
    <xf numFmtId="37" fontId="70" fillId="35" borderId="12" xfId="0" applyNumberFormat="1" applyFont="1" applyFill="1" applyBorder="1" applyAlignment="1">
      <alignment/>
    </xf>
    <xf numFmtId="37" fontId="70" fillId="35" borderId="0" xfId="0" applyNumberFormat="1" applyFont="1" applyFill="1" applyBorder="1" applyAlignment="1">
      <alignment/>
    </xf>
    <xf numFmtId="37" fontId="70" fillId="35" borderId="10" xfId="0" applyNumberFormat="1" applyFont="1" applyFill="1" applyBorder="1" applyAlignment="1">
      <alignment/>
    </xf>
    <xf numFmtId="170" fontId="12" fillId="35" borderId="12" xfId="48" applyNumberFormat="1" applyFont="1" applyFill="1" applyBorder="1" applyAlignment="1">
      <alignment/>
    </xf>
    <xf numFmtId="170" fontId="12" fillId="35" borderId="0" xfId="48" applyNumberFormat="1" applyFont="1" applyFill="1" applyBorder="1" applyAlignment="1">
      <alignment/>
    </xf>
    <xf numFmtId="170" fontId="12" fillId="35" borderId="10" xfId="48" applyNumberFormat="1" applyFont="1" applyFill="1" applyBorder="1" applyAlignment="1">
      <alignment/>
    </xf>
    <xf numFmtId="0" fontId="11" fillId="35" borderId="0" xfId="37" applyFont="1" applyFill="1" applyBorder="1" applyAlignment="1">
      <alignment horizontal="left" vertical="center"/>
      <protection/>
    </xf>
    <xf numFmtId="0" fontId="11" fillId="35" borderId="0" xfId="37" applyFont="1" applyFill="1" applyBorder="1" applyAlignment="1">
      <alignment horizontal="center" vertical="center"/>
      <protection/>
    </xf>
    <xf numFmtId="37" fontId="11" fillId="35" borderId="0" xfId="37" applyNumberFormat="1" applyFont="1" applyFill="1" applyBorder="1" applyAlignment="1">
      <alignment horizontal="right" vertical="center"/>
      <protection/>
    </xf>
    <xf numFmtId="37" fontId="11" fillId="35" borderId="12" xfId="37" applyNumberFormat="1" applyFont="1" applyFill="1" applyBorder="1" applyAlignment="1">
      <alignment horizontal="right" vertical="center"/>
      <protection/>
    </xf>
    <xf numFmtId="0" fontId="12" fillId="35" borderId="0" xfId="37" applyFont="1" applyFill="1" applyBorder="1" applyAlignment="1">
      <alignment horizontal="left" vertical="center"/>
      <protection/>
    </xf>
    <xf numFmtId="0" fontId="12" fillId="35" borderId="0" xfId="37" applyFont="1" applyFill="1" applyBorder="1" applyAlignment="1">
      <alignment horizontal="center" vertical="center"/>
      <protection/>
    </xf>
    <xf numFmtId="37" fontId="12" fillId="35" borderId="0" xfId="37" applyNumberFormat="1" applyFont="1" applyFill="1" applyBorder="1" applyAlignment="1">
      <alignment horizontal="right" vertical="center"/>
      <protection/>
    </xf>
    <xf numFmtId="0" fontId="11" fillId="35" borderId="10" xfId="37" applyFont="1" applyFill="1" applyBorder="1" applyAlignment="1">
      <alignment horizontal="left" vertical="center"/>
      <protection/>
    </xf>
    <xf numFmtId="0" fontId="11" fillId="35" borderId="10" xfId="37" applyFont="1" applyFill="1" applyBorder="1" applyAlignment="1">
      <alignment horizontal="center" vertical="center"/>
      <protection/>
    </xf>
    <xf numFmtId="37" fontId="11" fillId="35" borderId="10" xfId="37" applyNumberFormat="1" applyFont="1" applyFill="1" applyBorder="1" applyAlignment="1">
      <alignment horizontal="right" vertical="center"/>
      <protection/>
    </xf>
    <xf numFmtId="0" fontId="12" fillId="0" borderId="49" xfId="0" applyFont="1" applyFill="1" applyBorder="1" applyAlignment="1">
      <alignment/>
    </xf>
    <xf numFmtId="0" fontId="11" fillId="0" borderId="49" xfId="0" applyFont="1" applyFill="1" applyBorder="1" applyAlignment="1">
      <alignment/>
    </xf>
    <xf numFmtId="0" fontId="11" fillId="0" borderId="50" xfId="0" applyFont="1" applyFill="1" applyBorder="1" applyAlignment="1">
      <alignment/>
    </xf>
    <xf numFmtId="0" fontId="83" fillId="0" borderId="47" xfId="0" applyFont="1" applyBorder="1" applyAlignment="1">
      <alignment horizontal="center"/>
    </xf>
    <xf numFmtId="166" fontId="70" fillId="0" borderId="47" xfId="0" applyNumberFormat="1" applyFont="1" applyBorder="1" applyAlignment="1">
      <alignment/>
    </xf>
    <xf numFmtId="166" fontId="83" fillId="0" borderId="47" xfId="0" applyNumberFormat="1" applyFont="1" applyBorder="1" applyAlignment="1">
      <alignment/>
    </xf>
    <xf numFmtId="0" fontId="11" fillId="0" borderId="36" xfId="0" applyFont="1" applyFill="1" applyBorder="1" applyAlignment="1">
      <alignment/>
    </xf>
    <xf numFmtId="0" fontId="83" fillId="0" borderId="51" xfId="0" applyFont="1" applyBorder="1" applyAlignment="1">
      <alignment horizontal="center"/>
    </xf>
    <xf numFmtId="0" fontId="83" fillId="0" borderId="52" xfId="0" applyFont="1" applyBorder="1" applyAlignment="1">
      <alignment/>
    </xf>
    <xf numFmtId="166" fontId="70" fillId="0" borderId="51" xfId="0" applyNumberFormat="1" applyFont="1" applyBorder="1" applyAlignment="1">
      <alignment/>
    </xf>
    <xf numFmtId="166" fontId="70" fillId="0" borderId="52" xfId="0" applyNumberFormat="1" applyFont="1" applyBorder="1" applyAlignment="1">
      <alignment/>
    </xf>
    <xf numFmtId="166" fontId="83" fillId="0" borderId="51" xfId="0" applyNumberFormat="1" applyFont="1" applyBorder="1" applyAlignment="1">
      <alignment/>
    </xf>
    <xf numFmtId="166" fontId="83" fillId="0" borderId="52" xfId="0" applyNumberFormat="1" applyFont="1" applyBorder="1" applyAlignment="1">
      <alignment/>
    </xf>
    <xf numFmtId="0" fontId="81" fillId="36" borderId="22" xfId="0" applyFont="1" applyFill="1" applyBorder="1" applyAlignment="1">
      <alignment/>
    </xf>
    <xf numFmtId="0" fontId="78" fillId="0" borderId="53" xfId="0" applyFont="1" applyBorder="1" applyAlignment="1">
      <alignment horizontal="left" indent="1"/>
    </xf>
    <xf numFmtId="0" fontId="77" fillId="35" borderId="54" xfId="0" applyFont="1" applyFill="1" applyBorder="1" applyAlignment="1">
      <alignment/>
    </xf>
    <xf numFmtId="167" fontId="77" fillId="35" borderId="54" xfId="48" applyNumberFormat="1" applyFont="1" applyFill="1" applyBorder="1" applyAlignment="1">
      <alignment/>
    </xf>
    <xf numFmtId="167" fontId="21" fillId="35" borderId="54" xfId="48" applyNumberFormat="1" applyFont="1" applyFill="1" applyBorder="1" applyAlignment="1">
      <alignment/>
    </xf>
    <xf numFmtId="167" fontId="77" fillId="35" borderId="55" xfId="48" applyNumberFormat="1" applyFont="1" applyFill="1" applyBorder="1" applyAlignment="1">
      <alignment/>
    </xf>
    <xf numFmtId="0" fontId="77" fillId="35" borderId="56" xfId="0" applyFont="1" applyFill="1" applyBorder="1" applyAlignment="1">
      <alignment/>
    </xf>
    <xf numFmtId="0" fontId="77" fillId="35" borderId="57" xfId="0" applyFont="1" applyFill="1" applyBorder="1" applyAlignment="1">
      <alignment/>
    </xf>
    <xf numFmtId="167" fontId="77" fillId="35" borderId="57" xfId="48" applyNumberFormat="1" applyFont="1" applyFill="1" applyBorder="1" applyAlignment="1">
      <alignment/>
    </xf>
    <xf numFmtId="167" fontId="77" fillId="35" borderId="58" xfId="48" applyNumberFormat="1" applyFont="1" applyFill="1" applyBorder="1" applyAlignment="1">
      <alignment/>
    </xf>
    <xf numFmtId="167" fontId="77" fillId="0" borderId="54" xfId="48" applyNumberFormat="1" applyFont="1" applyBorder="1" applyAlignment="1">
      <alignment/>
    </xf>
    <xf numFmtId="167" fontId="77" fillId="0" borderId="55" xfId="48" applyNumberFormat="1" applyFont="1" applyBorder="1" applyAlignment="1">
      <alignment/>
    </xf>
    <xf numFmtId="167" fontId="77" fillId="0" borderId="57" xfId="48" applyNumberFormat="1" applyFont="1" applyBorder="1" applyAlignment="1">
      <alignment/>
    </xf>
    <xf numFmtId="167" fontId="77" fillId="0" borderId="58" xfId="48" applyNumberFormat="1" applyFont="1" applyBorder="1" applyAlignment="1">
      <alignment/>
    </xf>
    <xf numFmtId="10" fontId="12" fillId="35" borderId="0" xfId="0" applyNumberFormat="1" applyFont="1" applyFill="1" applyBorder="1" applyAlignment="1">
      <alignment horizontal="right"/>
    </xf>
    <xf numFmtId="1" fontId="12" fillId="35" borderId="0" xfId="37" applyNumberFormat="1" applyFont="1" applyFill="1" applyBorder="1">
      <alignment/>
      <protection/>
    </xf>
    <xf numFmtId="1" fontId="0" fillId="35" borderId="0" xfId="0" applyNumberFormat="1" applyFill="1" applyBorder="1" applyAlignment="1">
      <alignment/>
    </xf>
    <xf numFmtId="0" fontId="12" fillId="35" borderId="59" xfId="37" applyFont="1" applyFill="1" applyBorder="1" applyAlignment="1">
      <alignment vertical="center"/>
      <protection/>
    </xf>
    <xf numFmtId="10" fontId="12" fillId="35" borderId="59" xfId="0" applyNumberFormat="1" applyFont="1" applyFill="1" applyBorder="1" applyAlignment="1">
      <alignment horizontal="right"/>
    </xf>
    <xf numFmtId="37" fontId="12" fillId="35" borderId="59" xfId="37" applyNumberFormat="1" applyFont="1" applyFill="1" applyBorder="1" applyAlignment="1">
      <alignment horizontal="right" vertical="center"/>
      <protection/>
    </xf>
    <xf numFmtId="0" fontId="83" fillId="0" borderId="19" xfId="0" applyFont="1" applyBorder="1" applyAlignment="1">
      <alignment horizontal="center"/>
    </xf>
    <xf numFmtId="0" fontId="83" fillId="0" borderId="13" xfId="0" applyFont="1" applyBorder="1" applyAlignment="1">
      <alignment horizontal="center"/>
    </xf>
    <xf numFmtId="0" fontId="83" fillId="0" borderId="16" xfId="0" applyFont="1" applyBorder="1" applyAlignment="1">
      <alignment horizontal="center"/>
    </xf>
    <xf numFmtId="0" fontId="83" fillId="0" borderId="17" xfId="0" applyFont="1" applyBorder="1" applyAlignment="1">
      <alignment horizontal="center"/>
    </xf>
    <xf numFmtId="0" fontId="81" fillId="33" borderId="13" xfId="0" applyFont="1" applyFill="1" applyBorder="1" applyAlignment="1">
      <alignment horizontal="center"/>
    </xf>
    <xf numFmtId="10" fontId="75" fillId="33" borderId="13" xfId="0" applyNumberFormat="1" applyFont="1" applyFill="1" applyBorder="1" applyAlignment="1">
      <alignment horizontal="center" vertical="center" wrapText="1"/>
    </xf>
    <xf numFmtId="0" fontId="75" fillId="33" borderId="13" xfId="0" applyFont="1" applyFill="1" applyBorder="1" applyAlignment="1">
      <alignment horizontal="center" wrapText="1"/>
    </xf>
    <xf numFmtId="0" fontId="75" fillId="33" borderId="13" xfId="0" applyFont="1" applyFill="1" applyBorder="1" applyAlignment="1">
      <alignment horizontal="center" vertical="center" wrapText="1"/>
    </xf>
    <xf numFmtId="0" fontId="75" fillId="33" borderId="13" xfId="0" applyFont="1" applyFill="1" applyBorder="1" applyAlignment="1">
      <alignment/>
    </xf>
    <xf numFmtId="0" fontId="75" fillId="33" borderId="13" xfId="0" applyFont="1" applyFill="1" applyBorder="1" applyAlignment="1">
      <alignment horizontal="center" vertical="center"/>
    </xf>
    <xf numFmtId="166" fontId="83" fillId="0" borderId="60" xfId="0" applyNumberFormat="1" applyFont="1" applyBorder="1" applyAlignment="1">
      <alignment/>
    </xf>
    <xf numFmtId="166" fontId="83" fillId="0" borderId="61" xfId="0" applyNumberFormat="1" applyFont="1" applyBorder="1" applyAlignment="1">
      <alignment/>
    </xf>
    <xf numFmtId="166" fontId="83" fillId="0" borderId="62" xfId="0" applyNumberFormat="1" applyFont="1" applyBorder="1" applyAlignment="1">
      <alignment/>
    </xf>
    <xf numFmtId="169" fontId="83" fillId="0" borderId="63" xfId="0" applyNumberFormat="1" applyFont="1" applyBorder="1" applyAlignment="1">
      <alignment/>
    </xf>
    <xf numFmtId="169" fontId="83" fillId="0" borderId="64" xfId="0" applyNumberFormat="1" applyFont="1" applyBorder="1" applyAlignment="1">
      <alignment/>
    </xf>
    <xf numFmtId="169" fontId="83" fillId="0" borderId="65" xfId="0" applyNumberFormat="1" applyFont="1" applyBorder="1" applyAlignment="1">
      <alignment/>
    </xf>
    <xf numFmtId="166" fontId="70" fillId="0" borderId="19" xfId="0" applyNumberFormat="1" applyFont="1" applyBorder="1" applyAlignment="1">
      <alignment/>
    </xf>
    <xf numFmtId="166" fontId="83" fillId="0" borderId="66" xfId="0" applyNumberFormat="1" applyFont="1" applyBorder="1" applyAlignment="1">
      <alignment/>
    </xf>
    <xf numFmtId="166" fontId="83" fillId="0" borderId="67" xfId="0" applyNumberFormat="1" applyFont="1" applyBorder="1" applyAlignment="1">
      <alignment/>
    </xf>
    <xf numFmtId="166" fontId="83" fillId="0" borderId="68" xfId="0" applyNumberFormat="1" applyFont="1" applyBorder="1" applyAlignment="1">
      <alignment/>
    </xf>
    <xf numFmtId="169" fontId="70" fillId="0" borderId="17" xfId="0" applyNumberFormat="1" applyFont="1" applyBorder="1" applyAlignment="1">
      <alignment/>
    </xf>
    <xf numFmtId="166" fontId="83" fillId="0" borderId="69" xfId="0" applyNumberFormat="1" applyFont="1" applyBorder="1" applyAlignment="1">
      <alignment/>
    </xf>
    <xf numFmtId="169" fontId="83" fillId="0" borderId="17" xfId="0" applyNumberFormat="1" applyFont="1" applyBorder="1" applyAlignment="1">
      <alignment/>
    </xf>
    <xf numFmtId="169" fontId="83" fillId="0" borderId="70" xfId="0" applyNumberFormat="1" applyFont="1" applyBorder="1" applyAlignment="1">
      <alignment/>
    </xf>
    <xf numFmtId="169" fontId="83" fillId="0" borderId="71" xfId="0" applyNumberFormat="1" applyFont="1" applyBorder="1" applyAlignment="1">
      <alignment/>
    </xf>
    <xf numFmtId="3" fontId="92" fillId="0" borderId="66" xfId="0" applyNumberFormat="1" applyFont="1" applyBorder="1" applyAlignment="1">
      <alignment/>
    </xf>
    <xf numFmtId="3" fontId="92" fillId="0" borderId="67" xfId="0" applyNumberFormat="1" applyFont="1" applyBorder="1" applyAlignment="1">
      <alignment/>
    </xf>
    <xf numFmtId="0" fontId="81" fillId="33" borderId="34" xfId="0" applyFont="1" applyFill="1" applyBorder="1" applyAlignment="1">
      <alignment horizontal="center" vertical="center"/>
    </xf>
    <xf numFmtId="0" fontId="81" fillId="33" borderId="23" xfId="0" applyFont="1" applyFill="1" applyBorder="1" applyAlignment="1">
      <alignment horizontal="center" vertical="center"/>
    </xf>
    <xf numFmtId="0" fontId="81" fillId="33" borderId="14" xfId="0" applyFont="1" applyFill="1" applyBorder="1" applyAlignment="1">
      <alignment horizontal="center" vertical="center"/>
    </xf>
    <xf numFmtId="0" fontId="81" fillId="33" borderId="15" xfId="0" applyFont="1" applyFill="1" applyBorder="1" applyAlignment="1">
      <alignment horizontal="center" vertical="center"/>
    </xf>
    <xf numFmtId="0" fontId="81" fillId="33" borderId="72" xfId="0" applyFont="1" applyFill="1" applyBorder="1" applyAlignment="1">
      <alignment horizontal="center" vertical="center"/>
    </xf>
    <xf numFmtId="0" fontId="81" fillId="33" borderId="73" xfId="0" applyFont="1" applyFill="1" applyBorder="1" applyAlignment="1">
      <alignment horizontal="center" vertical="center"/>
    </xf>
    <xf numFmtId="0" fontId="81" fillId="33" borderId="74" xfId="0" applyFont="1" applyFill="1" applyBorder="1" applyAlignment="1">
      <alignment horizontal="center" vertical="center"/>
    </xf>
    <xf numFmtId="0" fontId="81" fillId="33" borderId="75" xfId="0" applyFont="1" applyFill="1" applyBorder="1" applyAlignment="1">
      <alignment horizontal="center" vertical="center"/>
    </xf>
    <xf numFmtId="0" fontId="81" fillId="33" borderId="76" xfId="0" applyFont="1" applyFill="1" applyBorder="1" applyAlignment="1">
      <alignment horizontal="center" vertical="center"/>
    </xf>
    <xf numFmtId="0" fontId="81" fillId="33" borderId="77" xfId="0" applyFont="1" applyFill="1" applyBorder="1" applyAlignment="1">
      <alignment horizontal="center" vertical="center"/>
    </xf>
    <xf numFmtId="0" fontId="70" fillId="35" borderId="0" xfId="0" applyFont="1" applyFill="1" applyBorder="1" applyAlignment="1">
      <alignment horizontal="center"/>
    </xf>
    <xf numFmtId="3" fontId="70" fillId="35" borderId="0" xfId="0" applyNumberFormat="1" applyFont="1" applyFill="1" applyAlignment="1">
      <alignment/>
    </xf>
    <xf numFmtId="0" fontId="89" fillId="35" borderId="0" xfId="0" applyFont="1" applyFill="1" applyBorder="1" applyAlignment="1">
      <alignment horizontal="center" vertical="center"/>
    </xf>
    <xf numFmtId="0" fontId="78" fillId="35" borderId="0" xfId="0" applyFont="1" applyFill="1" applyAlignment="1">
      <alignment horizontal="center"/>
    </xf>
    <xf numFmtId="0" fontId="78" fillId="35" borderId="10" xfId="0" applyFont="1" applyFill="1" applyBorder="1" applyAlignment="1">
      <alignment horizontal="center"/>
    </xf>
    <xf numFmtId="0" fontId="78" fillId="35" borderId="16" xfId="0" applyFont="1" applyFill="1" applyBorder="1" applyAlignment="1">
      <alignment horizontal="center"/>
    </xf>
    <xf numFmtId="0" fontId="78" fillId="35" borderId="17" xfId="0" applyFont="1" applyFill="1" applyBorder="1" applyAlignment="1">
      <alignment horizontal="center"/>
    </xf>
    <xf numFmtId="0" fontId="19" fillId="0" borderId="13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top" wrapText="1"/>
    </xf>
    <xf numFmtId="0" fontId="83" fillId="0" borderId="78" xfId="0" applyFont="1" applyBorder="1" applyAlignment="1">
      <alignment horizontal="center"/>
    </xf>
    <xf numFmtId="0" fontId="83" fillId="0" borderId="79" xfId="0" applyFont="1" applyBorder="1" applyAlignment="1">
      <alignment horizontal="center"/>
    </xf>
    <xf numFmtId="0" fontId="83" fillId="0" borderId="80" xfId="0" applyFont="1" applyBorder="1" applyAlignment="1">
      <alignment horizontal="center"/>
    </xf>
    <xf numFmtId="0" fontId="83" fillId="0" borderId="19" xfId="0" applyFont="1" applyBorder="1" applyAlignment="1">
      <alignment horizontal="center"/>
    </xf>
    <xf numFmtId="0" fontId="83" fillId="0" borderId="13" xfId="0" applyFont="1" applyBorder="1" applyAlignment="1">
      <alignment horizontal="center"/>
    </xf>
    <xf numFmtId="0" fontId="83" fillId="0" borderId="18" xfId="0" applyFont="1" applyBorder="1" applyAlignment="1">
      <alignment horizontal="center"/>
    </xf>
    <xf numFmtId="0" fontId="83" fillId="0" borderId="51" xfId="0" applyFont="1" applyBorder="1" applyAlignment="1">
      <alignment horizontal="center"/>
    </xf>
    <xf numFmtId="0" fontId="83" fillId="0" borderId="47" xfId="0" applyFont="1" applyBorder="1" applyAlignment="1">
      <alignment horizontal="center"/>
    </xf>
    <xf numFmtId="0" fontId="83" fillId="0" borderId="52" xfId="0" applyFont="1" applyBorder="1" applyAlignment="1">
      <alignment horizontal="center"/>
    </xf>
    <xf numFmtId="0" fontId="83" fillId="0" borderId="81" xfId="0" applyFont="1" applyBorder="1" applyAlignment="1">
      <alignment horizontal="center"/>
    </xf>
    <xf numFmtId="0" fontId="83" fillId="0" borderId="82" xfId="0" applyFont="1" applyBorder="1" applyAlignment="1">
      <alignment horizontal="center"/>
    </xf>
    <xf numFmtId="0" fontId="83" fillId="0" borderId="83" xfId="0" applyFont="1" applyBorder="1" applyAlignment="1">
      <alignment horizontal="center"/>
    </xf>
    <xf numFmtId="0" fontId="83" fillId="0" borderId="39" xfId="0" applyFont="1" applyBorder="1" applyAlignment="1">
      <alignment horizontal="left" vertical="center"/>
    </xf>
    <xf numFmtId="0" fontId="83" fillId="0" borderId="42" xfId="0" applyFont="1" applyBorder="1" applyAlignment="1">
      <alignment horizontal="left" vertical="center"/>
    </xf>
    <xf numFmtId="0" fontId="83" fillId="0" borderId="84" xfId="0" applyFont="1" applyBorder="1" applyAlignment="1">
      <alignment horizontal="left" vertical="center"/>
    </xf>
    <xf numFmtId="0" fontId="83" fillId="0" borderId="85" xfId="0" applyFont="1" applyBorder="1" applyAlignment="1">
      <alignment horizontal="center"/>
    </xf>
    <xf numFmtId="0" fontId="83" fillId="0" borderId="17" xfId="0" applyFont="1" applyBorder="1" applyAlignment="1">
      <alignment horizontal="center"/>
    </xf>
    <xf numFmtId="0" fontId="83" fillId="0" borderId="16" xfId="0" applyFont="1" applyBorder="1" applyAlignment="1">
      <alignment horizontal="center"/>
    </xf>
    <xf numFmtId="0" fontId="83" fillId="0" borderId="86" xfId="0" applyFont="1" applyBorder="1" applyAlignment="1">
      <alignment horizontal="center"/>
    </xf>
    <xf numFmtId="0" fontId="83" fillId="0" borderId="87" xfId="0" applyFont="1" applyBorder="1" applyAlignment="1">
      <alignment horizontal="center"/>
    </xf>
    <xf numFmtId="0" fontId="83" fillId="0" borderId="0" xfId="0" applyFont="1" applyAlignment="1">
      <alignment horizontal="left"/>
    </xf>
    <xf numFmtId="0" fontId="70" fillId="0" borderId="0" xfId="0" applyFont="1" applyAlignment="1">
      <alignment horizontal="left"/>
    </xf>
    <xf numFmtId="0" fontId="81" fillId="33" borderId="16" xfId="0" applyFont="1" applyFill="1" applyBorder="1" applyAlignment="1">
      <alignment horizontal="center"/>
    </xf>
    <xf numFmtId="0" fontId="81" fillId="33" borderId="11" xfId="0" applyFont="1" applyFill="1" applyBorder="1" applyAlignment="1">
      <alignment horizontal="center"/>
    </xf>
    <xf numFmtId="0" fontId="81" fillId="33" borderId="17" xfId="0" applyFont="1" applyFill="1" applyBorder="1" applyAlignment="1">
      <alignment horizontal="center"/>
    </xf>
    <xf numFmtId="0" fontId="77" fillId="0" borderId="22" xfId="0" applyFont="1" applyBorder="1" applyAlignment="1">
      <alignment horizontal="center" vertical="center" textRotation="90" wrapText="1"/>
    </xf>
    <xf numFmtId="0" fontId="77" fillId="0" borderId="35" xfId="0" applyFont="1" applyBorder="1" applyAlignment="1">
      <alignment horizontal="center" vertical="center" textRotation="90" wrapText="1"/>
    </xf>
    <xf numFmtId="0" fontId="77" fillId="0" borderId="22" xfId="0" applyFont="1" applyBorder="1" applyAlignment="1">
      <alignment horizontal="center" vertical="center" textRotation="90"/>
    </xf>
    <xf numFmtId="0" fontId="77" fillId="0" borderId="88" xfId="0" applyFont="1" applyBorder="1" applyAlignment="1">
      <alignment horizontal="center" vertical="center" textRotation="90"/>
    </xf>
    <xf numFmtId="0" fontId="77" fillId="0" borderId="35" xfId="0" applyFont="1" applyBorder="1" applyAlignment="1">
      <alignment horizontal="center" vertical="center" textRotation="90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77" fillId="0" borderId="16" xfId="0" applyFont="1" applyBorder="1" applyAlignment="1">
      <alignment horizontal="center" vertical="center"/>
    </xf>
    <xf numFmtId="0" fontId="77" fillId="0" borderId="17" xfId="0" applyFont="1" applyBorder="1" applyAlignment="1">
      <alignment horizontal="center" vertical="center"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Diseño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Millares 2 2" xfId="51"/>
    <cellStyle name="Millares 3" xfId="52"/>
    <cellStyle name="Millares 3 2" xfId="53"/>
    <cellStyle name="Millares 4" xfId="54"/>
    <cellStyle name="Millares 5" xfId="55"/>
    <cellStyle name="Currency" xfId="56"/>
    <cellStyle name="Currency [0]" xfId="57"/>
    <cellStyle name="Neutral" xfId="58"/>
    <cellStyle name="Normal 2" xfId="59"/>
    <cellStyle name="Normal 2 2" xfId="60"/>
    <cellStyle name="Normal 3" xfId="61"/>
    <cellStyle name="Normal 4" xfId="62"/>
    <cellStyle name="Notas" xfId="63"/>
    <cellStyle name="Percent" xfId="64"/>
    <cellStyle name="Salida" xfId="65"/>
    <cellStyle name="Texto de advertencia" xfId="66"/>
    <cellStyle name="Texto explicativo" xfId="67"/>
    <cellStyle name="Título" xfId="68"/>
    <cellStyle name="Título 2" xfId="69"/>
    <cellStyle name="Título 3" xfId="70"/>
    <cellStyle name="Total" xfId="71"/>
  </cellStyles>
  <tableStyles count="1" defaultTableStyle="TableStyleMedium2" defaultPivotStyle="PivotStyleLight16">
    <tableStyle name="Estilo de tabla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MCS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25"/>
          <c:y val="0.11975"/>
          <c:w val="0.97225"/>
          <c:h val="0.77875"/>
        </c:manualLayout>
      </c:layout>
      <c:lineChart>
        <c:grouping val="standard"/>
        <c:varyColors val="0"/>
        <c:ser>
          <c:idx val="0"/>
          <c:order val="0"/>
          <c:tx>
            <c:strRef>
              <c:f>'3.1.1 Resumen Proyecciones'!$B$7</c:f>
              <c:strCache>
                <c:ptCount val="1"/>
                <c:pt idx="0">
                  <c:v>Impo_CS (TM )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'3.1.1 Resumen Proyecciones'!$O$6:$X$6</c:f>
              <c:numCache/>
            </c:numRef>
          </c:cat>
          <c:val>
            <c:numRef>
              <c:f>'3.1.1 Resumen Proyecciones'!$O$7:$X$7</c:f>
              <c:numCache/>
            </c:numRef>
          </c:val>
          <c:smooth val="0"/>
        </c:ser>
        <c:ser>
          <c:idx val="3"/>
          <c:order val="1"/>
          <c:tx>
            <c:strRef>
              <c:f>'3.1.1 Resumen Proyecciones'!$B$8</c:f>
              <c:strCache>
                <c:ptCount val="1"/>
                <c:pt idx="0">
                  <c:v>Proyección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'3.1.1 Resumen Proyecciones'!$O$6:$X$6</c:f>
              <c:numCache/>
            </c:numRef>
          </c:cat>
          <c:val>
            <c:numRef>
              <c:f>'3.1.1 Resumen Proyecciones'!$O$8:$X$8</c:f>
              <c:numCache/>
            </c:numRef>
          </c:val>
          <c:smooth val="0"/>
        </c:ser>
        <c:marker val="1"/>
        <c:axId val="54426781"/>
        <c:axId val="20078982"/>
      </c:lineChart>
      <c:catAx>
        <c:axId val="5442678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0078982"/>
        <c:crosses val="autoZero"/>
        <c:auto val="1"/>
        <c:lblOffset val="100"/>
        <c:tickLblSkip val="1"/>
        <c:noMultiLvlLbl val="0"/>
      </c:catAx>
      <c:valAx>
        <c:axId val="2007898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442678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0275"/>
          <c:w val="0.977"/>
          <c:h val="0.19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MCf</a:t>
            </a:r>
          </a:p>
        </c:rich>
      </c:tx>
      <c:layout>
        <c:manualLayout>
          <c:xMode val="factor"/>
          <c:yMode val="factor"/>
          <c:x val="-0.004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5"/>
          <c:y val="0.11975"/>
          <c:w val="0.972"/>
          <c:h val="0.77875"/>
        </c:manualLayout>
      </c:layout>
      <c:lineChart>
        <c:grouping val="standard"/>
        <c:varyColors val="0"/>
        <c:ser>
          <c:idx val="0"/>
          <c:order val="0"/>
          <c:tx>
            <c:strRef>
              <c:f>'3.1.1 Resumen Proyecciones'!$B$13</c:f>
              <c:strCache>
                <c:ptCount val="1"/>
                <c:pt idx="0">
                  <c:v>Impo_CF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'3.1.1 Resumen Proyecciones'!$I$6:$X$6</c:f>
              <c:numCache/>
            </c:numRef>
          </c:cat>
          <c:val>
            <c:numRef>
              <c:f>'3.1.1 Resumen Proyecciones'!$I$13:$X$13</c:f>
              <c:numCache/>
            </c:numRef>
          </c:val>
          <c:smooth val="0"/>
        </c:ser>
        <c:marker val="1"/>
        <c:axId val="46493111"/>
        <c:axId val="15784816"/>
      </c:lineChart>
      <c:catAx>
        <c:axId val="4649311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5784816"/>
        <c:crosses val="autoZero"/>
        <c:auto val="1"/>
        <c:lblOffset val="100"/>
        <c:tickLblSkip val="1"/>
        <c:noMultiLvlLbl val="0"/>
      </c:catAx>
      <c:valAx>
        <c:axId val="1578481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649311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45"/>
          <c:y val="0.90325"/>
          <c:w val="0.18875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XCf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25"/>
          <c:y val="0.11975"/>
          <c:w val="0.972"/>
          <c:h val="0.77875"/>
        </c:manualLayout>
      </c:layout>
      <c:lineChart>
        <c:grouping val="standard"/>
        <c:varyColors val="0"/>
        <c:ser>
          <c:idx val="0"/>
          <c:order val="0"/>
          <c:tx>
            <c:strRef>
              <c:f>'3.1.1 Resumen Proyecciones'!$B$15</c:f>
              <c:strCache>
                <c:ptCount val="1"/>
                <c:pt idx="0">
                  <c:v>Expo_CF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'3.1.1 Resumen Proyecciones'!$L$6:$X$6</c:f>
              <c:numCache/>
            </c:numRef>
          </c:cat>
          <c:val>
            <c:numRef>
              <c:f>'3.1.1 Resumen Proyecciones'!$L$15:$X$15</c:f>
              <c:numCache/>
            </c:numRef>
          </c:val>
          <c:smooth val="0"/>
        </c:ser>
        <c:ser>
          <c:idx val="2"/>
          <c:order val="1"/>
          <c:tx>
            <c:strRef>
              <c:f>'3.1.1 Resumen Proyecciones'!$B$16</c:f>
              <c:strCache>
                <c:ptCount val="1"/>
                <c:pt idx="0">
                  <c:v>Proyección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'3.1.1 Resumen Proyecciones'!$L$6:$X$6</c:f>
              <c:numCache/>
            </c:numRef>
          </c:cat>
          <c:val>
            <c:numRef>
              <c:f>'3.1.1 Resumen Proyecciones'!$L$16:$X$16</c:f>
              <c:numCache/>
            </c:numRef>
          </c:val>
          <c:smooth val="0"/>
        </c:ser>
        <c:marker val="1"/>
        <c:axId val="7845617"/>
        <c:axId val="3501690"/>
      </c:lineChart>
      <c:catAx>
        <c:axId val="784561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501690"/>
        <c:crosses val="autoZero"/>
        <c:auto val="1"/>
        <c:lblOffset val="100"/>
        <c:tickLblSkip val="1"/>
        <c:noMultiLvlLbl val="0"/>
      </c:catAx>
      <c:valAx>
        <c:axId val="350169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784561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98"/>
          <c:y val="0.90325"/>
          <c:w val="0.398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XCS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25"/>
          <c:y val="0.11975"/>
          <c:w val="0.97225"/>
          <c:h val="0.77875"/>
        </c:manualLayout>
      </c:layout>
      <c:lineChart>
        <c:grouping val="standard"/>
        <c:varyColors val="0"/>
        <c:ser>
          <c:idx val="0"/>
          <c:order val="0"/>
          <c:tx>
            <c:strRef>
              <c:f>'3.1.1 Resumen Proyecciones'!$B$9</c:f>
              <c:strCache>
                <c:ptCount val="1"/>
                <c:pt idx="0">
                  <c:v>Expo_CS (TM )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'3.1.1 Resumen Proyecciones'!$O$6:$X$6</c:f>
              <c:numCache/>
            </c:numRef>
          </c:cat>
          <c:val>
            <c:numRef>
              <c:f>'3.1.1 Resumen Proyecciones'!$O$9:$X$9</c:f>
              <c:numCache/>
            </c:numRef>
          </c:val>
          <c:smooth val="0"/>
        </c:ser>
        <c:ser>
          <c:idx val="3"/>
          <c:order val="1"/>
          <c:tx>
            <c:strRef>
              <c:f>'3.1.1 Resumen Proyecciones'!$B$10</c:f>
              <c:strCache>
                <c:ptCount val="1"/>
                <c:pt idx="0">
                  <c:v>Proyección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'3.1.1 Resumen Proyecciones'!$O$6:$X$6</c:f>
              <c:numCache/>
            </c:numRef>
          </c:cat>
          <c:val>
            <c:numRef>
              <c:f>'3.1.1 Resumen Proyecciones'!$O$10:$X$10</c:f>
              <c:numCache/>
            </c:numRef>
          </c:val>
          <c:smooth val="0"/>
        </c:ser>
        <c:marker val="1"/>
        <c:axId val="31515211"/>
        <c:axId val="15201444"/>
      </c:lineChart>
      <c:catAx>
        <c:axId val="3151521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5201444"/>
        <c:crosses val="autoZero"/>
        <c:auto val="1"/>
        <c:lblOffset val="100"/>
        <c:tickLblSkip val="1"/>
        <c:noMultiLvlLbl val="0"/>
      </c:catAx>
      <c:valAx>
        <c:axId val="1520144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151521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3"/>
          <c:y val="0.90325"/>
          <c:w val="0.46975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Total CTLL20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25"/>
          <c:y val="0.11975"/>
          <c:w val="0.972"/>
          <c:h val="0.77875"/>
        </c:manualLayout>
      </c:layout>
      <c:lineChart>
        <c:grouping val="standard"/>
        <c:varyColors val="0"/>
        <c:ser>
          <c:idx val="0"/>
          <c:order val="0"/>
          <c:tx>
            <c:strRef>
              <c:f>'3.1.1 Resumen Proyecciones'!$B$17</c:f>
              <c:strCache>
                <c:ptCount val="1"/>
                <c:pt idx="0">
                  <c:v>Total_Ctr_LL_20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'3.1.1 Resumen Proyecciones'!$N$6:$X$6</c:f>
              <c:numCache/>
            </c:numRef>
          </c:cat>
          <c:val>
            <c:numRef>
              <c:f>'3.1.1 Resumen Proyecciones'!$N$17:$X$17</c:f>
              <c:numCache/>
            </c:numRef>
          </c:val>
          <c:smooth val="0"/>
        </c:ser>
        <c:ser>
          <c:idx val="3"/>
          <c:order val="1"/>
          <c:tx>
            <c:strRef>
              <c:f>'3.1.1 Resumen Proyecciones'!$B$18</c:f>
              <c:strCache>
                <c:ptCount val="1"/>
                <c:pt idx="0">
                  <c:v>Proyección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'3.1.1 Resumen Proyecciones'!$N$6:$X$6</c:f>
              <c:numCache/>
            </c:numRef>
          </c:cat>
          <c:val>
            <c:numRef>
              <c:f>'3.1.1 Resumen Proyecciones'!$N$18:$X$18</c:f>
              <c:numCache/>
            </c:numRef>
          </c:val>
          <c:smooth val="0"/>
        </c:ser>
        <c:marker val="1"/>
        <c:axId val="2595269"/>
        <c:axId val="23357422"/>
      </c:lineChart>
      <c:catAx>
        <c:axId val="25952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3357422"/>
        <c:crosses val="autoZero"/>
        <c:auto val="1"/>
        <c:lblOffset val="100"/>
        <c:tickLblSkip val="1"/>
        <c:noMultiLvlLbl val="0"/>
      </c:catAx>
      <c:valAx>
        <c:axId val="2335742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59526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52"/>
          <c:y val="0.90325"/>
          <c:w val="0.49175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Total CTLL40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5"/>
          <c:y val="0.11975"/>
          <c:w val="0.97175"/>
          <c:h val="0.77875"/>
        </c:manualLayout>
      </c:layout>
      <c:lineChart>
        <c:grouping val="standard"/>
        <c:varyColors val="0"/>
        <c:ser>
          <c:idx val="0"/>
          <c:order val="0"/>
          <c:tx>
            <c:strRef>
              <c:f>'3.1.1 Resumen Proyecciones'!$B$19</c:f>
              <c:strCache>
                <c:ptCount val="1"/>
                <c:pt idx="0">
                  <c:v>Total_Ctr_LL_40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'3.1.1 Resumen Proyecciones'!$N$6:$X$6</c:f>
              <c:numCache/>
            </c:numRef>
          </c:cat>
          <c:val>
            <c:numRef>
              <c:f>'3.1.1 Resumen Proyecciones'!$N$19:$X$19</c:f>
              <c:numCache/>
            </c:numRef>
          </c:val>
          <c:smooth val="0"/>
        </c:ser>
        <c:ser>
          <c:idx val="3"/>
          <c:order val="1"/>
          <c:tx>
            <c:strRef>
              <c:f>'3.1.1 Resumen Proyecciones'!$B$20</c:f>
              <c:strCache>
                <c:ptCount val="1"/>
                <c:pt idx="0">
                  <c:v>Proyección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'3.1.1 Resumen Proyecciones'!$N$6:$X$6</c:f>
              <c:numCache/>
            </c:numRef>
          </c:cat>
          <c:val>
            <c:numRef>
              <c:f>'3.1.1 Resumen Proyecciones'!$N$20:$X$20</c:f>
              <c:numCache/>
            </c:numRef>
          </c:val>
          <c:smooth val="0"/>
        </c:ser>
        <c:marker val="1"/>
        <c:axId val="8890207"/>
        <c:axId val="12903000"/>
      </c:lineChart>
      <c:catAx>
        <c:axId val="889020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2903000"/>
        <c:crosses val="autoZero"/>
        <c:auto val="1"/>
        <c:lblOffset val="100"/>
        <c:tickLblSkip val="1"/>
        <c:noMultiLvlLbl val="0"/>
      </c:catAx>
      <c:valAx>
        <c:axId val="1290300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889020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95"/>
          <c:y val="0.90325"/>
          <c:w val="0.49475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Total CTV20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25"/>
          <c:y val="0.11975"/>
          <c:w val="0.97225"/>
          <c:h val="0.775"/>
        </c:manualLayout>
      </c:layout>
      <c:lineChart>
        <c:grouping val="standard"/>
        <c:varyColors val="0"/>
        <c:ser>
          <c:idx val="0"/>
          <c:order val="0"/>
          <c:tx>
            <c:strRef>
              <c:f>'3.1.1 Resumen Proyecciones'!$B$21</c:f>
              <c:strCache>
                <c:ptCount val="1"/>
                <c:pt idx="0">
                  <c:v>Total_Ctr_Vac_20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'3.1.1 Resumen Proyecciones'!$E$6:$X$6</c:f>
              <c:numCache/>
            </c:numRef>
          </c:cat>
          <c:val>
            <c:numRef>
              <c:f>'3.1.1 Resumen Proyecciones'!$E$21:$X$21</c:f>
              <c:numCache/>
            </c:numRef>
          </c:val>
          <c:smooth val="0"/>
        </c:ser>
        <c:ser>
          <c:idx val="3"/>
          <c:order val="1"/>
          <c:tx>
            <c:strRef>
              <c:f>'3.1.1 Resumen Proyecciones'!$B$22</c:f>
              <c:strCache>
                <c:ptCount val="1"/>
                <c:pt idx="0">
                  <c:v>Proyección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'3.1.1 Resumen Proyecciones'!$E$6:$X$6</c:f>
              <c:numCache/>
            </c:numRef>
          </c:cat>
          <c:val>
            <c:numRef>
              <c:f>'3.1.1 Resumen Proyecciones'!$E$22:$X$22</c:f>
              <c:numCache/>
            </c:numRef>
          </c:val>
          <c:smooth val="0"/>
        </c:ser>
        <c:marker val="1"/>
        <c:axId val="49018137"/>
        <c:axId val="38510050"/>
      </c:lineChart>
      <c:catAx>
        <c:axId val="4901813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8510050"/>
        <c:crosses val="autoZero"/>
        <c:auto val="1"/>
        <c:lblOffset val="100"/>
        <c:tickLblSkip val="1"/>
        <c:noMultiLvlLbl val="0"/>
      </c:catAx>
      <c:valAx>
        <c:axId val="3851005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901813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225"/>
          <c:y val="0.90325"/>
          <c:w val="0.5115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Total CTV40</a:t>
            </a:r>
          </a:p>
        </c:rich>
      </c:tx>
      <c:layout>
        <c:manualLayout>
          <c:xMode val="factor"/>
          <c:yMode val="factor"/>
          <c:x val="-0.004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25"/>
          <c:y val="0.11975"/>
          <c:w val="0.97225"/>
          <c:h val="0.775"/>
        </c:manualLayout>
      </c:layout>
      <c:lineChart>
        <c:grouping val="standard"/>
        <c:varyColors val="0"/>
        <c:ser>
          <c:idx val="0"/>
          <c:order val="0"/>
          <c:tx>
            <c:strRef>
              <c:f>'3.1.1 Resumen Proyecciones'!$B$23</c:f>
              <c:strCache>
                <c:ptCount val="1"/>
                <c:pt idx="0">
                  <c:v>Total_Ctr_Vac_40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'3.1.1 Resumen Proyecciones'!$E$6:$X$6</c:f>
              <c:numCache/>
            </c:numRef>
          </c:cat>
          <c:val>
            <c:numRef>
              <c:f>'3.1.1 Resumen Proyecciones'!$E$23:$X$23</c:f>
              <c:numCache/>
            </c:numRef>
          </c:val>
          <c:smooth val="0"/>
        </c:ser>
        <c:ser>
          <c:idx val="3"/>
          <c:order val="1"/>
          <c:tx>
            <c:strRef>
              <c:f>'3.1.1 Resumen Proyecciones'!$B$24</c:f>
              <c:strCache>
                <c:ptCount val="1"/>
                <c:pt idx="0">
                  <c:v>Proyección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'3.1.1 Resumen Proyecciones'!$E$6:$X$6</c:f>
              <c:numCache/>
            </c:numRef>
          </c:cat>
          <c:val>
            <c:numRef>
              <c:f>'3.1.1 Resumen Proyecciones'!$E$24:$X$24</c:f>
              <c:numCache/>
            </c:numRef>
          </c:val>
          <c:smooth val="0"/>
        </c:ser>
        <c:marker val="1"/>
        <c:axId val="11046131"/>
        <c:axId val="32306316"/>
      </c:lineChart>
      <c:catAx>
        <c:axId val="1104613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2306316"/>
        <c:crosses val="autoZero"/>
        <c:auto val="1"/>
        <c:lblOffset val="100"/>
        <c:tickLblSkip val="1"/>
        <c:noMultiLvlLbl val="0"/>
      </c:catAx>
      <c:valAx>
        <c:axId val="3230631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104613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05"/>
          <c:y val="0.90325"/>
          <c:w val="0.5125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914400</xdr:colOff>
      <xdr:row>2</xdr:row>
      <xdr:rowOff>19050</xdr:rowOff>
    </xdr:from>
    <xdr:to>
      <xdr:col>7</xdr:col>
      <xdr:colOff>561975</xdr:colOff>
      <xdr:row>6</xdr:row>
      <xdr:rowOff>38100</xdr:rowOff>
    </xdr:to>
    <xdr:grpSp>
      <xdr:nvGrpSpPr>
        <xdr:cNvPr id="1" name="Grupo 5"/>
        <xdr:cNvGrpSpPr>
          <a:grpSpLocks/>
        </xdr:cNvGrpSpPr>
      </xdr:nvGrpSpPr>
      <xdr:grpSpPr>
        <a:xfrm>
          <a:off x="1762125" y="409575"/>
          <a:ext cx="9201150" cy="781050"/>
          <a:chOff x="1118347" y="412937"/>
          <a:chExt cx="7667065" cy="747993"/>
        </a:xfrm>
        <a:solidFill>
          <a:srgbClr val="FFFFFF"/>
        </a:solidFill>
      </xdr:grpSpPr>
      <xdr:sp>
        <xdr:nvSpPr>
          <xdr:cNvPr id="2" name="Rectángulo redondeado 6"/>
          <xdr:cNvSpPr>
            <a:spLocks/>
          </xdr:cNvSpPr>
        </xdr:nvSpPr>
        <xdr:spPr>
          <a:xfrm>
            <a:off x="1118347" y="412937"/>
            <a:ext cx="7667065" cy="747993"/>
          </a:xfrm>
          <a:prstGeom prst="roundRect">
            <a:avLst/>
          </a:prstGeom>
          <a:solidFill>
            <a:srgbClr val="385723"/>
          </a:solidFill>
          <a:ln w="12700" cmpd="sng">
            <a:solidFill>
              <a:srgbClr val="385723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>
                <a:solidFill>
                  <a:srgbClr val="FFFFFF"/>
                </a:solidFill>
              </a:rPr>
              <a:t>TERMINAL</a:t>
            </a:r>
            <a:r>
              <a:rPr lang="en-US" cap="none" sz="1400" b="0" i="0" u="none" baseline="0">
                <a:solidFill>
                  <a:srgbClr val="FFFFFF"/>
                </a:solidFill>
              </a:rPr>
              <a:t> PORTUARIO DE ILO: MODELO ECONÓMICO FINANCIERO</a:t>
            </a:r>
          </a:p>
        </xdr:txBody>
      </xdr:sp>
      <xdr:pic>
        <xdr:nvPicPr>
          <xdr:cNvPr id="3" name="Imagen 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085792" y="446597"/>
            <a:ext cx="619115" cy="695259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171450</xdr:colOff>
      <xdr:row>27</xdr:row>
      <xdr:rowOff>180975</xdr:rowOff>
    </xdr:from>
    <xdr:to>
      <xdr:col>22</xdr:col>
      <xdr:colOff>9525</xdr:colOff>
      <xdr:row>42</xdr:row>
      <xdr:rowOff>66675</xdr:rowOff>
    </xdr:to>
    <xdr:graphicFrame>
      <xdr:nvGraphicFramePr>
        <xdr:cNvPr id="1" name="Gráfico 2"/>
        <xdr:cNvGraphicFramePr/>
      </xdr:nvGraphicFramePr>
      <xdr:xfrm>
        <a:off x="13163550" y="5419725"/>
        <a:ext cx="46386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314325</xdr:colOff>
      <xdr:row>42</xdr:row>
      <xdr:rowOff>114300</xdr:rowOff>
    </xdr:from>
    <xdr:to>
      <xdr:col>21</xdr:col>
      <xdr:colOff>257175</xdr:colOff>
      <xdr:row>57</xdr:row>
      <xdr:rowOff>0</xdr:rowOff>
    </xdr:to>
    <xdr:graphicFrame>
      <xdr:nvGraphicFramePr>
        <xdr:cNvPr id="2" name="Gráfico 5"/>
        <xdr:cNvGraphicFramePr/>
      </xdr:nvGraphicFramePr>
      <xdr:xfrm>
        <a:off x="12544425" y="8210550"/>
        <a:ext cx="46672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85725</xdr:colOff>
      <xdr:row>42</xdr:row>
      <xdr:rowOff>152400</xdr:rowOff>
    </xdr:from>
    <xdr:to>
      <xdr:col>15</xdr:col>
      <xdr:colOff>171450</xdr:colOff>
      <xdr:row>57</xdr:row>
      <xdr:rowOff>38100</xdr:rowOff>
    </xdr:to>
    <xdr:graphicFrame>
      <xdr:nvGraphicFramePr>
        <xdr:cNvPr id="3" name="Gráfico 6"/>
        <xdr:cNvGraphicFramePr/>
      </xdr:nvGraphicFramePr>
      <xdr:xfrm>
        <a:off x="7743825" y="8248650"/>
        <a:ext cx="4657725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28575</xdr:colOff>
      <xdr:row>27</xdr:row>
      <xdr:rowOff>76200</xdr:rowOff>
    </xdr:from>
    <xdr:to>
      <xdr:col>15</xdr:col>
      <xdr:colOff>114300</xdr:colOff>
      <xdr:row>41</xdr:row>
      <xdr:rowOff>152400</xdr:rowOff>
    </xdr:to>
    <xdr:graphicFrame>
      <xdr:nvGraphicFramePr>
        <xdr:cNvPr id="4" name="Gráfico 7"/>
        <xdr:cNvGraphicFramePr/>
      </xdr:nvGraphicFramePr>
      <xdr:xfrm>
        <a:off x="7686675" y="5314950"/>
        <a:ext cx="4657725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19050</xdr:colOff>
      <xdr:row>59</xdr:row>
      <xdr:rowOff>66675</xdr:rowOff>
    </xdr:from>
    <xdr:to>
      <xdr:col>15</xdr:col>
      <xdr:colOff>95250</xdr:colOff>
      <xdr:row>73</xdr:row>
      <xdr:rowOff>142875</xdr:rowOff>
    </xdr:to>
    <xdr:graphicFrame>
      <xdr:nvGraphicFramePr>
        <xdr:cNvPr id="5" name="Gráfico 8"/>
        <xdr:cNvGraphicFramePr/>
      </xdr:nvGraphicFramePr>
      <xdr:xfrm>
        <a:off x="7677150" y="11401425"/>
        <a:ext cx="4648200" cy="2743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15</xdr:col>
      <xdr:colOff>352425</xdr:colOff>
      <xdr:row>59</xdr:row>
      <xdr:rowOff>28575</xdr:rowOff>
    </xdr:from>
    <xdr:to>
      <xdr:col>21</xdr:col>
      <xdr:colOff>257175</xdr:colOff>
      <xdr:row>73</xdr:row>
      <xdr:rowOff>104775</xdr:rowOff>
    </xdr:to>
    <xdr:graphicFrame>
      <xdr:nvGraphicFramePr>
        <xdr:cNvPr id="6" name="Gráfico 9"/>
        <xdr:cNvGraphicFramePr/>
      </xdr:nvGraphicFramePr>
      <xdr:xfrm>
        <a:off x="12582525" y="11363325"/>
        <a:ext cx="4629150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9</xdr:col>
      <xdr:colOff>76200</xdr:colOff>
      <xdr:row>76</xdr:row>
      <xdr:rowOff>9525</xdr:rowOff>
    </xdr:from>
    <xdr:to>
      <xdr:col>15</xdr:col>
      <xdr:colOff>161925</xdr:colOff>
      <xdr:row>90</xdr:row>
      <xdr:rowOff>85725</xdr:rowOff>
    </xdr:to>
    <xdr:graphicFrame>
      <xdr:nvGraphicFramePr>
        <xdr:cNvPr id="7" name="Gráfico 10"/>
        <xdr:cNvGraphicFramePr/>
      </xdr:nvGraphicFramePr>
      <xdr:xfrm>
        <a:off x="7734300" y="14582775"/>
        <a:ext cx="4657725" cy="2743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15</xdr:col>
      <xdr:colOff>419100</xdr:colOff>
      <xdr:row>75</xdr:row>
      <xdr:rowOff>161925</xdr:rowOff>
    </xdr:from>
    <xdr:to>
      <xdr:col>21</xdr:col>
      <xdr:colOff>323850</xdr:colOff>
      <xdr:row>90</xdr:row>
      <xdr:rowOff>47625</xdr:rowOff>
    </xdr:to>
    <xdr:graphicFrame>
      <xdr:nvGraphicFramePr>
        <xdr:cNvPr id="8" name="Gráfico 11"/>
        <xdr:cNvGraphicFramePr/>
      </xdr:nvGraphicFramePr>
      <xdr:xfrm>
        <a:off x="12649200" y="14544675"/>
        <a:ext cx="4629150" cy="2743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80</xdr:row>
      <xdr:rowOff>133350</xdr:rowOff>
    </xdr:from>
    <xdr:to>
      <xdr:col>2</xdr:col>
      <xdr:colOff>990600</xdr:colOff>
      <xdr:row>82</xdr:row>
      <xdr:rowOff>9525</xdr:rowOff>
    </xdr:to>
    <xdr:sp>
      <xdr:nvSpPr>
        <xdr:cNvPr id="1" name="Rectángulo 1"/>
        <xdr:cNvSpPr>
          <a:spLocks/>
        </xdr:cNvSpPr>
      </xdr:nvSpPr>
      <xdr:spPr>
        <a:xfrm>
          <a:off x="266700" y="16716375"/>
          <a:ext cx="3200400" cy="2571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No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se tiene previsto invertir en el periodo 2015-2019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jruidia\AppData\Local\Microsoft\Windows\Temporary%20Internet%20Files\Content.Outlook\XCWHLMJA\Servicio%20de%20rampa%20-%20Modelo%20propuesto%20V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0. Flujo de Caja"/>
      <sheetName val="0.1 Cargos"/>
      <sheetName val="1. Ingresos"/>
      <sheetName val="1.1 Demanda"/>
      <sheetName val="Operaciones Rampa"/>
      <sheetName val="Operaciones AIJCh"/>
      <sheetName val="2. OPEX"/>
      <sheetName val="3. CAPEX"/>
      <sheetName val="3.1 Inversiones"/>
      <sheetName val="4.1 WACC"/>
      <sheetName val="4.2 Rendimientos"/>
      <sheetName val="4.3 Betas"/>
      <sheetName val="4.5 Estructura capital"/>
      <sheetName val="Servicio de rampa - Modelo prop"/>
    </sheetNames>
    <sheetDataSet>
      <sheetData sheetId="0">
        <row r="7">
          <cell r="C7">
            <v>0.01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>
    <tabColor theme="9" tint="-0.4999699890613556"/>
  </sheetPr>
  <dimension ref="C1:M56"/>
  <sheetViews>
    <sheetView showGridLines="0" tabSelected="1" zoomScale="70" zoomScaleNormal="70" zoomScalePageLayoutView="0" workbookViewId="0" topLeftCell="A1">
      <selection activeCell="M35" sqref="M35"/>
    </sheetView>
  </sheetViews>
  <sheetFormatPr defaultColWidth="11.421875" defaultRowHeight="15"/>
  <cols>
    <col min="1" max="1" width="2.8515625" style="30" customWidth="1"/>
    <col min="2" max="2" width="9.8515625" style="30" customWidth="1"/>
    <col min="3" max="3" width="14.140625" style="30" customWidth="1"/>
    <col min="4" max="4" width="53.57421875" style="30" bestFit="1" customWidth="1"/>
    <col min="5" max="5" width="23.7109375" style="30" customWidth="1"/>
    <col min="6" max="6" width="30.421875" style="30" customWidth="1"/>
    <col min="7" max="7" width="21.421875" style="30" bestFit="1" customWidth="1"/>
    <col min="8" max="8" width="18.7109375" style="30" bestFit="1" customWidth="1"/>
    <col min="9" max="9" width="20.00390625" style="30" bestFit="1" customWidth="1"/>
    <col min="10" max="10" width="18.00390625" style="30" bestFit="1" customWidth="1"/>
    <col min="11" max="11" width="20.00390625" style="30" bestFit="1" customWidth="1"/>
    <col min="12" max="12" width="6.8515625" style="30" bestFit="1" customWidth="1"/>
    <col min="13" max="16384" width="11.421875" style="30" customWidth="1"/>
  </cols>
  <sheetData>
    <row r="1" spans="4:8" ht="15.75" thickBot="1">
      <c r="D1" s="37"/>
      <c r="E1" s="37"/>
      <c r="F1" s="37"/>
      <c r="G1" s="37"/>
      <c r="H1" s="37"/>
    </row>
    <row r="2" spans="3:8" ht="15">
      <c r="C2" s="375"/>
      <c r="D2" s="376"/>
      <c r="E2" s="377"/>
      <c r="F2" s="377"/>
      <c r="G2" s="377"/>
      <c r="H2" s="378"/>
    </row>
    <row r="3" spans="3:8" ht="15">
      <c r="C3" s="379"/>
      <c r="D3" s="37"/>
      <c r="E3" s="37"/>
      <c r="F3" s="37"/>
      <c r="G3" s="37"/>
      <c r="H3" s="380"/>
    </row>
    <row r="4" spans="3:8" ht="15">
      <c r="C4" s="379"/>
      <c r="D4" s="37"/>
      <c r="E4" s="37"/>
      <c r="F4" s="37"/>
      <c r="G4" s="37"/>
      <c r="H4" s="380"/>
    </row>
    <row r="5" spans="3:8" ht="15">
      <c r="C5" s="379"/>
      <c r="D5" s="37"/>
      <c r="E5" s="37"/>
      <c r="F5" s="37"/>
      <c r="G5" s="37"/>
      <c r="H5" s="380"/>
    </row>
    <row r="6" spans="3:8" ht="15">
      <c r="C6" s="379"/>
      <c r="D6" s="37"/>
      <c r="E6" s="37"/>
      <c r="F6" s="37"/>
      <c r="G6" s="37"/>
      <c r="H6" s="380"/>
    </row>
    <row r="7" spans="3:8" ht="15">
      <c r="C7" s="379"/>
      <c r="D7" s="37"/>
      <c r="E7" s="37"/>
      <c r="F7" s="37"/>
      <c r="G7" s="37"/>
      <c r="H7" s="380"/>
    </row>
    <row r="8" spans="3:8" ht="15">
      <c r="C8" s="379"/>
      <c r="D8" s="65"/>
      <c r="E8" s="37"/>
      <c r="F8" s="37"/>
      <c r="G8" s="37"/>
      <c r="H8" s="380"/>
    </row>
    <row r="9" spans="3:8" ht="15">
      <c r="C9" s="379"/>
      <c r="D9" s="484" t="s">
        <v>234</v>
      </c>
      <c r="E9" s="485"/>
      <c r="F9" s="37"/>
      <c r="G9" s="37"/>
      <c r="H9" s="380"/>
    </row>
    <row r="10" spans="3:8" ht="15">
      <c r="C10" s="379"/>
      <c r="D10" s="486"/>
      <c r="E10" s="487"/>
      <c r="F10" s="37"/>
      <c r="G10" s="37"/>
      <c r="H10" s="380"/>
    </row>
    <row r="11" spans="3:8" ht="15">
      <c r="C11" s="379"/>
      <c r="D11" s="349" t="s">
        <v>2</v>
      </c>
      <c r="E11" s="357">
        <v>0.01</v>
      </c>
      <c r="F11" s="37"/>
      <c r="G11" s="37"/>
      <c r="H11" s="380"/>
    </row>
    <row r="12" spans="3:8" ht="15">
      <c r="C12" s="379"/>
      <c r="D12" s="349" t="s">
        <v>272</v>
      </c>
      <c r="E12" s="358">
        <v>2.96</v>
      </c>
      <c r="F12" s="37"/>
      <c r="G12" s="37"/>
      <c r="H12" s="380"/>
    </row>
    <row r="13" spans="3:8" ht="15">
      <c r="C13" s="379"/>
      <c r="D13" s="349" t="s">
        <v>133</v>
      </c>
      <c r="E13" s="359">
        <v>0.1789</v>
      </c>
      <c r="F13" s="37"/>
      <c r="G13" s="37"/>
      <c r="H13" s="380"/>
    </row>
    <row r="14" spans="3:8" ht="15">
      <c r="C14" s="379"/>
      <c r="D14" s="349" t="s">
        <v>145</v>
      </c>
      <c r="E14" s="386">
        <v>0.28</v>
      </c>
      <c r="F14" s="37"/>
      <c r="G14" s="37"/>
      <c r="H14" s="380"/>
    </row>
    <row r="15" spans="3:8" ht="15">
      <c r="C15" s="379"/>
      <c r="D15" s="349" t="s">
        <v>146</v>
      </c>
      <c r="E15" s="386">
        <v>0.27</v>
      </c>
      <c r="F15" s="37"/>
      <c r="G15" s="37"/>
      <c r="H15" s="380"/>
    </row>
    <row r="16" spans="3:8" ht="15">
      <c r="C16" s="379"/>
      <c r="D16" s="349" t="s">
        <v>147</v>
      </c>
      <c r="E16" s="350">
        <v>0.26</v>
      </c>
      <c r="F16" s="37"/>
      <c r="G16" s="37"/>
      <c r="H16" s="380"/>
    </row>
    <row r="17" spans="3:8" ht="15">
      <c r="C17" s="379"/>
      <c r="D17" s="349" t="s">
        <v>235</v>
      </c>
      <c r="E17" s="360"/>
      <c r="F17" s="37"/>
      <c r="G17" s="37"/>
      <c r="H17" s="380"/>
    </row>
    <row r="18" spans="3:8" ht="15">
      <c r="C18" s="379"/>
      <c r="D18" s="351">
        <v>2015</v>
      </c>
      <c r="E18" s="352">
        <v>0.027</v>
      </c>
      <c r="F18" s="37"/>
      <c r="G18" s="37"/>
      <c r="H18" s="380"/>
    </row>
    <row r="19" spans="3:8" ht="15">
      <c r="C19" s="379"/>
      <c r="D19" s="351">
        <v>2016</v>
      </c>
      <c r="E19" s="352">
        <v>0.025</v>
      </c>
      <c r="F19" s="37"/>
      <c r="G19" s="37"/>
      <c r="H19" s="380"/>
    </row>
    <row r="20" spans="3:8" ht="15">
      <c r="C20" s="379"/>
      <c r="D20" s="351">
        <v>2017</v>
      </c>
      <c r="E20" s="352">
        <v>0.025</v>
      </c>
      <c r="F20" s="37"/>
      <c r="G20" s="37"/>
      <c r="H20" s="380"/>
    </row>
    <row r="21" spans="3:8" ht="15">
      <c r="C21" s="379"/>
      <c r="D21" s="351">
        <v>2018</v>
      </c>
      <c r="E21" s="352">
        <v>0.02</v>
      </c>
      <c r="F21" s="37"/>
      <c r="G21" s="37"/>
      <c r="H21" s="380"/>
    </row>
    <row r="22" spans="3:8" ht="15">
      <c r="C22" s="379"/>
      <c r="D22" s="353">
        <v>2019</v>
      </c>
      <c r="E22" s="354">
        <v>0.02</v>
      </c>
      <c r="F22" s="37"/>
      <c r="G22" s="37"/>
      <c r="H22" s="380"/>
    </row>
    <row r="23" spans="3:8" ht="15">
      <c r="C23" s="379"/>
      <c r="D23" s="37"/>
      <c r="E23" s="37"/>
      <c r="F23" s="37"/>
      <c r="G23" s="37"/>
      <c r="H23" s="380"/>
    </row>
    <row r="24" spans="3:8" ht="15">
      <c r="C24" s="379"/>
      <c r="D24" s="37"/>
      <c r="E24" s="37"/>
      <c r="F24" s="37"/>
      <c r="G24" s="37"/>
      <c r="H24" s="380"/>
    </row>
    <row r="25" spans="3:8" ht="15">
      <c r="C25" s="379"/>
      <c r="D25" s="488" t="s">
        <v>236</v>
      </c>
      <c r="E25" s="489"/>
      <c r="F25" s="490"/>
      <c r="G25" s="37"/>
      <c r="H25" s="380"/>
    </row>
    <row r="26" spans="3:8" ht="15">
      <c r="C26" s="379"/>
      <c r="D26" s="491"/>
      <c r="E26" s="492"/>
      <c r="F26" s="493"/>
      <c r="G26" s="37"/>
      <c r="H26" s="380"/>
    </row>
    <row r="27" spans="3:9" ht="15">
      <c r="C27" s="379"/>
      <c r="D27" s="385" t="s">
        <v>87</v>
      </c>
      <c r="E27" s="385" t="s">
        <v>119</v>
      </c>
      <c r="F27" s="385" t="s">
        <v>81</v>
      </c>
      <c r="G27" s="257"/>
      <c r="H27" s="322"/>
      <c r="I27" s="257"/>
    </row>
    <row r="28" spans="3:9" ht="17.25" customHeight="1">
      <c r="C28" s="379"/>
      <c r="D28" s="364" t="s">
        <v>237</v>
      </c>
      <c r="E28" s="355"/>
      <c r="F28" s="365"/>
      <c r="G28" s="257"/>
      <c r="H28" s="322"/>
      <c r="I28" s="257"/>
    </row>
    <row r="29" spans="3:9" ht="17.25" customHeight="1">
      <c r="C29" s="379"/>
      <c r="D29" s="356" t="s">
        <v>240</v>
      </c>
      <c r="E29" s="363" t="s">
        <v>245</v>
      </c>
      <c r="F29" s="366">
        <f>+'3.3 Tarifas'!D19</f>
        <v>2.1454775913642075</v>
      </c>
      <c r="G29" s="257"/>
      <c r="H29" s="322"/>
      <c r="I29" s="257"/>
    </row>
    <row r="30" spans="3:9" ht="17.25" customHeight="1">
      <c r="C30" s="379"/>
      <c r="D30" s="356" t="s">
        <v>241</v>
      </c>
      <c r="E30" s="363" t="s">
        <v>141</v>
      </c>
      <c r="F30" s="366">
        <f>+'3.3 Tarifas'!D18</f>
        <v>612.9935975326307</v>
      </c>
      <c r="G30" s="257"/>
      <c r="H30" s="322"/>
      <c r="I30" s="257"/>
    </row>
    <row r="31" spans="3:13" ht="17.25" customHeight="1">
      <c r="C31" s="379"/>
      <c r="D31" s="355" t="s">
        <v>238</v>
      </c>
      <c r="E31" s="367"/>
      <c r="F31" s="368"/>
      <c r="G31" s="361"/>
      <c r="H31" s="381"/>
      <c r="I31" s="361"/>
      <c r="J31" s="361"/>
      <c r="K31" s="361"/>
      <c r="L31" s="361"/>
      <c r="M31" s="361"/>
    </row>
    <row r="32" spans="3:13" ht="17.25" customHeight="1">
      <c r="C32" s="379"/>
      <c r="D32" s="369" t="s">
        <v>239</v>
      </c>
      <c r="E32" s="370"/>
      <c r="F32" s="371">
        <f>+'3.3 Tarifas'!D8</f>
        <v>6.129935975326307</v>
      </c>
      <c r="G32" s="361"/>
      <c r="H32" s="381"/>
      <c r="I32" s="361"/>
      <c r="J32" s="361"/>
      <c r="K32" s="361"/>
      <c r="L32" s="361"/>
      <c r="M32" s="361"/>
    </row>
    <row r="33" spans="3:13" ht="17.25" customHeight="1">
      <c r="C33" s="379"/>
      <c r="D33" s="373" t="s">
        <v>79</v>
      </c>
      <c r="E33" s="362" t="s">
        <v>242</v>
      </c>
      <c r="F33" s="371">
        <f>+'3.3 Tarifas'!D9</f>
        <v>3.0649679876631537</v>
      </c>
      <c r="G33" s="361"/>
      <c r="H33" s="381"/>
      <c r="I33" s="361"/>
      <c r="J33" s="361"/>
      <c r="K33" s="361"/>
      <c r="L33" s="361"/>
      <c r="M33" s="361"/>
    </row>
    <row r="34" spans="3:13" ht="17.25" customHeight="1">
      <c r="C34" s="379"/>
      <c r="D34" s="374" t="s">
        <v>16</v>
      </c>
      <c r="E34" s="362" t="s">
        <v>242</v>
      </c>
      <c r="F34" s="371">
        <f>+'3.3 Tarifas'!D10</f>
        <v>12.259871950652615</v>
      </c>
      <c r="G34" s="361"/>
      <c r="H34" s="381"/>
      <c r="I34" s="361"/>
      <c r="J34" s="361"/>
      <c r="K34" s="361"/>
      <c r="L34" s="361"/>
      <c r="M34" s="361"/>
    </row>
    <row r="35" spans="3:13" ht="17.25" customHeight="1">
      <c r="C35" s="379"/>
      <c r="D35" s="374" t="s">
        <v>15</v>
      </c>
      <c r="E35" s="362" t="s">
        <v>242</v>
      </c>
      <c r="F35" s="371">
        <f>+'3.3 Tarifas'!D11</f>
        <v>76.62419969157884</v>
      </c>
      <c r="G35" s="361"/>
      <c r="H35" s="381"/>
      <c r="I35" s="361"/>
      <c r="J35" s="361"/>
      <c r="K35" s="361"/>
      <c r="L35" s="361"/>
      <c r="M35" s="361"/>
    </row>
    <row r="36" spans="3:13" ht="17.25" customHeight="1">
      <c r="C36" s="379"/>
      <c r="D36" s="374" t="s">
        <v>17</v>
      </c>
      <c r="E36" s="362" t="s">
        <v>242</v>
      </c>
      <c r="F36" s="371">
        <f>+'3.3 Tarifas'!D12</f>
        <v>183.89807925978923</v>
      </c>
      <c r="G36" s="361"/>
      <c r="H36" s="381"/>
      <c r="I36" s="361"/>
      <c r="J36" s="361"/>
      <c r="K36" s="361"/>
      <c r="L36" s="361"/>
      <c r="M36" s="361"/>
    </row>
    <row r="37" spans="3:13" ht="17.25" customHeight="1">
      <c r="C37" s="379"/>
      <c r="D37" s="374" t="s">
        <v>18</v>
      </c>
      <c r="E37" s="363" t="s">
        <v>243</v>
      </c>
      <c r="F37" s="371">
        <f>+'3.3 Tarifas'!D13</f>
        <v>275.8471188896838</v>
      </c>
      <c r="G37" s="361"/>
      <c r="H37" s="381"/>
      <c r="I37" s="361"/>
      <c r="J37" s="361"/>
      <c r="K37" s="361"/>
      <c r="L37" s="361"/>
      <c r="M37" s="361"/>
    </row>
    <row r="38" spans="3:13" ht="17.25" customHeight="1">
      <c r="C38" s="379"/>
      <c r="D38" s="374" t="s">
        <v>19</v>
      </c>
      <c r="E38" s="363" t="s">
        <v>243</v>
      </c>
      <c r="F38" s="371">
        <f>+'3.3 Tarifas'!D14</f>
        <v>45.97451981494731</v>
      </c>
      <c r="G38" s="361"/>
      <c r="H38" s="381"/>
      <c r="I38" s="361"/>
      <c r="J38" s="361"/>
      <c r="K38" s="361"/>
      <c r="L38" s="361"/>
      <c r="M38" s="361"/>
    </row>
    <row r="39" spans="3:13" ht="17.25" customHeight="1">
      <c r="C39" s="379"/>
      <c r="D39" s="374" t="s">
        <v>159</v>
      </c>
      <c r="E39" s="363" t="s">
        <v>243</v>
      </c>
      <c r="F39" s="371">
        <f>+'3.3 Tarifas'!D15</f>
        <v>76.62419969157884</v>
      </c>
      <c r="G39" s="361"/>
      <c r="H39" s="381"/>
      <c r="I39" s="361"/>
      <c r="J39" s="361"/>
      <c r="K39" s="361"/>
      <c r="L39" s="361"/>
      <c r="M39" s="361"/>
    </row>
    <row r="40" spans="3:13" ht="17.25" customHeight="1">
      <c r="C40" s="379"/>
      <c r="D40" s="374" t="s">
        <v>160</v>
      </c>
      <c r="E40" s="363" t="s">
        <v>243</v>
      </c>
      <c r="F40" s="371">
        <f>+'3.3 Tarifas'!D16</f>
        <v>18.38980792597892</v>
      </c>
      <c r="G40" s="361"/>
      <c r="H40" s="381"/>
      <c r="I40" s="361"/>
      <c r="J40" s="361"/>
      <c r="K40" s="361"/>
      <c r="L40" s="361"/>
      <c r="M40" s="361"/>
    </row>
    <row r="41" spans="3:13" ht="17.25" customHeight="1">
      <c r="C41" s="379"/>
      <c r="D41" s="374" t="s">
        <v>91</v>
      </c>
      <c r="E41" s="363" t="s">
        <v>244</v>
      </c>
      <c r="F41" s="372"/>
      <c r="G41" s="37"/>
      <c r="H41" s="381"/>
      <c r="I41" s="361"/>
      <c r="J41" s="361"/>
      <c r="K41" s="361"/>
      <c r="L41" s="361"/>
      <c r="M41" s="361"/>
    </row>
    <row r="42" spans="3:13" ht="15">
      <c r="C42" s="379"/>
      <c r="D42" s="37"/>
      <c r="E42" s="37"/>
      <c r="F42" s="37"/>
      <c r="G42" s="37"/>
      <c r="H42" s="381"/>
      <c r="I42" s="361"/>
      <c r="J42" s="361"/>
      <c r="K42" s="361"/>
      <c r="L42" s="361"/>
      <c r="M42" s="361"/>
    </row>
    <row r="43" spans="3:13" ht="15.75" thickBot="1">
      <c r="C43" s="382"/>
      <c r="D43" s="383"/>
      <c r="E43" s="383"/>
      <c r="F43" s="383"/>
      <c r="G43" s="383"/>
      <c r="H43" s="384"/>
      <c r="I43" s="361"/>
      <c r="J43" s="361"/>
      <c r="K43" s="361"/>
      <c r="L43" s="361"/>
      <c r="M43" s="361"/>
    </row>
    <row r="44" spans="8:13" ht="15">
      <c r="H44" s="361"/>
      <c r="I44" s="361"/>
      <c r="J44" s="361"/>
      <c r="K44" s="361"/>
      <c r="L44" s="361"/>
      <c r="M44" s="361"/>
    </row>
    <row r="45" spans="8:13" ht="15">
      <c r="H45" s="361"/>
      <c r="I45" s="361"/>
      <c r="J45" s="361"/>
      <c r="K45" s="361"/>
      <c r="L45" s="361"/>
      <c r="M45" s="361"/>
    </row>
    <row r="46" spans="8:13" ht="15">
      <c r="H46" s="361"/>
      <c r="I46" s="361"/>
      <c r="J46" s="361"/>
      <c r="K46" s="361"/>
      <c r="L46" s="361"/>
      <c r="M46" s="361"/>
    </row>
    <row r="47" spans="8:13" ht="15">
      <c r="H47" s="361"/>
      <c r="I47" s="361"/>
      <c r="J47" s="361"/>
      <c r="K47" s="361"/>
      <c r="L47" s="361"/>
      <c r="M47" s="361"/>
    </row>
    <row r="48" spans="8:13" ht="15">
      <c r="H48" s="361"/>
      <c r="I48" s="361"/>
      <c r="J48" s="361"/>
      <c r="K48" s="361"/>
      <c r="L48" s="361"/>
      <c r="M48" s="361"/>
    </row>
    <row r="49" spans="8:13" ht="15">
      <c r="H49" s="361"/>
      <c r="I49" s="361"/>
      <c r="J49" s="361"/>
      <c r="K49" s="361"/>
      <c r="L49" s="361"/>
      <c r="M49" s="361"/>
    </row>
    <row r="50" spans="8:13" ht="15">
      <c r="H50" s="361"/>
      <c r="I50" s="361"/>
      <c r="J50" s="361"/>
      <c r="K50" s="361"/>
      <c r="L50" s="361"/>
      <c r="M50" s="361"/>
    </row>
    <row r="51" spans="8:13" ht="15">
      <c r="H51" s="361"/>
      <c r="I51" s="361"/>
      <c r="J51" s="361"/>
      <c r="K51" s="361"/>
      <c r="L51" s="361"/>
      <c r="M51" s="361"/>
    </row>
    <row r="52" spans="8:13" ht="15">
      <c r="H52" s="361"/>
      <c r="I52" s="361"/>
      <c r="J52" s="361"/>
      <c r="K52" s="361"/>
      <c r="L52" s="361"/>
      <c r="M52" s="361"/>
    </row>
    <row r="53" spans="8:13" ht="15">
      <c r="H53" s="361"/>
      <c r="I53" s="361"/>
      <c r="J53" s="361"/>
      <c r="K53" s="361"/>
      <c r="L53" s="361"/>
      <c r="M53" s="361"/>
    </row>
    <row r="54" spans="8:13" ht="15">
      <c r="H54" s="361"/>
      <c r="I54" s="361"/>
      <c r="J54" s="361"/>
      <c r="K54" s="361"/>
      <c r="L54" s="361"/>
      <c r="M54" s="361"/>
    </row>
    <row r="55" spans="7:13" ht="15">
      <c r="G55" s="361"/>
      <c r="H55" s="361"/>
      <c r="I55" s="361"/>
      <c r="J55" s="361"/>
      <c r="K55" s="361"/>
      <c r="L55" s="361"/>
      <c r="M55" s="361"/>
    </row>
    <row r="56" spans="7:13" ht="15">
      <c r="G56" s="361"/>
      <c r="H56" s="361"/>
      <c r="I56" s="361"/>
      <c r="J56" s="361"/>
      <c r="K56" s="361"/>
      <c r="L56" s="361"/>
      <c r="M56" s="361"/>
    </row>
  </sheetData>
  <sheetProtection/>
  <mergeCells count="2">
    <mergeCell ref="D9:E10"/>
    <mergeCell ref="D25:F26"/>
  </mergeCells>
  <printOptions/>
  <pageMargins left="0.7" right="0.7" top="0.75" bottom="0.75" header="0.3" footer="0.3"/>
  <pageSetup horizontalDpi="1200" verticalDpi="1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>
    <tabColor theme="9" tint="-0.24997000396251678"/>
  </sheetPr>
  <dimension ref="A1:Q36"/>
  <sheetViews>
    <sheetView showGridLines="0" zoomScalePageLayoutView="0" workbookViewId="0" topLeftCell="A1">
      <pane ySplit="3" topLeftCell="A4" activePane="bottomLeft" state="frozen"/>
      <selection pane="topLeft" activeCell="S37" sqref="S37"/>
      <selection pane="bottomLeft" activeCell="E6" sqref="E6"/>
    </sheetView>
  </sheetViews>
  <sheetFormatPr defaultColWidth="11.421875" defaultRowHeight="15"/>
  <cols>
    <col min="1" max="1" width="2.57421875" style="1" customWidth="1"/>
    <col min="2" max="2" width="50.8515625" style="1" bestFit="1" customWidth="1"/>
    <col min="3" max="3" width="11.57421875" style="1" bestFit="1" customWidth="1"/>
    <col min="4" max="4" width="10.7109375" style="1" bestFit="1" customWidth="1"/>
    <col min="5" max="5" width="10.28125" style="1" bestFit="1" customWidth="1"/>
    <col min="6" max="6" width="10.140625" style="1" bestFit="1" customWidth="1"/>
    <col min="7" max="7" width="9.8515625" style="1" bestFit="1" customWidth="1"/>
    <col min="8" max="8" width="10.140625" style="1" bestFit="1" customWidth="1"/>
    <col min="9" max="9" width="9.8515625" style="1" bestFit="1" customWidth="1"/>
    <col min="10" max="10" width="10.8515625" style="1" bestFit="1" customWidth="1"/>
    <col min="11" max="11" width="11.140625" style="1" bestFit="1" customWidth="1"/>
    <col min="12" max="12" width="11.57421875" style="1" bestFit="1" customWidth="1"/>
    <col min="13" max="13" width="11.00390625" style="1" bestFit="1" customWidth="1"/>
    <col min="14" max="14" width="11.140625" style="1" bestFit="1" customWidth="1"/>
    <col min="15" max="15" width="11.28125" style="1" bestFit="1" customWidth="1"/>
    <col min="16" max="16" width="6.8515625" style="1" bestFit="1" customWidth="1"/>
    <col min="17" max="16384" width="11.421875" style="1" customWidth="1"/>
  </cols>
  <sheetData>
    <row r="1" spans="2:11" ht="18.75">
      <c r="B1" s="2" t="s">
        <v>261</v>
      </c>
      <c r="D1" s="3"/>
      <c r="E1" s="3"/>
      <c r="F1" s="3"/>
      <c r="G1" s="3"/>
      <c r="H1" s="3"/>
      <c r="I1" s="3"/>
      <c r="J1" s="3"/>
      <c r="K1" s="3"/>
    </row>
    <row r="2" spans="2:12" ht="15">
      <c r="B2" s="4" t="s">
        <v>132</v>
      </c>
      <c r="C2" s="5"/>
      <c r="D2" s="6"/>
      <c r="E2" s="6"/>
      <c r="F2" s="6"/>
      <c r="G2" s="6"/>
      <c r="H2" s="6"/>
      <c r="I2" s="6"/>
      <c r="J2" s="6"/>
      <c r="K2" s="3"/>
      <c r="L2" s="7"/>
    </row>
    <row r="3" spans="2:9" ht="12.75">
      <c r="B3" s="25" t="s">
        <v>0</v>
      </c>
      <c r="C3" s="25"/>
      <c r="D3" s="26">
        <v>2014</v>
      </c>
      <c r="E3" s="26">
        <f>D3+1</f>
        <v>2015</v>
      </c>
      <c r="F3" s="26">
        <f>E3+1</f>
        <v>2016</v>
      </c>
      <c r="G3" s="26">
        <f>F3+1</f>
        <v>2017</v>
      </c>
      <c r="H3" s="26">
        <f>G3+1</f>
        <v>2018</v>
      </c>
      <c r="I3" s="26">
        <f>H3+1</f>
        <v>2019</v>
      </c>
    </row>
    <row r="4" spans="2:9" ht="12.75">
      <c r="B4" s="8"/>
      <c r="C4" s="8"/>
      <c r="D4" s="57"/>
      <c r="E4" s="57"/>
      <c r="F4" s="57"/>
      <c r="G4" s="57"/>
      <c r="H4" s="57"/>
      <c r="I4" s="57"/>
    </row>
    <row r="5" spans="1:9" ht="12.75">
      <c r="A5" s="9"/>
      <c r="B5" s="84" t="s">
        <v>1</v>
      </c>
      <c r="C5" s="85"/>
      <c r="D5" s="86"/>
      <c r="E5" s="86">
        <f>SUM(E6:E7)</f>
        <v>4989188.784065904</v>
      </c>
      <c r="F5" s="86">
        <f>SUM(F6:F7)</f>
        <v>5053210.721574351</v>
      </c>
      <c r="G5" s="86">
        <f>SUM(G6:G7)</f>
        <v>5053210.715452749</v>
      </c>
      <c r="H5" s="86">
        <f>SUM(H6:H7)</f>
        <v>5053210.709331147</v>
      </c>
      <c r="I5" s="86">
        <f>SUM(I6:I7)</f>
        <v>5053210.703209545</v>
      </c>
    </row>
    <row r="6" spans="1:17" ht="12.75">
      <c r="A6" s="9"/>
      <c r="B6" s="72" t="s">
        <v>126</v>
      </c>
      <c r="C6" s="72"/>
      <c r="D6" s="72"/>
      <c r="E6" s="71">
        <f>+'3.Ingresos'!C17</f>
        <v>4257310.319589439</v>
      </c>
      <c r="F6" s="71">
        <f>+'3.Ingresos'!D17</f>
        <v>4321332.257097886</v>
      </c>
      <c r="G6" s="71">
        <f>+'3.Ingresos'!E17</f>
        <v>4321332.250976284</v>
      </c>
      <c r="H6" s="71">
        <f>+'3.Ingresos'!F17</f>
        <v>4321332.244854682</v>
      </c>
      <c r="I6" s="71">
        <f>+'3.Ingresos'!G17</f>
        <v>4321332.23873308</v>
      </c>
      <c r="P6" s="7"/>
      <c r="Q6" s="7"/>
    </row>
    <row r="7" spans="1:17" ht="12.75">
      <c r="A7" s="9"/>
      <c r="B7" s="72" t="s">
        <v>155</v>
      </c>
      <c r="C7" s="72"/>
      <c r="D7" s="72"/>
      <c r="E7" s="71">
        <f>+'3.2 Otros ingresos'!B53</f>
        <v>731878.4644764651</v>
      </c>
      <c r="F7" s="71">
        <f>+'3.2 Otros ingresos'!C53</f>
        <v>731878.4644764651</v>
      </c>
      <c r="G7" s="71">
        <f>+'3.2 Otros ingresos'!D53</f>
        <v>731878.4644764651</v>
      </c>
      <c r="H7" s="71">
        <f>+'3.2 Otros ingresos'!E53</f>
        <v>731878.4644764651</v>
      </c>
      <c r="I7" s="71">
        <f>+'3.2 Otros ingresos'!F53</f>
        <v>731878.4644764651</v>
      </c>
      <c r="P7" s="7"/>
      <c r="Q7" s="7"/>
    </row>
    <row r="8" spans="1:17" ht="12.75">
      <c r="A8" s="9"/>
      <c r="B8" s="402" t="s">
        <v>2</v>
      </c>
      <c r="C8" s="403">
        <f>'[1]Menu'!C7</f>
        <v>0.01</v>
      </c>
      <c r="D8" s="404"/>
      <c r="E8" s="404">
        <f>-+$C$8*E5</f>
        <v>-49891.887840659045</v>
      </c>
      <c r="F8" s="404">
        <f>-+$C$8*F5</f>
        <v>-50532.10721574351</v>
      </c>
      <c r="G8" s="404">
        <f>-+$C$8*G5</f>
        <v>-50532.1071545275</v>
      </c>
      <c r="H8" s="404">
        <f>-+$C$8*H5</f>
        <v>-50532.107093311475</v>
      </c>
      <c r="I8" s="404">
        <f>-+$C$8*I5</f>
        <v>-50532.10703209545</v>
      </c>
      <c r="P8" s="7"/>
      <c r="Q8" s="7"/>
    </row>
    <row r="9" spans="1:17" ht="4.5" customHeight="1">
      <c r="A9" s="9"/>
      <c r="I9"/>
      <c r="J9"/>
      <c r="K9"/>
      <c r="L9"/>
      <c r="M9"/>
      <c r="N9"/>
      <c r="O9" s="7"/>
      <c r="P9" s="7"/>
      <c r="Q9" s="7"/>
    </row>
    <row r="10" spans="1:17" ht="12.75">
      <c r="A10" s="9"/>
      <c r="B10" s="27" t="s">
        <v>3</v>
      </c>
      <c r="C10" s="28"/>
      <c r="D10" s="29"/>
      <c r="E10" s="29">
        <f>E5+E8</f>
        <v>4939296.896225245</v>
      </c>
      <c r="F10" s="29">
        <f>F5+F8</f>
        <v>5002678.614358608</v>
      </c>
      <c r="G10" s="29">
        <f>G5+G8</f>
        <v>5002678.608298222</v>
      </c>
      <c r="H10" s="29">
        <f>H5+H8</f>
        <v>5002678.6022378355</v>
      </c>
      <c r="I10" s="29">
        <f>I5+I8</f>
        <v>5002678.59617745</v>
      </c>
      <c r="J10" s="7"/>
      <c r="K10" s="7"/>
      <c r="L10" s="7"/>
      <c r="M10" s="7"/>
      <c r="N10" s="7"/>
      <c r="O10" s="7"/>
      <c r="P10" s="7"/>
      <c r="Q10" s="7"/>
    </row>
    <row r="11" spans="10:17" ht="12.75">
      <c r="J11" s="7"/>
      <c r="K11" s="7"/>
      <c r="L11" s="7"/>
      <c r="M11" s="7"/>
      <c r="N11" s="7"/>
      <c r="O11" s="7"/>
      <c r="P11" s="69"/>
      <c r="Q11" s="7"/>
    </row>
    <row r="12" spans="2:17" ht="12.75">
      <c r="B12" s="35" t="s">
        <v>129</v>
      </c>
      <c r="C12" s="35"/>
      <c r="D12" s="36"/>
      <c r="E12" s="29">
        <f>SUM(E13:E13)</f>
        <v>-1844208.6915392503</v>
      </c>
      <c r="F12" s="29">
        <f>SUM(F13:F13)</f>
        <v>-1926586.0762470765</v>
      </c>
      <c r="G12" s="29">
        <f>SUM(G13:G13)</f>
        <v>-1974750.7280586208</v>
      </c>
      <c r="H12" s="29">
        <f>SUM(H13:H13)</f>
        <v>-2014245.7425232676</v>
      </c>
      <c r="I12" s="29">
        <f>SUM(I13:I13)</f>
        <v>-2054530.6572752777</v>
      </c>
      <c r="J12" s="7"/>
      <c r="K12" s="7"/>
      <c r="L12" s="7"/>
      <c r="M12" s="7"/>
      <c r="N12" s="7"/>
      <c r="O12" s="7"/>
      <c r="P12" s="7"/>
      <c r="Q12" s="7"/>
    </row>
    <row r="13" spans="2:17" s="72" customFormat="1" ht="12.75">
      <c r="B13" s="77" t="s">
        <v>118</v>
      </c>
      <c r="C13" s="73"/>
      <c r="D13" s="74"/>
      <c r="E13" s="76">
        <f>-'4. OPEX'!C47</f>
        <v>-1844208.6915392503</v>
      </c>
      <c r="F13" s="76">
        <f>-'4. OPEX'!D47</f>
        <v>-1926586.0762470765</v>
      </c>
      <c r="G13" s="76">
        <f>-'4. OPEX'!E47</f>
        <v>-1974750.7280586208</v>
      </c>
      <c r="H13" s="76">
        <f>-'4. OPEX'!F47</f>
        <v>-2014245.7425232676</v>
      </c>
      <c r="I13" s="76">
        <f>-'4. OPEX'!G47</f>
        <v>-2054530.6572752777</v>
      </c>
      <c r="J13" s="75"/>
      <c r="K13" s="75"/>
      <c r="L13" s="75"/>
      <c r="M13" s="75"/>
      <c r="N13" s="75"/>
      <c r="O13" s="75"/>
      <c r="P13" s="75"/>
      <c r="Q13" s="75"/>
    </row>
    <row r="14" spans="2:17" s="72" customFormat="1" ht="12.75">
      <c r="B14" s="405" t="s">
        <v>145</v>
      </c>
      <c r="C14" s="451">
        <f>+'1.Parametros'!E14</f>
        <v>0.28</v>
      </c>
      <c r="D14" s="74"/>
      <c r="E14" s="76"/>
      <c r="F14" s="76"/>
      <c r="G14" s="76"/>
      <c r="H14" s="76"/>
      <c r="I14" s="76"/>
      <c r="J14" s="75"/>
      <c r="K14" s="75"/>
      <c r="L14" s="75"/>
      <c r="M14" s="75"/>
      <c r="N14" s="75"/>
      <c r="O14" s="75"/>
      <c r="P14" s="75"/>
      <c r="Q14" s="75"/>
    </row>
    <row r="15" spans="2:15" ht="15">
      <c r="B15" s="405" t="s">
        <v>146</v>
      </c>
      <c r="C15" s="451">
        <f>+'1.Parametros'!E15</f>
        <v>0.27</v>
      </c>
      <c r="D15" s="77"/>
      <c r="E15" s="452"/>
      <c r="F15" s="452"/>
      <c r="G15" s="452"/>
      <c r="H15" s="452"/>
      <c r="I15" s="453"/>
      <c r="J15" s="7"/>
      <c r="K15" s="7"/>
      <c r="L15" s="7"/>
      <c r="M15" s="7"/>
      <c r="N15" s="7"/>
      <c r="O15" s="7"/>
    </row>
    <row r="16" spans="2:17" ht="12.75">
      <c r="B16" s="454" t="s">
        <v>147</v>
      </c>
      <c r="C16" s="455">
        <f>+'1.Parametros'!E16</f>
        <v>0.26</v>
      </c>
      <c r="D16" s="456">
        <f aca="true" t="shared" si="0" ref="D16:I16">-D35</f>
        <v>0</v>
      </c>
      <c r="E16" s="456">
        <f t="shared" si="0"/>
        <v>-621273.3724548687</v>
      </c>
      <c r="F16" s="456">
        <f t="shared" si="0"/>
        <v>-682330.4499361129</v>
      </c>
      <c r="G16" s="456">
        <f t="shared" si="0"/>
        <v>-652478.3789847663</v>
      </c>
      <c r="H16" s="456">
        <f t="shared" si="0"/>
        <v>-641814.7234430076</v>
      </c>
      <c r="I16" s="456">
        <f t="shared" si="0"/>
        <v>-607569.7283487101</v>
      </c>
      <c r="J16" s="7"/>
      <c r="K16" s="7"/>
      <c r="L16" s="7"/>
      <c r="M16" s="7"/>
      <c r="N16" s="7"/>
      <c r="O16" s="7"/>
      <c r="Q16" s="70"/>
    </row>
    <row r="17" spans="2:15" ht="15">
      <c r="B17" s="11"/>
      <c r="C17" s="13"/>
      <c r="D17" s="12"/>
      <c r="E17" s="12"/>
      <c r="F17" s="12"/>
      <c r="G17" s="12"/>
      <c r="H17" s="12"/>
      <c r="I17"/>
      <c r="J17" s="7"/>
      <c r="K17" s="7"/>
      <c r="L17" s="7"/>
      <c r="M17" s="7"/>
      <c r="N17" s="7"/>
      <c r="O17" s="7"/>
    </row>
    <row r="18" spans="2:15" ht="12.75">
      <c r="B18" s="27" t="s">
        <v>5</v>
      </c>
      <c r="C18" s="28"/>
      <c r="D18" s="29">
        <f>IF($D$4=0,0,D10+D12)+SUM(D16:D16)</f>
        <v>0</v>
      </c>
      <c r="E18" s="29">
        <f>+E10+E12+SUM(E16:E16)</f>
        <v>2473814.832231126</v>
      </c>
      <c r="F18" s="29">
        <f>+F10+F12+SUM(F16:F16)</f>
        <v>2393762.0881754183</v>
      </c>
      <c r="G18" s="29">
        <f>+G10+G12+SUM(G16:G16)</f>
        <v>2375449.5012548342</v>
      </c>
      <c r="H18" s="29">
        <f>+H10+H12+SUM(H16:H16)</f>
        <v>2346618.13627156</v>
      </c>
      <c r="I18" s="29">
        <f>+I10+I12+SUM(I16:I16)</f>
        <v>2340578.2105534626</v>
      </c>
      <c r="J18" s="7"/>
      <c r="K18" s="7"/>
      <c r="L18" s="7"/>
      <c r="M18" s="7"/>
      <c r="N18" s="7"/>
      <c r="O18" s="7"/>
    </row>
    <row r="19" spans="2:15" ht="15">
      <c r="B19" s="11"/>
      <c r="C19" s="13"/>
      <c r="D19" s="12"/>
      <c r="E19" s="12"/>
      <c r="F19" s="12"/>
      <c r="G19" s="12"/>
      <c r="H19" s="12"/>
      <c r="I19"/>
      <c r="J19" s="7"/>
      <c r="K19" s="7"/>
      <c r="L19" s="7"/>
      <c r="M19" s="7"/>
      <c r="N19" s="7"/>
      <c r="O19" s="7"/>
    </row>
    <row r="20" spans="2:15" ht="12.75">
      <c r="B20" s="407" t="s">
        <v>6</v>
      </c>
      <c r="C20" s="408"/>
      <c r="D20" s="411">
        <f>-'5. CAPEX'!C95</f>
        <v>-10773740.64035557</v>
      </c>
      <c r="E20" s="411">
        <f>+'5. CAPEX'!D95</f>
        <v>0</v>
      </c>
      <c r="F20" s="411">
        <f>+'5. CAPEX'!E95</f>
        <v>0</v>
      </c>
      <c r="G20" s="411">
        <f>+'5. CAPEX'!F95</f>
        <v>0</v>
      </c>
      <c r="H20" s="411">
        <f>+'5. CAPEX'!G95</f>
        <v>0</v>
      </c>
      <c r="I20" s="411">
        <f>+'5. CAPEX'!H95</f>
        <v>0</v>
      </c>
      <c r="J20" s="7"/>
      <c r="K20" s="7"/>
      <c r="L20" s="7"/>
      <c r="M20" s="7"/>
      <c r="N20" s="7"/>
      <c r="O20" s="7"/>
    </row>
    <row r="21" spans="2:15" ht="12.75">
      <c r="B21" s="405" t="s">
        <v>7</v>
      </c>
      <c r="C21" s="409"/>
      <c r="D21" s="412">
        <v>0</v>
      </c>
      <c r="E21" s="412">
        <v>0</v>
      </c>
      <c r="F21" s="412">
        <v>0</v>
      </c>
      <c r="G21" s="412">
        <v>0</v>
      </c>
      <c r="H21" s="412">
        <v>0</v>
      </c>
      <c r="I21" s="412">
        <v>0</v>
      </c>
      <c r="J21" s="7"/>
      <c r="K21" s="7"/>
      <c r="L21" s="7"/>
      <c r="M21" s="7"/>
      <c r="N21" s="7"/>
      <c r="O21" s="7"/>
    </row>
    <row r="22" spans="2:15" ht="12.75">
      <c r="B22" s="406" t="s">
        <v>36</v>
      </c>
      <c r="C22" s="410"/>
      <c r="D22" s="413">
        <f>+'5. CAPEX'!C97</f>
        <v>0</v>
      </c>
      <c r="E22" s="413">
        <f>+'5. CAPEX'!D97</f>
        <v>0</v>
      </c>
      <c r="F22" s="413">
        <f>+'5. CAPEX'!E97</f>
        <v>0</v>
      </c>
      <c r="G22" s="413">
        <f>+'5. CAPEX'!F97</f>
        <v>0</v>
      </c>
      <c r="H22" s="413">
        <f>+'5. CAPEX'!G97</f>
        <v>0</v>
      </c>
      <c r="I22" s="413">
        <f>+'5. CAPEX'!H97</f>
        <v>7424263.960447289</v>
      </c>
      <c r="J22" s="7"/>
      <c r="K22" s="7"/>
      <c r="L22" s="7"/>
      <c r="M22" s="7"/>
      <c r="N22" s="7"/>
      <c r="O22" s="7"/>
    </row>
    <row r="23" spans="2:15" ht="12.75">
      <c r="B23" s="14"/>
      <c r="C23" s="15"/>
      <c r="D23" s="12"/>
      <c r="E23" s="12"/>
      <c r="F23" s="12"/>
      <c r="G23" s="12"/>
      <c r="H23" s="12"/>
      <c r="I23" s="12"/>
      <c r="J23" s="7"/>
      <c r="K23" s="7"/>
      <c r="L23" s="7"/>
      <c r="M23" s="7"/>
      <c r="N23" s="7"/>
      <c r="O23" s="7"/>
    </row>
    <row r="24" spans="2:15" ht="12.75">
      <c r="B24" s="27" t="s">
        <v>8</v>
      </c>
      <c r="C24" s="28"/>
      <c r="D24" s="29">
        <f aca="true" t="shared" si="1" ref="D24:I24">+SUM(D18:D22)</f>
        <v>-10773740.64035557</v>
      </c>
      <c r="E24" s="29">
        <f t="shared" si="1"/>
        <v>2473814.832231126</v>
      </c>
      <c r="F24" s="29">
        <f t="shared" si="1"/>
        <v>2393762.0881754183</v>
      </c>
      <c r="G24" s="29">
        <f t="shared" si="1"/>
        <v>2375449.5012548342</v>
      </c>
      <c r="H24" s="29">
        <f t="shared" si="1"/>
        <v>2346618.13627156</v>
      </c>
      <c r="I24" s="29">
        <f t="shared" si="1"/>
        <v>9764842.171000753</v>
      </c>
      <c r="J24" s="7"/>
      <c r="K24" s="7"/>
      <c r="L24" s="7"/>
      <c r="M24" s="7"/>
      <c r="N24" s="7"/>
      <c r="O24" s="7"/>
    </row>
    <row r="25" spans="2:11" ht="15">
      <c r="B25" s="16"/>
      <c r="C25" s="5"/>
      <c r="D25" s="17"/>
      <c r="E25" s="17"/>
      <c r="F25"/>
      <c r="G25"/>
      <c r="H25"/>
      <c r="I25"/>
      <c r="J25"/>
      <c r="K25"/>
    </row>
    <row r="26" spans="2:11" ht="15">
      <c r="B26" s="58" t="s">
        <v>131</v>
      </c>
      <c r="C26" s="59">
        <f>+'1.Parametros'!E13</f>
        <v>0.1789</v>
      </c>
      <c r="D26" s="18"/>
      <c r="E26" s="18"/>
      <c r="F26"/>
      <c r="G26"/>
      <c r="H26"/>
      <c r="I26"/>
      <c r="J26"/>
      <c r="K26"/>
    </row>
    <row r="27" spans="2:11" ht="15">
      <c r="B27" s="60" t="s">
        <v>9</v>
      </c>
      <c r="C27" s="61">
        <f>+NPV(C26,E24:I24)+D24</f>
        <v>-1.6763806343078613E-08</v>
      </c>
      <c r="D27" s="19"/>
      <c r="E27" s="19"/>
      <c r="F27"/>
      <c r="G27"/>
      <c r="H27"/>
      <c r="I27"/>
      <c r="K27"/>
    </row>
    <row r="28" spans="2:11" ht="15">
      <c r="B28" s="14"/>
      <c r="C28" s="20"/>
      <c r="D28" s="19"/>
      <c r="E28" s="19"/>
      <c r="F28"/>
      <c r="G28"/>
      <c r="H28"/>
      <c r="I28"/>
      <c r="J28"/>
      <c r="K28"/>
    </row>
    <row r="29" spans="2:15" ht="15">
      <c r="B29" s="22"/>
      <c r="C29" s="23"/>
      <c r="D29" s="24"/>
      <c r="E29" s="24"/>
      <c r="F29" s="24"/>
      <c r="G29" s="24"/>
      <c r="H29" s="24"/>
      <c r="I29"/>
      <c r="J29"/>
      <c r="K29"/>
      <c r="L29"/>
      <c r="M29"/>
      <c r="N29"/>
      <c r="O29"/>
    </row>
    <row r="30" spans="2:15" ht="15">
      <c r="B30" s="56" t="s">
        <v>4</v>
      </c>
      <c r="C30" s="26"/>
      <c r="D30" s="26">
        <v>2014</v>
      </c>
      <c r="E30" s="78">
        <f>D30+1</f>
        <v>2015</v>
      </c>
      <c r="F30" s="78">
        <f>E30+1</f>
        <v>2016</v>
      </c>
      <c r="G30" s="78">
        <f>F30+1</f>
        <v>2017</v>
      </c>
      <c r="H30" s="78">
        <f>G30+1</f>
        <v>2018</v>
      </c>
      <c r="I30" s="78">
        <f>H30+1</f>
        <v>2019</v>
      </c>
      <c r="J30"/>
      <c r="K30"/>
      <c r="L30"/>
      <c r="M30"/>
      <c r="N30"/>
      <c r="O30"/>
    </row>
    <row r="31" spans="2:15" ht="15">
      <c r="B31" s="414" t="s">
        <v>1</v>
      </c>
      <c r="C31" s="415"/>
      <c r="D31" s="416"/>
      <c r="E31" s="417">
        <f>+E5</f>
        <v>4989188.784065904</v>
      </c>
      <c r="F31" s="417">
        <f>+F5</f>
        <v>5053210.721574351</v>
      </c>
      <c r="G31" s="417">
        <f>+G5</f>
        <v>5053210.715452749</v>
      </c>
      <c r="H31" s="417">
        <f>+H5</f>
        <v>5053210.709331147</v>
      </c>
      <c r="I31" s="417">
        <f>+I5</f>
        <v>5053210.703209545</v>
      </c>
      <c r="J31"/>
      <c r="K31"/>
      <c r="L31"/>
      <c r="M31"/>
      <c r="N31"/>
      <c r="O31"/>
    </row>
    <row r="32" spans="2:15" ht="15">
      <c r="B32" s="418" t="s">
        <v>10</v>
      </c>
      <c r="C32" s="419"/>
      <c r="D32" s="420"/>
      <c r="E32" s="420">
        <f>E8+E12</f>
        <v>-1894100.5793799094</v>
      </c>
      <c r="F32" s="420">
        <f>F8+F12</f>
        <v>-1977118.18346282</v>
      </c>
      <c r="G32" s="420">
        <f>G8+G12</f>
        <v>-2025282.8352131483</v>
      </c>
      <c r="H32" s="420">
        <f>H8+H12</f>
        <v>-2064777.849616579</v>
      </c>
      <c r="I32" s="420">
        <f>I8+I12</f>
        <v>-2105062.764307373</v>
      </c>
      <c r="J32"/>
      <c r="K32"/>
      <c r="L32"/>
      <c r="M32"/>
      <c r="N32"/>
      <c r="O32"/>
    </row>
    <row r="33" spans="2:15" ht="15">
      <c r="B33" s="418" t="s">
        <v>11</v>
      </c>
      <c r="C33" s="419"/>
      <c r="D33" s="420"/>
      <c r="E33" s="80">
        <f>-'5. CAPEX'!D89</f>
        <v>-876254.7316328922</v>
      </c>
      <c r="F33" s="80">
        <f>-'5. CAPEX'!E89</f>
        <v>-639198.0740539856</v>
      </c>
      <c r="G33" s="80">
        <f>-'5. CAPEX'!F89</f>
        <v>-611341.2914071335</v>
      </c>
      <c r="H33" s="80">
        <f>-'5. CAPEX'!G89</f>
        <v>-611341.2914071335</v>
      </c>
      <c r="I33" s="80">
        <f>-'5. CAPEX'!H89</f>
        <v>-611341.2914071335</v>
      </c>
      <c r="J33"/>
      <c r="K33"/>
      <c r="L33"/>
      <c r="M33"/>
      <c r="N33"/>
      <c r="O33"/>
    </row>
    <row r="34" spans="2:15" ht="15">
      <c r="B34" s="421" t="s">
        <v>12</v>
      </c>
      <c r="C34" s="422"/>
      <c r="D34" s="423"/>
      <c r="E34" s="423">
        <f>SUM(E31:E33)</f>
        <v>2218833.4730531024</v>
      </c>
      <c r="F34" s="423">
        <f>SUM(F31:F33)</f>
        <v>2436894.4640575456</v>
      </c>
      <c r="G34" s="423">
        <f>SUM(G31:G33)</f>
        <v>2416586.588832468</v>
      </c>
      <c r="H34" s="423">
        <f>SUM(H31:H33)</f>
        <v>2377091.568307435</v>
      </c>
      <c r="I34" s="423">
        <f>SUM(I31:I33)</f>
        <v>2336806.647495039</v>
      </c>
      <c r="J34"/>
      <c r="K34"/>
      <c r="L34"/>
      <c r="M34"/>
      <c r="N34"/>
      <c r="O34"/>
    </row>
    <row r="35" spans="2:15" ht="15">
      <c r="B35" s="56" t="s">
        <v>4</v>
      </c>
      <c r="C35" s="62"/>
      <c r="D35" s="63"/>
      <c r="E35" s="79">
        <f>+IF(E34&lt;0,0,E34*$C$14)</f>
        <v>621273.3724548687</v>
      </c>
      <c r="F35" s="79">
        <f>+IF(F34&lt;0,0,F34*$C$14)</f>
        <v>682330.4499361129</v>
      </c>
      <c r="G35" s="79">
        <f>+IF(G34&lt;0,0,G34*$C$15)</f>
        <v>652478.3789847663</v>
      </c>
      <c r="H35" s="79">
        <f>+IF(H34&lt;0,0,H34*$C$15)</f>
        <v>641814.7234430076</v>
      </c>
      <c r="I35" s="79">
        <f>+IF(I34&lt;0,0,I34*$C$16)</f>
        <v>607569.7283487101</v>
      </c>
      <c r="J35"/>
      <c r="K35"/>
      <c r="L35"/>
      <c r="M35"/>
      <c r="N35"/>
      <c r="O35"/>
    </row>
    <row r="36" spans="5:9" ht="12.75">
      <c r="E36" s="10"/>
      <c r="F36" s="10"/>
      <c r="G36" s="10"/>
      <c r="H36" s="10"/>
      <c r="I36" s="10"/>
    </row>
  </sheetData>
  <sheetProtection/>
  <printOptions/>
  <pageMargins left="0.7" right="0.7" top="0.75" bottom="0.75" header="0.3" footer="0.3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>
    <tabColor theme="9" tint="-0.24997000396251678"/>
  </sheetPr>
  <dimension ref="B1:N64"/>
  <sheetViews>
    <sheetView zoomScalePageLayoutView="0" workbookViewId="0" topLeftCell="A1">
      <selection activeCell="C4" sqref="C4"/>
    </sheetView>
  </sheetViews>
  <sheetFormatPr defaultColWidth="11.421875" defaultRowHeight="15"/>
  <cols>
    <col min="1" max="1" width="11.421875" style="72" customWidth="1"/>
    <col min="2" max="2" width="39.140625" style="72" bestFit="1" customWidth="1"/>
    <col min="3" max="3" width="18.00390625" style="221" customWidth="1"/>
    <col min="4" max="7" width="12.00390625" style="221" bestFit="1" customWidth="1"/>
    <col min="8" max="8" width="11.421875" style="72" customWidth="1"/>
    <col min="9" max="9" width="13.57421875" style="72" bestFit="1" customWidth="1"/>
    <col min="10" max="13" width="12.57421875" style="72" bestFit="1" customWidth="1"/>
    <col min="14" max="16384" width="11.421875" style="72" customWidth="1"/>
  </cols>
  <sheetData>
    <row r="1" spans="2:3" ht="12.75">
      <c r="B1" s="210" t="s">
        <v>233</v>
      </c>
      <c r="C1" s="253"/>
    </row>
    <row r="2" spans="2:7" ht="12.75">
      <c r="B2" s="387" t="s">
        <v>87</v>
      </c>
      <c r="C2" s="388">
        <v>2015</v>
      </c>
      <c r="D2" s="388">
        <v>2016</v>
      </c>
      <c r="E2" s="388">
        <v>2017</v>
      </c>
      <c r="F2" s="388">
        <v>2018</v>
      </c>
      <c r="G2" s="388">
        <v>2019</v>
      </c>
    </row>
    <row r="3" spans="2:7" ht="12.75">
      <c r="B3" s="390" t="s">
        <v>90</v>
      </c>
      <c r="C3" s="391"/>
      <c r="D3" s="391"/>
      <c r="E3" s="391"/>
      <c r="F3" s="391"/>
      <c r="G3" s="391"/>
    </row>
    <row r="4" spans="2:13" ht="12.75">
      <c r="B4" s="392" t="s">
        <v>13</v>
      </c>
      <c r="C4" s="393">
        <f>+'3.1 Demanda'!C60*'3.3 Tarifas'!$D$8</f>
        <v>1549709.522584642</v>
      </c>
      <c r="D4" s="393">
        <f>+'3.1 Demanda'!D60*'3.3 Tarifas'!$D$8</f>
        <v>1561826.7713582686</v>
      </c>
      <c r="E4" s="393">
        <f>+'3.1 Demanda'!E60*'3.3 Tarifas'!$D$8</f>
        <v>1561826.7713582686</v>
      </c>
      <c r="F4" s="393">
        <f>+'3.1 Demanda'!F60*'3.3 Tarifas'!$D$8</f>
        <v>1561826.7713582686</v>
      </c>
      <c r="G4" s="393">
        <f>+'3.1 Demanda'!G60*'3.3 Tarifas'!$D$8</f>
        <v>1561826.7713582686</v>
      </c>
      <c r="H4" s="251"/>
      <c r="I4" s="251"/>
      <c r="J4" s="251"/>
      <c r="K4" s="251"/>
      <c r="L4" s="251"/>
      <c r="M4" s="251"/>
    </row>
    <row r="5" spans="2:7" ht="12.75">
      <c r="B5" s="392" t="s">
        <v>83</v>
      </c>
      <c r="C5" s="393">
        <f>+'3.1 Demanda'!C61*'3.3 Tarifas'!$D$9</f>
        <v>0</v>
      </c>
      <c r="D5" s="393">
        <f>+'3.1 Demanda'!D61*'3.3 Tarifas'!$D$9</f>
        <v>0</v>
      </c>
      <c r="E5" s="393">
        <f>+'3.1 Demanda'!E61*'3.3 Tarifas'!$D$9</f>
        <v>0</v>
      </c>
      <c r="F5" s="393">
        <f>+'3.1 Demanda'!F61*'3.3 Tarifas'!$D$9</f>
        <v>0</v>
      </c>
      <c r="G5" s="393">
        <f>+'3.1 Demanda'!G61*'3.3 Tarifas'!$D$9</f>
        <v>0</v>
      </c>
    </row>
    <row r="6" spans="2:7" ht="12.75">
      <c r="B6" s="392" t="s">
        <v>15</v>
      </c>
      <c r="C6" s="393">
        <f>+'3.1 Demanda'!C62*'3.3 Tarifas'!$D$10</f>
        <v>1110928.6544739336</v>
      </c>
      <c r="D6" s="393">
        <f>+'3.1 Demanda'!D62*'3.3 Tarifas'!$D$10</f>
        <v>1142290.1388689266</v>
      </c>
      <c r="E6" s="393">
        <f>+'3.1 Demanda'!E62*'3.3 Tarifas'!$D$10</f>
        <v>1142290.1388689266</v>
      </c>
      <c r="F6" s="393">
        <f>+'3.1 Demanda'!F62*'3.3 Tarifas'!$D$10</f>
        <v>1142290.1388689266</v>
      </c>
      <c r="G6" s="393">
        <f>+'3.1 Demanda'!G62*'3.3 Tarifas'!$D$10</f>
        <v>1142290.1388689266</v>
      </c>
    </row>
    <row r="7" spans="2:7" ht="12.75">
      <c r="B7" s="392" t="s">
        <v>17</v>
      </c>
      <c r="C7" s="391">
        <f>+'3.1 Demanda'!C63*'3.3 Tarifas'!$D$11</f>
        <v>0</v>
      </c>
      <c r="D7" s="391">
        <f>+'3.1 Demanda'!D63*'3.3 Tarifas'!$D$11</f>
        <v>0</v>
      </c>
      <c r="E7" s="391">
        <f>+'3.1 Demanda'!E63*'3.3 Tarifas'!$D$11</f>
        <v>0</v>
      </c>
      <c r="F7" s="391">
        <f>+'3.1 Demanda'!F63*'3.3 Tarifas'!$D$11</f>
        <v>0</v>
      </c>
      <c r="G7" s="391">
        <f>+'3.1 Demanda'!G63*'3.3 Tarifas'!$D$11</f>
        <v>0</v>
      </c>
    </row>
    <row r="8" spans="2:7" ht="12.75">
      <c r="B8" s="392" t="s">
        <v>18</v>
      </c>
      <c r="C8" s="391">
        <f>+'3.1 Demanda'!C64*'3.3 Tarifas'!$D$12</f>
        <v>490690.10778784426</v>
      </c>
      <c r="D8" s="391">
        <f>+'3.1 Demanda'!D64*'3.3 Tarifas'!$D$12</f>
        <v>490690.1011006735</v>
      </c>
      <c r="E8" s="391">
        <f>+'3.1 Demanda'!E64*'3.3 Tarifas'!$D$12</f>
        <v>490690.09441350284</v>
      </c>
      <c r="F8" s="391">
        <f>+'3.1 Demanda'!F64*'3.3 Tarifas'!$D$12</f>
        <v>490690.0877263321</v>
      </c>
      <c r="G8" s="391">
        <f>+'3.1 Demanda'!G64*'3.3 Tarifas'!$D$12</f>
        <v>490690.08103916136</v>
      </c>
    </row>
    <row r="9" spans="2:7" ht="12.75">
      <c r="B9" s="392" t="s">
        <v>19</v>
      </c>
      <c r="C9" s="391">
        <f>+'3.1 Demanda'!C65*'3.3 Tarifas'!$D$13</f>
        <v>104546.05805915926</v>
      </c>
      <c r="D9" s="391">
        <f>+'3.1 Demanda'!D65*'3.3 Tarifas'!$D$13</f>
        <v>104546.05805915926</v>
      </c>
      <c r="E9" s="391">
        <f>+'3.1 Demanda'!E65*'3.3 Tarifas'!$D$13</f>
        <v>104546.05805915926</v>
      </c>
      <c r="F9" s="391">
        <f>+'3.1 Demanda'!F65*'3.3 Tarifas'!$D$13</f>
        <v>104546.05805915926</v>
      </c>
      <c r="G9" s="391">
        <f>+'3.1 Demanda'!G65*'3.3 Tarifas'!$D$13</f>
        <v>104546.05805915926</v>
      </c>
    </row>
    <row r="10" spans="2:7" ht="12.75">
      <c r="B10" s="392" t="s">
        <v>159</v>
      </c>
      <c r="C10" s="391">
        <f>+'3.1 Demanda'!C66*'3.3 Tarifas'!$D$14</f>
        <v>87041.0769722308</v>
      </c>
      <c r="D10" s="391">
        <f>+'3.1 Demanda'!D66*'3.3 Tarifas'!$D$14</f>
        <v>87041.07753779949</v>
      </c>
      <c r="E10" s="391">
        <f>+'3.1 Demanda'!E66*'3.3 Tarifas'!$D$14</f>
        <v>87041.07810336819</v>
      </c>
      <c r="F10" s="391">
        <f>+'3.1 Demanda'!F66*'3.3 Tarifas'!$D$14</f>
        <v>87041.07866893687</v>
      </c>
      <c r="G10" s="391">
        <f>+'3.1 Demanda'!G66*'3.3 Tarifas'!$D$14</f>
        <v>87041.07923450555</v>
      </c>
    </row>
    <row r="11" spans="2:7" ht="12.75">
      <c r="B11" s="392" t="s">
        <v>160</v>
      </c>
      <c r="C11" s="391">
        <f>+'3.1 Demanda'!C67*'3.3 Tarifas'!$D$15</f>
        <v>31036.849870152237</v>
      </c>
      <c r="D11" s="391">
        <f>+'3.1 Demanda'!D67*'3.3 Tarifas'!$D$15</f>
        <v>31036.849870152237</v>
      </c>
      <c r="E11" s="391">
        <f>+'3.1 Demanda'!E67*'3.3 Tarifas'!$D$15</f>
        <v>31036.849870152237</v>
      </c>
      <c r="F11" s="391">
        <f>+'3.1 Demanda'!F67*'3.3 Tarifas'!$D$15</f>
        <v>31036.849870152237</v>
      </c>
      <c r="G11" s="391">
        <f>+'3.1 Demanda'!G67*'3.3 Tarifas'!$D$15</f>
        <v>31036.849870152237</v>
      </c>
    </row>
    <row r="12" spans="2:7" ht="12.75">
      <c r="B12" s="392" t="s">
        <v>91</v>
      </c>
      <c r="C12" s="391">
        <f>+'3.1 Demanda'!C68*'3.3 Tarifas'!$D$16</f>
        <v>0</v>
      </c>
      <c r="D12" s="391">
        <f>+'3.1 Demanda'!D68*'3.3 Tarifas'!$D$16</f>
        <v>0</v>
      </c>
      <c r="E12" s="391">
        <f>+'3.1 Demanda'!E68*'3.3 Tarifas'!$D$16</f>
        <v>0</v>
      </c>
      <c r="F12" s="391">
        <f>+'3.1 Demanda'!F68*'3.3 Tarifas'!$D$16</f>
        <v>0</v>
      </c>
      <c r="G12" s="391">
        <f>+'3.1 Demanda'!G68*'3.3 Tarifas'!$D$16</f>
        <v>0</v>
      </c>
    </row>
    <row r="13" spans="2:7" ht="12.75">
      <c r="B13" s="390" t="s">
        <v>20</v>
      </c>
      <c r="C13" s="391"/>
      <c r="D13" s="391"/>
      <c r="E13" s="391"/>
      <c r="F13" s="391"/>
      <c r="G13" s="391"/>
    </row>
    <row r="14" spans="2:7" ht="12.75">
      <c r="B14" s="392" t="s">
        <v>21</v>
      </c>
      <c r="C14" s="393">
        <f>+'3.1 Demanda'!C70*'3.3 Tarifas'!$D$19</f>
        <v>830640.6004536698</v>
      </c>
      <c r="D14" s="393">
        <f>+'3.1 Demanda'!D70*'3.3 Tarifas'!$D$19</f>
        <v>849957.8237200342</v>
      </c>
      <c r="E14" s="393">
        <f>+'3.1 Demanda'!E70*'3.3 Tarifas'!$D$19</f>
        <v>849957.8237200342</v>
      </c>
      <c r="F14" s="393">
        <f>+'3.1 Demanda'!F70*'3.3 Tarifas'!$D$19</f>
        <v>849957.8237200342</v>
      </c>
      <c r="G14" s="393">
        <f>+'3.1 Demanda'!G70*'3.3 Tarifas'!$D$19</f>
        <v>849957.8237200342</v>
      </c>
    </row>
    <row r="15" spans="2:7" ht="12.75">
      <c r="B15" s="390" t="s">
        <v>140</v>
      </c>
      <c r="C15" s="391">
        <f>+'3.1 Demanda'!C71*'3.3 Tarifas'!$D$18</f>
        <v>52717.44938780624</v>
      </c>
      <c r="D15" s="391">
        <f>+'3.1 Demanda'!D71*'3.3 Tarifas'!$D$18</f>
        <v>53943.4365828715</v>
      </c>
      <c r="E15" s="391">
        <f>+'3.1 Demanda'!E71*'3.3 Tarifas'!$D$18</f>
        <v>53943.4365828715</v>
      </c>
      <c r="F15" s="391">
        <f>+'3.1 Demanda'!F71*'3.3 Tarifas'!$D$18</f>
        <v>53943.4365828715</v>
      </c>
      <c r="G15" s="391">
        <f>+'3.1 Demanda'!G71*'3.3 Tarifas'!$D$18</f>
        <v>53943.4365828715</v>
      </c>
    </row>
    <row r="16" ht="5.25" customHeight="1">
      <c r="B16" s="389"/>
    </row>
    <row r="17" spans="2:7" ht="13.5" thickBot="1">
      <c r="B17" s="394" t="s">
        <v>116</v>
      </c>
      <c r="C17" s="395">
        <f>SUM(C4:C15)</f>
        <v>4257310.319589439</v>
      </c>
      <c r="D17" s="395">
        <f>SUM(D4:D15)</f>
        <v>4321332.257097886</v>
      </c>
      <c r="E17" s="395">
        <f>SUM(E4:E15)</f>
        <v>4321332.250976284</v>
      </c>
      <c r="F17" s="395">
        <f>SUM(F4:F15)</f>
        <v>4321332.244854682</v>
      </c>
      <c r="G17" s="395">
        <f>SUM(G4:G15)</f>
        <v>4321332.23873308</v>
      </c>
    </row>
    <row r="18" spans="3:7" s="124" customFormat="1" ht="13.5" thickTop="1">
      <c r="C18" s="241"/>
      <c r="D18" s="241"/>
      <c r="E18" s="241"/>
      <c r="F18" s="241"/>
      <c r="G18" s="241"/>
    </row>
    <row r="19" spans="2:7" s="124" customFormat="1" ht="12.75">
      <c r="B19" s="333"/>
      <c r="C19" s="334"/>
      <c r="D19" s="241"/>
      <c r="E19" s="241"/>
      <c r="F19" s="241"/>
      <c r="G19" s="241"/>
    </row>
    <row r="20" spans="2:14" s="124" customFormat="1" ht="12.75">
      <c r="B20" s="335"/>
      <c r="C20" s="336"/>
      <c r="D20" s="336"/>
      <c r="E20" s="336"/>
      <c r="F20" s="336"/>
      <c r="G20" s="336"/>
      <c r="I20" s="494"/>
      <c r="J20" s="494"/>
      <c r="K20" s="494"/>
      <c r="L20" s="494"/>
      <c r="M20" s="494"/>
      <c r="N20" s="494"/>
    </row>
    <row r="21" spans="2:14" s="124" customFormat="1" ht="12.75">
      <c r="B21" s="337"/>
      <c r="C21" s="338"/>
      <c r="D21" s="338"/>
      <c r="E21" s="338"/>
      <c r="F21" s="338"/>
      <c r="G21" s="338"/>
      <c r="I21" s="339"/>
      <c r="J21" s="339"/>
      <c r="K21" s="339"/>
      <c r="L21" s="339"/>
      <c r="M21" s="339"/>
      <c r="N21" s="339"/>
    </row>
    <row r="22" spans="2:14" s="124" customFormat="1" ht="12.75">
      <c r="B22" s="340"/>
      <c r="C22" s="341"/>
      <c r="D22" s="341"/>
      <c r="E22" s="341"/>
      <c r="F22" s="341"/>
      <c r="G22" s="341"/>
      <c r="I22" s="342"/>
      <c r="J22" s="342"/>
      <c r="K22" s="342"/>
      <c r="L22" s="342"/>
      <c r="M22" s="342"/>
      <c r="N22" s="342"/>
    </row>
    <row r="23" spans="2:7" s="124" customFormat="1" ht="12.75">
      <c r="B23" s="340"/>
      <c r="C23" s="341"/>
      <c r="D23" s="341"/>
      <c r="E23" s="341"/>
      <c r="F23" s="341"/>
      <c r="G23" s="341"/>
    </row>
    <row r="24" spans="2:7" s="124" customFormat="1" ht="12.75">
      <c r="B24" s="340"/>
      <c r="C24" s="341"/>
      <c r="D24" s="341"/>
      <c r="E24" s="341"/>
      <c r="F24" s="341"/>
      <c r="G24" s="341"/>
    </row>
    <row r="25" spans="2:7" s="124" customFormat="1" ht="12.75">
      <c r="B25" s="340"/>
      <c r="C25" s="341"/>
      <c r="D25" s="341"/>
      <c r="E25" s="341"/>
      <c r="F25" s="341"/>
      <c r="G25" s="341"/>
    </row>
    <row r="26" spans="2:7" s="124" customFormat="1" ht="12.75">
      <c r="B26" s="340"/>
      <c r="C26" s="341"/>
      <c r="D26" s="341"/>
      <c r="E26" s="341"/>
      <c r="F26" s="341"/>
      <c r="G26" s="341"/>
    </row>
    <row r="27" spans="2:7" s="124" customFormat="1" ht="12.75">
      <c r="B27" s="340"/>
      <c r="C27" s="341"/>
      <c r="D27" s="341"/>
      <c r="E27" s="341"/>
      <c r="F27" s="341"/>
      <c r="G27" s="341"/>
    </row>
    <row r="28" spans="2:7" s="124" customFormat="1" ht="12.75">
      <c r="B28" s="340"/>
      <c r="C28" s="341"/>
      <c r="D28" s="341"/>
      <c r="E28" s="341"/>
      <c r="F28" s="341"/>
      <c r="G28" s="341"/>
    </row>
    <row r="29" spans="2:7" s="124" customFormat="1" ht="12.75">
      <c r="B29" s="337"/>
      <c r="C29" s="341"/>
      <c r="D29" s="341"/>
      <c r="E29" s="341"/>
      <c r="F29" s="341"/>
      <c r="G29" s="341"/>
    </row>
    <row r="30" spans="2:7" s="124" customFormat="1" ht="12.75">
      <c r="B30" s="340"/>
      <c r="C30" s="341"/>
      <c r="D30" s="341"/>
      <c r="E30" s="341"/>
      <c r="F30" s="341"/>
      <c r="G30" s="341"/>
    </row>
    <row r="31" spans="2:7" s="124" customFormat="1" ht="12.75">
      <c r="B31" s="343"/>
      <c r="C31" s="338"/>
      <c r="D31" s="338"/>
      <c r="E31" s="338"/>
      <c r="F31" s="338"/>
      <c r="G31" s="338"/>
    </row>
    <row r="32" spans="2:7" s="124" customFormat="1" ht="12.75">
      <c r="B32" s="337"/>
      <c r="C32" s="344"/>
      <c r="D32" s="344"/>
      <c r="E32" s="344"/>
      <c r="F32" s="344"/>
      <c r="G32" s="344"/>
    </row>
    <row r="33" spans="3:7" s="124" customFormat="1" ht="12.75">
      <c r="C33" s="241"/>
      <c r="D33" s="241"/>
      <c r="E33" s="241"/>
      <c r="F33" s="241"/>
      <c r="G33" s="241"/>
    </row>
    <row r="34" spans="2:7" s="124" customFormat="1" ht="12.75">
      <c r="B34" s="345"/>
      <c r="C34" s="334"/>
      <c r="D34" s="241"/>
      <c r="E34" s="241"/>
      <c r="F34" s="241"/>
      <c r="G34" s="241"/>
    </row>
    <row r="35" spans="2:7" s="124" customFormat="1" ht="12.75">
      <c r="B35" s="346"/>
      <c r="C35" s="347"/>
      <c r="D35" s="347"/>
      <c r="E35" s="347"/>
      <c r="F35" s="347"/>
      <c r="G35" s="347"/>
    </row>
    <row r="36" spans="2:7" s="124" customFormat="1" ht="12.75">
      <c r="B36" s="348"/>
      <c r="C36" s="241"/>
      <c r="D36" s="241"/>
      <c r="E36" s="241"/>
      <c r="F36" s="241"/>
      <c r="G36" s="241"/>
    </row>
    <row r="37" spans="2:7" s="124" customFormat="1" ht="12.75">
      <c r="B37" s="204"/>
      <c r="C37" s="246"/>
      <c r="D37" s="246"/>
      <c r="E37" s="246"/>
      <c r="F37" s="246"/>
      <c r="G37" s="246"/>
    </row>
    <row r="38" spans="2:7" s="124" customFormat="1" ht="12.75">
      <c r="B38" s="204"/>
      <c r="C38" s="246"/>
      <c r="D38" s="246"/>
      <c r="E38" s="246"/>
      <c r="F38" s="246"/>
      <c r="G38" s="246"/>
    </row>
    <row r="39" spans="2:7" s="124" customFormat="1" ht="12.75">
      <c r="B39" s="204"/>
      <c r="C39" s="246"/>
      <c r="D39" s="246"/>
      <c r="E39" s="246"/>
      <c r="F39" s="246"/>
      <c r="G39" s="246"/>
    </row>
    <row r="40" spans="2:7" s="124" customFormat="1" ht="12.75">
      <c r="B40" s="204"/>
      <c r="C40" s="246"/>
      <c r="D40" s="246"/>
      <c r="E40" s="246"/>
      <c r="F40" s="246"/>
      <c r="G40" s="246"/>
    </row>
    <row r="41" spans="2:7" s="124" customFormat="1" ht="12.75">
      <c r="B41" s="204"/>
      <c r="C41" s="246"/>
      <c r="D41" s="246"/>
      <c r="E41" s="246"/>
      <c r="F41" s="246"/>
      <c r="G41" s="246"/>
    </row>
    <row r="42" spans="2:7" s="124" customFormat="1" ht="12.75">
      <c r="B42" s="204"/>
      <c r="C42" s="246"/>
      <c r="D42" s="246"/>
      <c r="E42" s="246"/>
      <c r="F42" s="246"/>
      <c r="G42" s="246"/>
    </row>
    <row r="43" spans="2:7" s="124" customFormat="1" ht="12.75">
      <c r="B43" s="204"/>
      <c r="C43" s="246"/>
      <c r="D43" s="246"/>
      <c r="E43" s="246"/>
      <c r="F43" s="246"/>
      <c r="G43" s="246"/>
    </row>
    <row r="44" spans="2:7" s="124" customFormat="1" ht="12.75">
      <c r="B44" s="204"/>
      <c r="C44" s="246"/>
      <c r="D44" s="246"/>
      <c r="E44" s="246"/>
      <c r="F44" s="246"/>
      <c r="G44" s="246"/>
    </row>
    <row r="45" spans="2:7" s="124" customFormat="1" ht="12.75">
      <c r="B45" s="204"/>
      <c r="C45" s="246"/>
      <c r="D45" s="246"/>
      <c r="E45" s="246"/>
      <c r="F45" s="246"/>
      <c r="G45" s="246"/>
    </row>
    <row r="46" spans="2:7" s="124" customFormat="1" ht="12.75">
      <c r="B46" s="348"/>
      <c r="C46" s="246"/>
      <c r="D46" s="246"/>
      <c r="E46" s="246"/>
      <c r="F46" s="246"/>
      <c r="G46" s="246"/>
    </row>
    <row r="47" spans="2:7" s="124" customFormat="1" ht="12.75">
      <c r="B47" s="204"/>
      <c r="C47" s="246"/>
      <c r="D47" s="246"/>
      <c r="E47" s="246"/>
      <c r="F47" s="246"/>
      <c r="G47" s="246"/>
    </row>
    <row r="48" spans="3:7" s="124" customFormat="1" ht="12.75">
      <c r="C48" s="241"/>
      <c r="D48" s="241"/>
      <c r="E48" s="241"/>
      <c r="F48" s="241"/>
      <c r="G48" s="241"/>
    </row>
    <row r="49" spans="2:7" s="124" customFormat="1" ht="12.75">
      <c r="B49" s="348"/>
      <c r="C49" s="334"/>
      <c r="D49" s="334"/>
      <c r="E49" s="334"/>
      <c r="F49" s="334"/>
      <c r="G49" s="334"/>
    </row>
    <row r="50" spans="3:7" s="124" customFormat="1" ht="12.75">
      <c r="C50" s="241"/>
      <c r="D50" s="241"/>
      <c r="E50" s="241"/>
      <c r="F50" s="241"/>
      <c r="G50" s="241"/>
    </row>
    <row r="51" spans="2:3" ht="12.75" hidden="1">
      <c r="B51" s="210" t="s">
        <v>134</v>
      </c>
      <c r="C51" s="253"/>
    </row>
    <row r="52" spans="2:7" ht="12.75" hidden="1">
      <c r="B52" s="211" t="s">
        <v>87</v>
      </c>
      <c r="C52" s="242">
        <v>2015</v>
      </c>
      <c r="D52" s="242">
        <v>2016</v>
      </c>
      <c r="E52" s="242">
        <v>2017</v>
      </c>
      <c r="F52" s="242">
        <v>2018</v>
      </c>
      <c r="G52" s="242">
        <v>2019</v>
      </c>
    </row>
    <row r="53" spans="2:7" ht="12.75" hidden="1">
      <c r="B53" s="196" t="s">
        <v>90</v>
      </c>
      <c r="C53" s="231"/>
      <c r="D53" s="231"/>
      <c r="E53" s="231"/>
      <c r="F53" s="231"/>
      <c r="G53" s="231"/>
    </row>
    <row r="54" spans="2:7" ht="12.75" hidden="1">
      <c r="B54" s="201" t="s">
        <v>13</v>
      </c>
      <c r="C54" s="233" t="e">
        <f aca="true" t="shared" si="0" ref="C54:G59">+C37*I$22/$I$22</f>
        <v>#DIV/0!</v>
      </c>
      <c r="D54" s="233" t="e">
        <f t="shared" si="0"/>
        <v>#DIV/0!</v>
      </c>
      <c r="E54" s="233" t="e">
        <f t="shared" si="0"/>
        <v>#DIV/0!</v>
      </c>
      <c r="F54" s="233" t="e">
        <f t="shared" si="0"/>
        <v>#DIV/0!</v>
      </c>
      <c r="G54" s="233" t="e">
        <f t="shared" si="0"/>
        <v>#DIV/0!</v>
      </c>
    </row>
    <row r="55" spans="2:7" ht="12.75" hidden="1">
      <c r="B55" s="201" t="s">
        <v>83</v>
      </c>
      <c r="C55" s="233" t="e">
        <f t="shared" si="0"/>
        <v>#DIV/0!</v>
      </c>
      <c r="D55" s="233" t="e">
        <f t="shared" si="0"/>
        <v>#DIV/0!</v>
      </c>
      <c r="E55" s="233" t="e">
        <f t="shared" si="0"/>
        <v>#DIV/0!</v>
      </c>
      <c r="F55" s="233" t="e">
        <f t="shared" si="0"/>
        <v>#DIV/0!</v>
      </c>
      <c r="G55" s="233" t="e">
        <f t="shared" si="0"/>
        <v>#DIV/0!</v>
      </c>
    </row>
    <row r="56" spans="2:7" ht="12.75" hidden="1">
      <c r="B56" s="201" t="s">
        <v>15</v>
      </c>
      <c r="C56" s="233" t="e">
        <f t="shared" si="0"/>
        <v>#DIV/0!</v>
      </c>
      <c r="D56" s="233" t="e">
        <f t="shared" si="0"/>
        <v>#DIV/0!</v>
      </c>
      <c r="E56" s="233" t="e">
        <f t="shared" si="0"/>
        <v>#DIV/0!</v>
      </c>
      <c r="F56" s="233" t="e">
        <f t="shared" si="0"/>
        <v>#DIV/0!</v>
      </c>
      <c r="G56" s="233" t="e">
        <f t="shared" si="0"/>
        <v>#DIV/0!</v>
      </c>
    </row>
    <row r="57" spans="2:7" ht="12.75" hidden="1">
      <c r="B57" s="201" t="s">
        <v>17</v>
      </c>
      <c r="C57" s="233" t="e">
        <f t="shared" si="0"/>
        <v>#DIV/0!</v>
      </c>
      <c r="D57" s="233" t="e">
        <f t="shared" si="0"/>
        <v>#DIV/0!</v>
      </c>
      <c r="E57" s="233" t="e">
        <f t="shared" si="0"/>
        <v>#DIV/0!</v>
      </c>
      <c r="F57" s="233" t="e">
        <f t="shared" si="0"/>
        <v>#DIV/0!</v>
      </c>
      <c r="G57" s="233" t="e">
        <f t="shared" si="0"/>
        <v>#DIV/0!</v>
      </c>
    </row>
    <row r="58" spans="2:7" ht="12.75" hidden="1">
      <c r="B58" s="201" t="s">
        <v>18</v>
      </c>
      <c r="C58" s="233" t="e">
        <f t="shared" si="0"/>
        <v>#DIV/0!</v>
      </c>
      <c r="D58" s="233" t="e">
        <f t="shared" si="0"/>
        <v>#DIV/0!</v>
      </c>
      <c r="E58" s="233" t="e">
        <f t="shared" si="0"/>
        <v>#DIV/0!</v>
      </c>
      <c r="F58" s="233" t="e">
        <f t="shared" si="0"/>
        <v>#DIV/0!</v>
      </c>
      <c r="G58" s="233" t="e">
        <f t="shared" si="0"/>
        <v>#DIV/0!</v>
      </c>
    </row>
    <row r="59" spans="2:7" ht="12.75" hidden="1">
      <c r="B59" s="201" t="s">
        <v>19</v>
      </c>
      <c r="C59" s="233" t="e">
        <f t="shared" si="0"/>
        <v>#DIV/0!</v>
      </c>
      <c r="D59" s="233" t="e">
        <f t="shared" si="0"/>
        <v>#DIV/0!</v>
      </c>
      <c r="E59" s="233" t="e">
        <f t="shared" si="0"/>
        <v>#DIV/0!</v>
      </c>
      <c r="F59" s="233" t="e">
        <f t="shared" si="0"/>
        <v>#DIV/0!</v>
      </c>
      <c r="G59" s="233" t="e">
        <f t="shared" si="0"/>
        <v>#DIV/0!</v>
      </c>
    </row>
    <row r="60" spans="2:7" ht="12.75" hidden="1">
      <c r="B60" s="201" t="s">
        <v>91</v>
      </c>
      <c r="C60" s="233" t="e">
        <f>+C45*I$22/$I$22</f>
        <v>#DIV/0!</v>
      </c>
      <c r="D60" s="233" t="e">
        <f>+D45*J$22/$I$22</f>
        <v>#DIV/0!</v>
      </c>
      <c r="E60" s="233" t="e">
        <f>+E45*K$22/$I$22</f>
        <v>#DIV/0!</v>
      </c>
      <c r="F60" s="233" t="e">
        <f>+F45*L$22/$I$22</f>
        <v>#DIV/0!</v>
      </c>
      <c r="G60" s="233" t="e">
        <f>+G45*M$22/$I$22</f>
        <v>#DIV/0!</v>
      </c>
    </row>
    <row r="61" spans="2:7" ht="12.75" hidden="1">
      <c r="B61" s="196" t="s">
        <v>20</v>
      </c>
      <c r="C61" s="233" t="e">
        <f>+C46*I$22/$I$22</f>
        <v>#DIV/0!</v>
      </c>
      <c r="D61" s="233" t="e">
        <f>+D46*J$22/$I$22</f>
        <v>#DIV/0!</v>
      </c>
      <c r="E61" s="233" t="e">
        <f>+E46*K$22/$I$22</f>
        <v>#DIV/0!</v>
      </c>
      <c r="F61" s="233" t="e">
        <f>+F46*L$22/$I$22</f>
        <v>#DIV/0!</v>
      </c>
      <c r="G61" s="233" t="e">
        <f>+G46*M$22/$I$22</f>
        <v>#DIV/0!</v>
      </c>
    </row>
    <row r="62" spans="2:7" ht="12.75" hidden="1">
      <c r="B62" s="201" t="s">
        <v>99</v>
      </c>
      <c r="C62" s="233" t="e">
        <f>+C47*I$22/$I$22</f>
        <v>#DIV/0!</v>
      </c>
      <c r="D62" s="233" t="e">
        <f>+D47*J$22/$I$22</f>
        <v>#DIV/0!</v>
      </c>
      <c r="E62" s="233" t="e">
        <f>+E47*K$22/$I$22</f>
        <v>#DIV/0!</v>
      </c>
      <c r="F62" s="233" t="e">
        <f>+F47*L$22/$I$22</f>
        <v>#DIV/0!</v>
      </c>
      <c r="G62" s="233" t="e">
        <f>+G47*M$22/$I$22</f>
        <v>#DIV/0!</v>
      </c>
    </row>
    <row r="63" ht="9.75" customHeight="1" hidden="1"/>
    <row r="64" spans="2:7" ht="13.5" hidden="1" thickBot="1">
      <c r="B64" s="252" t="s">
        <v>116</v>
      </c>
      <c r="C64" s="254" t="e">
        <f>SUM(C54:C60,C62)</f>
        <v>#DIV/0!</v>
      </c>
      <c r="D64" s="254" t="e">
        <f>SUM(D54:D60,D62)</f>
        <v>#DIV/0!</v>
      </c>
      <c r="E64" s="254" t="e">
        <f>SUM(E54:E60,E62)</f>
        <v>#DIV/0!</v>
      </c>
      <c r="F64" s="254" t="e">
        <f>SUM(F54:F60,F62)</f>
        <v>#DIV/0!</v>
      </c>
      <c r="G64" s="254" t="e">
        <f>SUM(G54:G60,G62)</f>
        <v>#DIV/0!</v>
      </c>
    </row>
    <row r="65" ht="13.5" hidden="1" thickTop="1"/>
  </sheetData>
  <sheetProtection/>
  <mergeCells count="1">
    <mergeCell ref="I20:N20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7">
    <tabColor theme="9" tint="0.39998000860214233"/>
  </sheetPr>
  <dimension ref="A1:Y71"/>
  <sheetViews>
    <sheetView zoomScalePageLayoutView="0" workbookViewId="0" topLeftCell="A1">
      <pane xSplit="2" ySplit="2" topLeftCell="L3" activePane="bottomRight" state="frozen"/>
      <selection pane="topLeft" activeCell="S37" sqref="S37"/>
      <selection pane="topRight" activeCell="S37" sqref="S37"/>
      <selection pane="bottomLeft" activeCell="S37" sqref="S37"/>
      <selection pane="bottomRight" activeCell="O37" sqref="O37"/>
    </sheetView>
  </sheetViews>
  <sheetFormatPr defaultColWidth="11.421875" defaultRowHeight="15"/>
  <cols>
    <col min="1" max="1" width="11.28125" style="124" customWidth="1"/>
    <col min="2" max="2" width="42.00390625" style="72" bestFit="1" customWidth="1"/>
    <col min="3" max="3" width="29.00390625" style="221" bestFit="1" customWidth="1"/>
    <col min="4" max="4" width="16.7109375" style="221" bestFit="1" customWidth="1"/>
    <col min="5" max="5" width="14.28125" style="221" bestFit="1" customWidth="1"/>
    <col min="6" max="7" width="14.8515625" style="221" bestFit="1" customWidth="1"/>
    <col min="8" max="13" width="12.57421875" style="221" bestFit="1" customWidth="1"/>
    <col min="14" max="14" width="11.421875" style="221" customWidth="1"/>
    <col min="15" max="15" width="11.00390625" style="221" bestFit="1" customWidth="1"/>
    <col min="16" max="19" width="11.421875" style="221" customWidth="1"/>
    <col min="20" max="20" width="10.8515625" style="221" bestFit="1" customWidth="1"/>
    <col min="21" max="24" width="11.421875" style="221" customWidth="1"/>
    <col min="25" max="16384" width="11.421875" style="72" customWidth="1"/>
  </cols>
  <sheetData>
    <row r="1" ht="12.75">
      <c r="B1" s="210" t="s">
        <v>14</v>
      </c>
    </row>
    <row r="2" spans="2:24" ht="12.75">
      <c r="B2" s="211" t="s">
        <v>95</v>
      </c>
      <c r="C2" s="222">
        <v>1998</v>
      </c>
      <c r="D2" s="222">
        <v>1999</v>
      </c>
      <c r="E2" s="222">
        <v>2000</v>
      </c>
      <c r="F2" s="222">
        <v>2001</v>
      </c>
      <c r="G2" s="222">
        <v>2002</v>
      </c>
      <c r="H2" s="222">
        <v>2003</v>
      </c>
      <c r="I2" s="222">
        <v>2004</v>
      </c>
      <c r="J2" s="222">
        <v>2005</v>
      </c>
      <c r="K2" s="222">
        <v>2006</v>
      </c>
      <c r="L2" s="250">
        <v>2007</v>
      </c>
      <c r="M2" s="250">
        <v>2008</v>
      </c>
      <c r="N2" s="250">
        <v>2009</v>
      </c>
      <c r="O2" s="250">
        <v>2010</v>
      </c>
      <c r="P2" s="250">
        <v>2011</v>
      </c>
      <c r="Q2" s="250">
        <v>2012</v>
      </c>
      <c r="R2" s="250">
        <v>2013</v>
      </c>
      <c r="S2" s="250">
        <v>2014</v>
      </c>
      <c r="T2" s="250">
        <v>2015</v>
      </c>
      <c r="U2" s="250">
        <v>2016</v>
      </c>
      <c r="V2" s="250">
        <v>2017</v>
      </c>
      <c r="W2" s="250">
        <v>2018</v>
      </c>
      <c r="X2" s="250">
        <v>2019</v>
      </c>
    </row>
    <row r="3" spans="2:24" ht="12.75">
      <c r="B3" s="196" t="s">
        <v>13</v>
      </c>
      <c r="C3" s="223">
        <f>+C4+C5</f>
        <v>0</v>
      </c>
      <c r="D3" s="223">
        <f>+D4+D5</f>
        <v>0</v>
      </c>
      <c r="E3" s="223">
        <f aca="true" t="shared" si="0" ref="E3:T3">+E4+E5</f>
        <v>116051</v>
      </c>
      <c r="F3" s="223">
        <f t="shared" si="0"/>
        <v>20562.21</v>
      </c>
      <c r="G3" s="223">
        <f t="shared" si="0"/>
        <v>47265.270000000004</v>
      </c>
      <c r="H3" s="223">
        <f t="shared" si="0"/>
        <v>22707.218</v>
      </c>
      <c r="I3" s="223">
        <f t="shared" si="0"/>
        <v>25356.079999999998</v>
      </c>
      <c r="J3" s="223">
        <f t="shared" si="0"/>
        <v>22341.350000000002</v>
      </c>
      <c r="K3" s="223">
        <f t="shared" si="0"/>
        <v>20652.190000000002</v>
      </c>
      <c r="L3" s="223">
        <f t="shared" si="0"/>
        <v>46303.3</v>
      </c>
      <c r="M3" s="223">
        <f t="shared" si="0"/>
        <v>51701.85</v>
      </c>
      <c r="N3" s="223">
        <f t="shared" si="0"/>
        <v>70417.94</v>
      </c>
      <c r="O3" s="223">
        <f t="shared" si="0"/>
        <v>149772</v>
      </c>
      <c r="P3" s="223">
        <f t="shared" si="0"/>
        <v>339132.89</v>
      </c>
      <c r="Q3" s="223">
        <f t="shared" si="0"/>
        <v>371268.53</v>
      </c>
      <c r="R3" s="223">
        <f t="shared" si="0"/>
        <v>211166</v>
      </c>
      <c r="S3" s="223">
        <f t="shared" si="0"/>
        <v>313211</v>
      </c>
      <c r="T3" s="224">
        <f t="shared" si="0"/>
        <v>252810.06666666665</v>
      </c>
      <c r="U3" s="224">
        <f>+U4+U5</f>
        <v>254786.79999999996</v>
      </c>
      <c r="V3" s="224">
        <f>+V4+V5</f>
        <v>254786.79999999996</v>
      </c>
      <c r="W3" s="224">
        <f>+W4+W5</f>
        <v>254786.79999999996</v>
      </c>
      <c r="X3" s="224">
        <f>+X4+X5</f>
        <v>254786.79999999996</v>
      </c>
    </row>
    <row r="4" spans="2:24" ht="12.75">
      <c r="B4" s="201" t="s">
        <v>22</v>
      </c>
      <c r="C4" s="225"/>
      <c r="D4" s="226">
        <v>0</v>
      </c>
      <c r="E4" s="226">
        <v>112831</v>
      </c>
      <c r="F4" s="226">
        <v>20562.21</v>
      </c>
      <c r="G4" s="226">
        <v>47265.270000000004</v>
      </c>
      <c r="H4" s="226">
        <v>21795.328</v>
      </c>
      <c r="I4" s="226">
        <v>25356.079999999998</v>
      </c>
      <c r="J4" s="227">
        <v>22341.350000000002</v>
      </c>
      <c r="K4" s="227">
        <v>20652.190000000002</v>
      </c>
      <c r="L4" s="227">
        <v>24745.969999999998</v>
      </c>
      <c r="M4" s="227">
        <v>51701.85</v>
      </c>
      <c r="N4" s="227">
        <v>70417.94</v>
      </c>
      <c r="O4" s="227">
        <v>80173</v>
      </c>
      <c r="P4" s="227">
        <v>121872</v>
      </c>
      <c r="Q4" s="227">
        <v>88106.53</v>
      </c>
      <c r="R4" s="227">
        <v>74473</v>
      </c>
      <c r="S4" s="227">
        <v>106627</v>
      </c>
      <c r="T4" s="228">
        <f>+'3.1.1 Resumen Proyecciones'!T8</f>
        <v>95192.4</v>
      </c>
      <c r="U4" s="228">
        <f>+'3.1.1 Resumen Proyecciones'!U8</f>
        <v>98910.79999999999</v>
      </c>
      <c r="V4" s="228">
        <f>+'3.1.1 Resumen Proyecciones'!V8</f>
        <v>98910.79999999999</v>
      </c>
      <c r="W4" s="228">
        <f>+'3.1.1 Resumen Proyecciones'!W8</f>
        <v>98910.79999999999</v>
      </c>
      <c r="X4" s="228">
        <f>+'3.1.1 Resumen Proyecciones'!X8</f>
        <v>98910.79999999999</v>
      </c>
    </row>
    <row r="5" spans="2:24" ht="12.75">
      <c r="B5" s="201" t="s">
        <v>23</v>
      </c>
      <c r="C5" s="225"/>
      <c r="D5" s="226"/>
      <c r="E5" s="226">
        <v>3220</v>
      </c>
      <c r="F5" s="226"/>
      <c r="G5" s="226"/>
      <c r="H5" s="226">
        <v>911.89</v>
      </c>
      <c r="I5" s="226"/>
      <c r="J5" s="227"/>
      <c r="K5" s="227"/>
      <c r="L5" s="227">
        <v>21557.33</v>
      </c>
      <c r="M5" s="227"/>
      <c r="N5" s="227"/>
      <c r="O5" s="227">
        <v>69599</v>
      </c>
      <c r="P5" s="227">
        <v>217260.88999999998</v>
      </c>
      <c r="Q5" s="227">
        <v>283162</v>
      </c>
      <c r="R5" s="227">
        <v>136693</v>
      </c>
      <c r="S5" s="227">
        <v>206584</v>
      </c>
      <c r="T5" s="228">
        <f>+'3.1.1 Resumen Proyecciones'!T10</f>
        <v>157617.66666666666</v>
      </c>
      <c r="U5" s="228">
        <f>+'3.1.1 Resumen Proyecciones'!U10</f>
        <v>155875.99999999997</v>
      </c>
      <c r="V5" s="228">
        <f>+'3.1.1 Resumen Proyecciones'!V10</f>
        <v>155875.99999999997</v>
      </c>
      <c r="W5" s="228">
        <f>+'3.1.1 Resumen Proyecciones'!W10</f>
        <v>155875.99999999997</v>
      </c>
      <c r="X5" s="228">
        <f>+'3.1.1 Resumen Proyecciones'!X10</f>
        <v>155875.99999999997</v>
      </c>
    </row>
    <row r="6" spans="2:24" ht="12.75">
      <c r="B6" s="212" t="s">
        <v>83</v>
      </c>
      <c r="C6" s="229"/>
      <c r="D6" s="229">
        <f aca="true" t="shared" si="1" ref="D6:X6">SUM(D7:D8)</f>
        <v>0</v>
      </c>
      <c r="E6" s="229">
        <f t="shared" si="1"/>
        <v>0</v>
      </c>
      <c r="F6" s="229">
        <f t="shared" si="1"/>
        <v>0</v>
      </c>
      <c r="G6" s="229">
        <f t="shared" si="1"/>
        <v>433.24</v>
      </c>
      <c r="H6" s="229">
        <f t="shared" si="1"/>
        <v>285.52</v>
      </c>
      <c r="I6" s="229">
        <f t="shared" si="1"/>
        <v>848.9100000000001</v>
      </c>
      <c r="J6" s="229">
        <f t="shared" si="1"/>
        <v>651.97</v>
      </c>
      <c r="K6" s="229">
        <f t="shared" si="1"/>
        <v>1051.19</v>
      </c>
      <c r="L6" s="229">
        <f t="shared" si="1"/>
        <v>300.35</v>
      </c>
      <c r="M6" s="229">
        <f t="shared" si="1"/>
        <v>280.71999999999997</v>
      </c>
      <c r="N6" s="229">
        <f t="shared" si="1"/>
        <v>303.19</v>
      </c>
      <c r="O6" s="229">
        <f t="shared" si="1"/>
        <v>401</v>
      </c>
      <c r="P6" s="229">
        <f t="shared" si="1"/>
        <v>153.59</v>
      </c>
      <c r="Q6" s="229">
        <f t="shared" si="1"/>
        <v>79</v>
      </c>
      <c r="R6" s="229">
        <f t="shared" si="1"/>
        <v>164</v>
      </c>
      <c r="S6" s="229">
        <f t="shared" si="1"/>
        <v>1094</v>
      </c>
      <c r="T6" s="230">
        <f t="shared" si="1"/>
        <v>0</v>
      </c>
      <c r="U6" s="230">
        <f t="shared" si="1"/>
        <v>0</v>
      </c>
      <c r="V6" s="230">
        <f t="shared" si="1"/>
        <v>0</v>
      </c>
      <c r="W6" s="230">
        <f t="shared" si="1"/>
        <v>0</v>
      </c>
      <c r="X6" s="230">
        <f t="shared" si="1"/>
        <v>0</v>
      </c>
    </row>
    <row r="7" spans="2:24" ht="12.75">
      <c r="B7" s="201" t="s">
        <v>22</v>
      </c>
      <c r="C7" s="231"/>
      <c r="D7" s="232">
        <v>0</v>
      </c>
      <c r="E7" s="232">
        <v>0</v>
      </c>
      <c r="F7" s="232">
        <v>0</v>
      </c>
      <c r="G7" s="232">
        <v>0</v>
      </c>
      <c r="H7" s="232">
        <v>0</v>
      </c>
      <c r="I7" s="232">
        <v>0</v>
      </c>
      <c r="J7" s="233">
        <v>0</v>
      </c>
      <c r="K7" s="233">
        <v>0</v>
      </c>
      <c r="L7" s="233">
        <v>0</v>
      </c>
      <c r="M7" s="233">
        <v>0</v>
      </c>
      <c r="N7" s="233">
        <v>0</v>
      </c>
      <c r="O7" s="233">
        <v>0</v>
      </c>
      <c r="P7" s="233">
        <v>0</v>
      </c>
      <c r="Q7" s="233">
        <v>0</v>
      </c>
      <c r="R7" s="233">
        <v>0</v>
      </c>
      <c r="S7" s="233">
        <v>0</v>
      </c>
      <c r="T7" s="234">
        <f>+S7</f>
        <v>0</v>
      </c>
      <c r="U7" s="234">
        <f>+T7</f>
        <v>0</v>
      </c>
      <c r="V7" s="234">
        <f>+U7</f>
        <v>0</v>
      </c>
      <c r="W7" s="234">
        <f>+V7</f>
        <v>0</v>
      </c>
      <c r="X7" s="234">
        <f>+W7</f>
        <v>0</v>
      </c>
    </row>
    <row r="8" spans="2:24" ht="12.75">
      <c r="B8" s="201" t="s">
        <v>23</v>
      </c>
      <c r="C8" s="231"/>
      <c r="D8" s="233">
        <v>0</v>
      </c>
      <c r="E8" s="233">
        <v>0</v>
      </c>
      <c r="F8" s="233">
        <v>0</v>
      </c>
      <c r="G8" s="233">
        <v>433.24</v>
      </c>
      <c r="H8" s="233">
        <v>285.52</v>
      </c>
      <c r="I8" s="233">
        <v>848.9100000000001</v>
      </c>
      <c r="J8" s="233">
        <v>651.97</v>
      </c>
      <c r="K8" s="233">
        <v>1051.19</v>
      </c>
      <c r="L8" s="233">
        <v>300.35</v>
      </c>
      <c r="M8" s="233">
        <v>280.71999999999997</v>
      </c>
      <c r="N8" s="233">
        <v>303.19</v>
      </c>
      <c r="O8" s="233">
        <v>401</v>
      </c>
      <c r="P8" s="233">
        <v>153.59</v>
      </c>
      <c r="Q8" s="233">
        <v>79</v>
      </c>
      <c r="R8" s="233">
        <v>164</v>
      </c>
      <c r="S8" s="233">
        <v>1094</v>
      </c>
      <c r="T8" s="228">
        <f>+'3.1.1 Resumen Proyecciones'!T12</f>
        <v>0</v>
      </c>
      <c r="U8" s="228">
        <f>+'3.1.1 Resumen Proyecciones'!U12</f>
        <v>0</v>
      </c>
      <c r="V8" s="228">
        <f>+'3.1.1 Resumen Proyecciones'!V12</f>
        <v>0</v>
      </c>
      <c r="W8" s="228">
        <f>+'3.1.1 Resumen Proyecciones'!W12</f>
        <v>0</v>
      </c>
      <c r="X8" s="228">
        <f>+'3.1.1 Resumen Proyecciones'!X12</f>
        <v>0</v>
      </c>
    </row>
    <row r="9" spans="2:24" ht="12.75">
      <c r="B9" s="196" t="s">
        <v>15</v>
      </c>
      <c r="C9" s="223"/>
      <c r="D9" s="223">
        <f aca="true" t="shared" si="2" ref="D9:T9">+D10+D11</f>
        <v>103849.084</v>
      </c>
      <c r="E9" s="223">
        <f t="shared" si="2"/>
        <v>69970</v>
      </c>
      <c r="F9" s="223">
        <f t="shared" si="2"/>
        <v>69782.66</v>
      </c>
      <c r="G9" s="223">
        <f t="shared" si="2"/>
        <v>160938.568</v>
      </c>
      <c r="H9" s="223">
        <f t="shared" si="2"/>
        <v>64700.915</v>
      </c>
      <c r="I9" s="223">
        <f t="shared" si="2"/>
        <v>138946.9</v>
      </c>
      <c r="J9" s="223">
        <f t="shared" si="2"/>
        <v>100015.60999999999</v>
      </c>
      <c r="K9" s="223">
        <f t="shared" si="2"/>
        <v>66486.25</v>
      </c>
      <c r="L9" s="223">
        <f t="shared" si="2"/>
        <v>44002.28999999999</v>
      </c>
      <c r="M9" s="223">
        <f t="shared" si="2"/>
        <v>94745.2906554</v>
      </c>
      <c r="N9" s="223">
        <f t="shared" si="2"/>
        <v>89678.376</v>
      </c>
      <c r="O9" s="223">
        <f t="shared" si="2"/>
        <v>101133</v>
      </c>
      <c r="P9" s="223">
        <f t="shared" si="2"/>
        <v>173679.89500000002</v>
      </c>
      <c r="Q9" s="223">
        <f t="shared" si="2"/>
        <v>169404.66999999998</v>
      </c>
      <c r="R9" s="223">
        <f t="shared" si="2"/>
        <v>177987</v>
      </c>
      <c r="S9" s="223">
        <f t="shared" si="2"/>
        <v>88416</v>
      </c>
      <c r="T9" s="224">
        <f t="shared" si="2"/>
        <v>90615.02917367722</v>
      </c>
      <c r="U9" s="224">
        <f>SUM(U10:U11)</f>
        <v>93173.08887619503</v>
      </c>
      <c r="V9" s="224">
        <f>SUM(V10:V11)</f>
        <v>93173.08887619503</v>
      </c>
      <c r="W9" s="224">
        <f>SUM(W10:W11)</f>
        <v>93173.08887619503</v>
      </c>
      <c r="X9" s="224">
        <f>SUM(X10:X11)</f>
        <v>93173.08887619503</v>
      </c>
    </row>
    <row r="10" spans="2:24" ht="12.75">
      <c r="B10" s="201" t="s">
        <v>22</v>
      </c>
      <c r="C10" s="231"/>
      <c r="D10" s="232">
        <v>61842.872</v>
      </c>
      <c r="E10" s="232">
        <v>23746</v>
      </c>
      <c r="F10" s="232">
        <v>37786.659999999996</v>
      </c>
      <c r="G10" s="232">
        <v>30027.308</v>
      </c>
      <c r="H10" s="232">
        <v>323.21</v>
      </c>
      <c r="I10" s="232">
        <v>17427.539999999997</v>
      </c>
      <c r="J10" s="233">
        <v>12878.97</v>
      </c>
      <c r="K10" s="233">
        <v>12585.51</v>
      </c>
      <c r="L10" s="233">
        <v>16758.239999999998</v>
      </c>
      <c r="M10" s="233">
        <v>19136.720999999998</v>
      </c>
      <c r="N10" s="233">
        <v>13356.241</v>
      </c>
      <c r="O10" s="233">
        <v>6329</v>
      </c>
      <c r="P10" s="232">
        <v>15948.39</v>
      </c>
      <c r="Q10" s="233">
        <v>23196.64</v>
      </c>
      <c r="R10" s="233">
        <v>6055</v>
      </c>
      <c r="S10" s="233">
        <v>7</v>
      </c>
      <c r="T10" s="228">
        <f>+'3.1.1 Resumen Proyecciones'!T14</f>
        <v>0</v>
      </c>
      <c r="U10" s="228">
        <f>+'3.1.1 Resumen Proyecciones'!U14</f>
        <v>0</v>
      </c>
      <c r="V10" s="228">
        <f>+'3.1.1 Resumen Proyecciones'!V14</f>
        <v>0</v>
      </c>
      <c r="W10" s="228">
        <f>+'3.1.1 Resumen Proyecciones'!W14</f>
        <v>0</v>
      </c>
      <c r="X10" s="228">
        <f>+'3.1.1 Resumen Proyecciones'!X14</f>
        <v>0</v>
      </c>
    </row>
    <row r="11" spans="2:24" ht="12.75">
      <c r="B11" s="201" t="s">
        <v>23</v>
      </c>
      <c r="C11" s="231"/>
      <c r="D11" s="232">
        <v>42006.21199999999</v>
      </c>
      <c r="E11" s="232">
        <v>46224</v>
      </c>
      <c r="F11" s="232">
        <v>31996</v>
      </c>
      <c r="G11" s="232">
        <v>130911.26000000001</v>
      </c>
      <c r="H11" s="232">
        <v>64377.705</v>
      </c>
      <c r="I11" s="232">
        <v>121519.35999999999</v>
      </c>
      <c r="J11" s="233">
        <v>87136.63999999998</v>
      </c>
      <c r="K11" s="233">
        <v>53900.74</v>
      </c>
      <c r="L11" s="233">
        <v>27244.05</v>
      </c>
      <c r="M11" s="233">
        <v>75608.5696554</v>
      </c>
      <c r="N11" s="233">
        <v>76322.13500000001</v>
      </c>
      <c r="O11" s="233">
        <v>94804</v>
      </c>
      <c r="P11" s="232">
        <v>157731.505</v>
      </c>
      <c r="Q11" s="233">
        <v>146208.03</v>
      </c>
      <c r="R11" s="233">
        <v>171932</v>
      </c>
      <c r="S11" s="233">
        <v>88409</v>
      </c>
      <c r="T11" s="228">
        <f>+'3.1.1 Resumen Proyecciones'!T16</f>
        <v>90615.02917367722</v>
      </c>
      <c r="U11" s="228">
        <f>+'3.1.1 Resumen Proyecciones'!U16</f>
        <v>93173.08887619503</v>
      </c>
      <c r="V11" s="228">
        <f>+'3.1.1 Resumen Proyecciones'!V16</f>
        <v>93173.08887619503</v>
      </c>
      <c r="W11" s="228">
        <f>+'3.1.1 Resumen Proyecciones'!W16</f>
        <v>93173.08887619503</v>
      </c>
      <c r="X11" s="228">
        <f>+'3.1.1 Resumen Proyecciones'!X16</f>
        <v>93173.08887619503</v>
      </c>
    </row>
    <row r="12" spans="2:24" ht="12.75">
      <c r="B12" s="212" t="s">
        <v>17</v>
      </c>
      <c r="C12" s="229"/>
      <c r="D12" s="229">
        <f aca="true" t="shared" si="3" ref="D12:T12">SUM(D13:D14)</f>
        <v>0</v>
      </c>
      <c r="E12" s="229">
        <f t="shared" si="3"/>
        <v>7798</v>
      </c>
      <c r="F12" s="229">
        <f t="shared" si="3"/>
        <v>5247.891</v>
      </c>
      <c r="G12" s="229">
        <f t="shared" si="3"/>
        <v>5827.677</v>
      </c>
      <c r="H12" s="229">
        <f t="shared" si="3"/>
        <v>2130.33</v>
      </c>
      <c r="I12" s="229">
        <f t="shared" si="3"/>
        <v>2319.055</v>
      </c>
      <c r="J12" s="229">
        <f t="shared" si="3"/>
        <v>607.76</v>
      </c>
      <c r="K12" s="229">
        <f t="shared" si="3"/>
        <v>224.52200000000002</v>
      </c>
      <c r="L12" s="229">
        <f t="shared" si="3"/>
        <v>41.59</v>
      </c>
      <c r="M12" s="229">
        <f t="shared" si="3"/>
        <v>0</v>
      </c>
      <c r="N12" s="229">
        <f t="shared" si="3"/>
        <v>5.45</v>
      </c>
      <c r="O12" s="229">
        <f t="shared" si="3"/>
        <v>0</v>
      </c>
      <c r="P12" s="229">
        <f t="shared" si="3"/>
        <v>0</v>
      </c>
      <c r="Q12" s="229">
        <f t="shared" si="3"/>
        <v>0</v>
      </c>
      <c r="R12" s="229">
        <f t="shared" si="3"/>
        <v>0</v>
      </c>
      <c r="S12" s="229">
        <f t="shared" si="3"/>
        <v>0</v>
      </c>
      <c r="T12" s="235">
        <f t="shared" si="3"/>
        <v>0</v>
      </c>
      <c r="U12" s="235">
        <f>SUM(U13:U14)</f>
        <v>0</v>
      </c>
      <c r="V12" s="235">
        <f>SUM(V13:V14)</f>
        <v>0</v>
      </c>
      <c r="W12" s="235">
        <f>SUM(W13:W14)</f>
        <v>0</v>
      </c>
      <c r="X12" s="235">
        <f>SUM(X13:X14)</f>
        <v>0</v>
      </c>
    </row>
    <row r="13" spans="2:24" ht="12.75">
      <c r="B13" s="201" t="s">
        <v>22</v>
      </c>
      <c r="C13" s="231"/>
      <c r="D13" s="233">
        <v>0</v>
      </c>
      <c r="E13" s="233">
        <v>7798</v>
      </c>
      <c r="F13" s="233">
        <v>5247.891</v>
      </c>
      <c r="G13" s="233">
        <v>5827.677</v>
      </c>
      <c r="H13" s="233">
        <v>2130.33</v>
      </c>
      <c r="I13" s="233">
        <v>2319.055</v>
      </c>
      <c r="J13" s="233">
        <v>607.76</v>
      </c>
      <c r="K13" s="233">
        <v>224.52200000000002</v>
      </c>
      <c r="L13" s="233">
        <v>41.59</v>
      </c>
      <c r="M13" s="233">
        <v>0</v>
      </c>
      <c r="N13" s="233">
        <v>5.45</v>
      </c>
      <c r="O13" s="233">
        <v>0</v>
      </c>
      <c r="P13" s="233">
        <v>0</v>
      </c>
      <c r="Q13" s="233">
        <v>0</v>
      </c>
      <c r="R13" s="233">
        <v>0</v>
      </c>
      <c r="S13" s="233">
        <v>0</v>
      </c>
      <c r="T13" s="234">
        <f aca="true" t="shared" si="4" ref="T13:X14">+S13</f>
        <v>0</v>
      </c>
      <c r="U13" s="234">
        <f t="shared" si="4"/>
        <v>0</v>
      </c>
      <c r="V13" s="234">
        <f t="shared" si="4"/>
        <v>0</v>
      </c>
      <c r="W13" s="234">
        <f t="shared" si="4"/>
        <v>0</v>
      </c>
      <c r="X13" s="234">
        <f t="shared" si="4"/>
        <v>0</v>
      </c>
    </row>
    <row r="14" spans="2:24" ht="12.75">
      <c r="B14" s="201" t="s">
        <v>23</v>
      </c>
      <c r="C14" s="231"/>
      <c r="D14" s="233">
        <v>0</v>
      </c>
      <c r="E14" s="233">
        <v>0</v>
      </c>
      <c r="F14" s="233">
        <v>0</v>
      </c>
      <c r="G14" s="233">
        <v>0</v>
      </c>
      <c r="H14" s="233">
        <v>0</v>
      </c>
      <c r="I14" s="233">
        <v>0</v>
      </c>
      <c r="J14" s="233">
        <v>0</v>
      </c>
      <c r="K14" s="233">
        <v>0</v>
      </c>
      <c r="L14" s="233">
        <v>0</v>
      </c>
      <c r="M14" s="233">
        <v>0</v>
      </c>
      <c r="N14" s="233">
        <v>0</v>
      </c>
      <c r="O14" s="233">
        <v>0</v>
      </c>
      <c r="P14" s="233">
        <v>0</v>
      </c>
      <c r="Q14" s="233">
        <v>0</v>
      </c>
      <c r="R14" s="233">
        <v>0</v>
      </c>
      <c r="S14" s="233">
        <v>0</v>
      </c>
      <c r="T14" s="234">
        <f t="shared" si="4"/>
        <v>0</v>
      </c>
      <c r="U14" s="234">
        <f t="shared" si="4"/>
        <v>0</v>
      </c>
      <c r="V14" s="234">
        <f t="shared" si="4"/>
        <v>0</v>
      </c>
      <c r="W14" s="234">
        <f t="shared" si="4"/>
        <v>0</v>
      </c>
      <c r="X14" s="234">
        <f t="shared" si="4"/>
        <v>0</v>
      </c>
    </row>
    <row r="15" spans="2:24" ht="12.75">
      <c r="B15" s="212" t="s">
        <v>104</v>
      </c>
      <c r="C15" s="236"/>
      <c r="D15" s="236"/>
      <c r="E15" s="236">
        <f>SUM(E16:E19)</f>
        <v>5780</v>
      </c>
      <c r="F15" s="236">
        <f aca="true" t="shared" si="5" ref="F15:X15">SUM(F16:F19)</f>
        <v>3633</v>
      </c>
      <c r="G15" s="236">
        <f t="shared" si="5"/>
        <v>4519</v>
      </c>
      <c r="H15" s="236">
        <f t="shared" si="5"/>
        <v>3122</v>
      </c>
      <c r="I15" s="236">
        <f t="shared" si="5"/>
        <v>47</v>
      </c>
      <c r="J15" s="236">
        <f t="shared" si="5"/>
        <v>909</v>
      </c>
      <c r="K15" s="236">
        <f t="shared" si="5"/>
        <v>11624</v>
      </c>
      <c r="L15" s="236">
        <f t="shared" si="5"/>
        <v>15826</v>
      </c>
      <c r="M15" s="236">
        <f t="shared" si="5"/>
        <v>24687</v>
      </c>
      <c r="N15" s="236">
        <f t="shared" si="5"/>
        <v>5773</v>
      </c>
      <c r="O15" s="236">
        <f t="shared" si="5"/>
        <v>2754</v>
      </c>
      <c r="P15" s="236">
        <f t="shared" si="5"/>
        <v>9166</v>
      </c>
      <c r="Q15" s="236">
        <f t="shared" si="5"/>
        <v>2587</v>
      </c>
      <c r="R15" s="236">
        <f t="shared" si="5"/>
        <v>1498</v>
      </c>
      <c r="S15" s="236">
        <f t="shared" si="5"/>
        <v>2016</v>
      </c>
      <c r="T15" s="230">
        <f t="shared" si="5"/>
        <v>5345.5709345166715</v>
      </c>
      <c r="U15" s="230">
        <f t="shared" si="5"/>
        <v>5345.570910454995</v>
      </c>
      <c r="V15" s="230">
        <f t="shared" si="5"/>
        <v>5345.57088639332</v>
      </c>
      <c r="W15" s="230">
        <f t="shared" si="5"/>
        <v>5345.570862331643</v>
      </c>
      <c r="X15" s="230">
        <f t="shared" si="5"/>
        <v>5345.570838269968</v>
      </c>
    </row>
    <row r="16" spans="2:24" ht="12.75">
      <c r="B16" s="214" t="s">
        <v>84</v>
      </c>
      <c r="C16" s="237"/>
      <c r="D16" s="237"/>
      <c r="E16" s="231">
        <v>2669</v>
      </c>
      <c r="F16" s="231">
        <v>1568</v>
      </c>
      <c r="G16" s="231">
        <v>1757</v>
      </c>
      <c r="H16" s="231">
        <v>999</v>
      </c>
      <c r="I16" s="231">
        <v>0</v>
      </c>
      <c r="J16" s="231">
        <v>293</v>
      </c>
      <c r="K16" s="231">
        <v>3740</v>
      </c>
      <c r="L16" s="231">
        <v>6238</v>
      </c>
      <c r="M16" s="231">
        <v>8983</v>
      </c>
      <c r="N16" s="231">
        <v>2202</v>
      </c>
      <c r="O16" s="231">
        <v>1119</v>
      </c>
      <c r="P16" s="231">
        <v>4418</v>
      </c>
      <c r="Q16" s="231">
        <v>993</v>
      </c>
      <c r="R16" s="231">
        <v>689</v>
      </c>
      <c r="S16" s="231">
        <v>723</v>
      </c>
      <c r="T16" s="228">
        <f>+'3.1.1 Resumen Proyecciones'!T18</f>
        <v>2668.2720654991504</v>
      </c>
      <c r="U16" s="228">
        <f>+'3.1.1 Resumen Proyecciones'!U18</f>
        <v>2668.2720291356886</v>
      </c>
      <c r="V16" s="228">
        <f>+'3.1.1 Resumen Proyecciones'!V18</f>
        <v>2668.2719927722273</v>
      </c>
      <c r="W16" s="228">
        <f>+'3.1.1 Resumen Proyecciones'!W18</f>
        <v>2668.2719564087656</v>
      </c>
      <c r="X16" s="228">
        <f>+'3.1.1 Resumen Proyecciones'!X18</f>
        <v>2668.2719200453043</v>
      </c>
    </row>
    <row r="17" spans="2:24" ht="12.75">
      <c r="B17" s="214" t="s">
        <v>85</v>
      </c>
      <c r="C17" s="237"/>
      <c r="D17" s="237"/>
      <c r="E17" s="231">
        <v>843</v>
      </c>
      <c r="F17" s="231">
        <v>577</v>
      </c>
      <c r="G17" s="231">
        <v>1133</v>
      </c>
      <c r="H17" s="231">
        <v>1091</v>
      </c>
      <c r="I17" s="231">
        <v>7</v>
      </c>
      <c r="J17" s="231">
        <v>184</v>
      </c>
      <c r="K17" s="231">
        <v>2433</v>
      </c>
      <c r="L17" s="231">
        <v>3759</v>
      </c>
      <c r="M17" s="231">
        <v>5319</v>
      </c>
      <c r="N17" s="231">
        <v>1552</v>
      </c>
      <c r="O17" s="231">
        <v>392</v>
      </c>
      <c r="P17" s="231">
        <v>1559</v>
      </c>
      <c r="Q17" s="231">
        <v>160</v>
      </c>
      <c r="R17" s="231">
        <v>268</v>
      </c>
      <c r="S17" s="231">
        <v>379</v>
      </c>
      <c r="T17" s="228">
        <f>+'3.1.1 Resumen Proyecciones'!T20</f>
        <v>378.99999999988796</v>
      </c>
      <c r="U17" s="228">
        <f>+'3.1.1 Resumen Proyecciones'!U20</f>
        <v>378.99999999988796</v>
      </c>
      <c r="V17" s="228">
        <f>+'3.1.1 Resumen Proyecciones'!V20</f>
        <v>378.99999999988796</v>
      </c>
      <c r="W17" s="228">
        <f>+'3.1.1 Resumen Proyecciones'!W20</f>
        <v>378.99999999988796</v>
      </c>
      <c r="X17" s="228">
        <f>+'3.1.1 Resumen Proyecciones'!X20</f>
        <v>378.99999999988796</v>
      </c>
    </row>
    <row r="18" spans="2:24" ht="12.75">
      <c r="B18" s="214" t="s">
        <v>262</v>
      </c>
      <c r="C18" s="237"/>
      <c r="D18" s="237"/>
      <c r="E18" s="231">
        <v>1893</v>
      </c>
      <c r="F18" s="231">
        <v>1096</v>
      </c>
      <c r="G18" s="231">
        <v>1126</v>
      </c>
      <c r="H18" s="231">
        <v>509</v>
      </c>
      <c r="I18" s="231">
        <v>38</v>
      </c>
      <c r="J18" s="231">
        <v>204</v>
      </c>
      <c r="K18" s="231">
        <v>3294</v>
      </c>
      <c r="L18" s="231">
        <v>4812</v>
      </c>
      <c r="M18" s="231">
        <v>8656</v>
      </c>
      <c r="N18" s="231">
        <v>1663</v>
      </c>
      <c r="O18" s="231">
        <v>1035</v>
      </c>
      <c r="P18" s="231">
        <v>2718</v>
      </c>
      <c r="Q18" s="231">
        <v>1395</v>
      </c>
      <c r="R18" s="231">
        <v>411</v>
      </c>
      <c r="S18" s="231">
        <v>775</v>
      </c>
      <c r="T18" s="228">
        <f>+'3.1.1 Resumen Proyecciones'!T22</f>
        <v>1893.246026768329</v>
      </c>
      <c r="U18" s="228">
        <f>+'3.1.1 Resumen Proyecciones'!U22</f>
        <v>1893.2460390701146</v>
      </c>
      <c r="V18" s="228">
        <f>+'3.1.1 Resumen Proyecciones'!V22</f>
        <v>1893.2460513719004</v>
      </c>
      <c r="W18" s="228">
        <f>+'3.1.1 Resumen Proyecciones'!W22</f>
        <v>1893.246063673686</v>
      </c>
      <c r="X18" s="228">
        <f>+'3.1.1 Resumen Proyecciones'!X22</f>
        <v>1893.2460759754715</v>
      </c>
    </row>
    <row r="19" spans="2:24" ht="12.75">
      <c r="B19" s="214" t="s">
        <v>263</v>
      </c>
      <c r="C19" s="237"/>
      <c r="D19" s="237"/>
      <c r="E19" s="231">
        <v>375</v>
      </c>
      <c r="F19" s="231">
        <v>392</v>
      </c>
      <c r="G19" s="231">
        <v>503</v>
      </c>
      <c r="H19" s="231">
        <v>523</v>
      </c>
      <c r="I19" s="231">
        <v>2</v>
      </c>
      <c r="J19" s="231">
        <v>228</v>
      </c>
      <c r="K19" s="231">
        <v>2157</v>
      </c>
      <c r="L19" s="231">
        <v>1017</v>
      </c>
      <c r="M19" s="231">
        <v>1729</v>
      </c>
      <c r="N19" s="231">
        <v>356</v>
      </c>
      <c r="O19" s="231">
        <v>208</v>
      </c>
      <c r="P19" s="231">
        <v>471</v>
      </c>
      <c r="Q19" s="231">
        <v>39</v>
      </c>
      <c r="R19" s="231">
        <v>130</v>
      </c>
      <c r="S19" s="231">
        <v>139</v>
      </c>
      <c r="T19" s="228">
        <f>+'3.1.1 Resumen Proyecciones'!T24</f>
        <v>405.0528422493038</v>
      </c>
      <c r="U19" s="228">
        <f>+'3.1.1 Resumen Proyecciones'!U24</f>
        <v>405.0528422493038</v>
      </c>
      <c r="V19" s="228">
        <f>+'3.1.1 Resumen Proyecciones'!V24</f>
        <v>405.0528422493038</v>
      </c>
      <c r="W19" s="228">
        <f>+'3.1.1 Resumen Proyecciones'!W24</f>
        <v>405.0528422493038</v>
      </c>
      <c r="X19" s="228">
        <f>+'3.1.1 Resumen Proyecciones'!X24</f>
        <v>405.0528422493038</v>
      </c>
    </row>
    <row r="20" spans="2:24" ht="12.75">
      <c r="B20" s="213" t="s">
        <v>94</v>
      </c>
      <c r="C20" s="229"/>
      <c r="D20" s="229">
        <v>0</v>
      </c>
      <c r="E20" s="229">
        <v>0</v>
      </c>
      <c r="F20" s="229">
        <v>0</v>
      </c>
      <c r="G20" s="229">
        <v>0</v>
      </c>
      <c r="H20" s="229">
        <v>0</v>
      </c>
      <c r="I20" s="229">
        <v>0</v>
      </c>
      <c r="J20" s="229">
        <v>0</v>
      </c>
      <c r="K20" s="229">
        <v>0</v>
      </c>
      <c r="L20" s="229">
        <v>0</v>
      </c>
      <c r="M20" s="229">
        <v>0</v>
      </c>
      <c r="N20" s="229">
        <v>0</v>
      </c>
      <c r="O20" s="229">
        <v>0</v>
      </c>
      <c r="P20" s="229">
        <v>0</v>
      </c>
      <c r="Q20" s="229">
        <v>0</v>
      </c>
      <c r="R20" s="229">
        <v>0</v>
      </c>
      <c r="S20" s="229">
        <v>0</v>
      </c>
      <c r="T20" s="224">
        <f>+S20</f>
        <v>0</v>
      </c>
      <c r="U20" s="224">
        <f>+T20</f>
        <v>0</v>
      </c>
      <c r="V20" s="224">
        <f>+U20</f>
        <v>0</v>
      </c>
      <c r="W20" s="224">
        <f>+V20</f>
        <v>0</v>
      </c>
      <c r="X20" s="224">
        <f>+W20</f>
        <v>0</v>
      </c>
    </row>
    <row r="21" spans="2:24" ht="12.75">
      <c r="B21" s="215"/>
      <c r="N21" s="238"/>
      <c r="P21" s="238"/>
      <c r="Q21" s="238"/>
      <c r="R21" s="238"/>
      <c r="S21" s="238"/>
      <c r="T21" s="239"/>
      <c r="U21" s="239"/>
      <c r="V21" s="239"/>
      <c r="W21" s="239"/>
      <c r="X21" s="239"/>
    </row>
    <row r="22" spans="2:24" ht="12.75">
      <c r="B22" s="219" t="s">
        <v>86</v>
      </c>
      <c r="C22" s="222">
        <v>1998</v>
      </c>
      <c r="D22" s="222">
        <v>1999</v>
      </c>
      <c r="E22" s="222">
        <v>2000</v>
      </c>
      <c r="F22" s="222">
        <v>2001</v>
      </c>
      <c r="G22" s="222">
        <v>2002</v>
      </c>
      <c r="H22" s="222">
        <v>2003</v>
      </c>
      <c r="I22" s="222">
        <v>2004</v>
      </c>
      <c r="J22" s="222">
        <v>2005</v>
      </c>
      <c r="K22" s="222">
        <v>2006</v>
      </c>
      <c r="L22" s="222">
        <v>2007</v>
      </c>
      <c r="M22" s="222">
        <v>2008</v>
      </c>
      <c r="N22" s="222">
        <v>2009</v>
      </c>
      <c r="O22" s="222">
        <v>2010</v>
      </c>
      <c r="P22" s="222">
        <v>2011</v>
      </c>
      <c r="Q22" s="222">
        <v>2012</v>
      </c>
      <c r="R22" s="222">
        <v>2013</v>
      </c>
      <c r="S22" s="222">
        <v>2014</v>
      </c>
      <c r="T22" s="222">
        <v>2015</v>
      </c>
      <c r="U22" s="222">
        <v>2016</v>
      </c>
      <c r="V22" s="222">
        <v>2017</v>
      </c>
      <c r="W22" s="222">
        <v>2018</v>
      </c>
      <c r="X22" s="222">
        <v>2019</v>
      </c>
    </row>
    <row r="23" spans="2:24" ht="12.75">
      <c r="B23" s="220" t="s">
        <v>216</v>
      </c>
      <c r="C23" s="231"/>
      <c r="D23" s="231">
        <f>+D25+D26+D27+D28+D30+D31+D32+D33</f>
        <v>107</v>
      </c>
      <c r="E23" s="231">
        <f aca="true" t="shared" si="6" ref="E23:P23">+E25+E26+E27+E28+E30+E31+E32+E33</f>
        <v>84</v>
      </c>
      <c r="F23" s="231">
        <f t="shared" si="6"/>
        <v>56</v>
      </c>
      <c r="G23" s="231">
        <f t="shared" si="6"/>
        <v>84</v>
      </c>
      <c r="H23" s="231">
        <f t="shared" si="6"/>
        <v>48</v>
      </c>
      <c r="I23" s="231">
        <f t="shared" si="6"/>
        <v>35</v>
      </c>
      <c r="J23" s="231">
        <f t="shared" si="6"/>
        <v>28</v>
      </c>
      <c r="K23" s="231">
        <f t="shared" si="6"/>
        <v>45</v>
      </c>
      <c r="L23" s="231">
        <f t="shared" si="6"/>
        <v>55</v>
      </c>
      <c r="M23" s="231">
        <f t="shared" si="6"/>
        <v>81</v>
      </c>
      <c r="N23" s="231">
        <f t="shared" si="6"/>
        <v>41</v>
      </c>
      <c r="O23" s="231">
        <f t="shared" si="6"/>
        <v>37</v>
      </c>
      <c r="P23" s="231">
        <f t="shared" si="6"/>
        <v>46</v>
      </c>
      <c r="Q23" s="231">
        <f>+Q25+Q26+Q27+Q28+Q30+Q31+Q32+Q33+Q35</f>
        <v>59</v>
      </c>
      <c r="R23" s="231">
        <f>+R25+R26+R27+R28+R30+R31+R32+R33+R35</f>
        <v>41</v>
      </c>
      <c r="S23" s="231">
        <f>+S25+S26+S27+S28+S30+S31+S32+S33+S35</f>
        <v>35</v>
      </c>
      <c r="T23" s="231">
        <f>+T25+T26+T27+T30+T32+T33+T28+T31</f>
        <v>43</v>
      </c>
      <c r="U23" s="231">
        <f>+U25+U26+U27+U30+U32+U33+U28+U31</f>
        <v>44</v>
      </c>
      <c r="V23" s="231">
        <f>+V25+V26+V27+V30+V32+V33+V28+V31</f>
        <v>44</v>
      </c>
      <c r="W23" s="231">
        <f>+W25+W26+W27+W30+W32+W33+W28+W31</f>
        <v>44</v>
      </c>
      <c r="X23" s="231">
        <f>+X25+X26+X27+X30+X32+X33+X28+X31</f>
        <v>44</v>
      </c>
    </row>
    <row r="24" ht="16.5" customHeight="1">
      <c r="B24" s="215"/>
    </row>
    <row r="25" spans="1:24" ht="12.75">
      <c r="A25" s="217"/>
      <c r="B25" s="218" t="s">
        <v>217</v>
      </c>
      <c r="C25" s="231"/>
      <c r="D25" s="231">
        <v>0</v>
      </c>
      <c r="E25" s="231">
        <v>7</v>
      </c>
      <c r="F25" s="231">
        <v>4</v>
      </c>
      <c r="G25" s="231">
        <v>4</v>
      </c>
      <c r="H25" s="231">
        <v>3</v>
      </c>
      <c r="I25" s="231">
        <v>7</v>
      </c>
      <c r="J25" s="231">
        <v>11</v>
      </c>
      <c r="K25" s="231">
        <v>5</v>
      </c>
      <c r="L25" s="231">
        <v>8</v>
      </c>
      <c r="M25" s="231">
        <v>5</v>
      </c>
      <c r="N25" s="231">
        <v>6</v>
      </c>
      <c r="O25" s="231">
        <v>9</v>
      </c>
      <c r="P25" s="231">
        <v>14</v>
      </c>
      <c r="Q25" s="231">
        <v>18</v>
      </c>
      <c r="R25" s="231">
        <v>14</v>
      </c>
      <c r="S25" s="231">
        <v>16</v>
      </c>
      <c r="T25" s="240">
        <f>(ROUND(T3/$H$39,0))</f>
        <v>13</v>
      </c>
      <c r="U25" s="240">
        <f>(ROUND(U3/$H$39,0))</f>
        <v>13</v>
      </c>
      <c r="V25" s="240">
        <f>(ROUND(V3/$H$39,0))</f>
        <v>13</v>
      </c>
      <c r="W25" s="240">
        <f>(ROUND(W3/$H$39,0))</f>
        <v>13</v>
      </c>
      <c r="X25" s="240">
        <f>(ROUND(X3/$H$39,0))</f>
        <v>13</v>
      </c>
    </row>
    <row r="26" spans="1:25" ht="12.75">
      <c r="A26" s="217"/>
      <c r="B26" s="218" t="s">
        <v>218</v>
      </c>
      <c r="C26" s="231"/>
      <c r="D26" s="231">
        <v>0</v>
      </c>
      <c r="E26" s="231">
        <v>0</v>
      </c>
      <c r="F26" s="231">
        <v>0</v>
      </c>
      <c r="G26" s="231">
        <v>0</v>
      </c>
      <c r="H26" s="231">
        <v>0</v>
      </c>
      <c r="I26" s="231">
        <v>0</v>
      </c>
      <c r="J26" s="231">
        <v>0</v>
      </c>
      <c r="K26" s="231">
        <v>1</v>
      </c>
      <c r="L26" s="231">
        <v>1</v>
      </c>
      <c r="M26" s="231">
        <v>0</v>
      </c>
      <c r="N26" s="231">
        <v>0</v>
      </c>
      <c r="O26" s="231">
        <v>0</v>
      </c>
      <c r="P26" s="231">
        <v>0</v>
      </c>
      <c r="Q26" s="231">
        <v>0</v>
      </c>
      <c r="R26" s="231">
        <v>0</v>
      </c>
      <c r="S26" s="231">
        <v>0</v>
      </c>
      <c r="T26" s="240">
        <v>0</v>
      </c>
      <c r="U26" s="240">
        <v>0</v>
      </c>
      <c r="V26" s="240">
        <v>0</v>
      </c>
      <c r="W26" s="240">
        <v>0</v>
      </c>
      <c r="X26" s="240">
        <v>0</v>
      </c>
      <c r="Y26" s="216"/>
    </row>
    <row r="27" spans="1:24" ht="12.75">
      <c r="A27" s="217"/>
      <c r="B27" s="218" t="s">
        <v>219</v>
      </c>
      <c r="C27" s="231"/>
      <c r="D27" s="231">
        <v>1</v>
      </c>
      <c r="E27" s="231">
        <v>0</v>
      </c>
      <c r="F27" s="231">
        <v>0</v>
      </c>
      <c r="G27" s="231">
        <v>0</v>
      </c>
      <c r="H27" s="231">
        <v>1</v>
      </c>
      <c r="I27" s="231">
        <v>0</v>
      </c>
      <c r="J27" s="231">
        <v>0</v>
      </c>
      <c r="K27" s="231">
        <v>0</v>
      </c>
      <c r="L27" s="231">
        <v>0</v>
      </c>
      <c r="M27" s="231">
        <v>0</v>
      </c>
      <c r="N27" s="231">
        <v>1</v>
      </c>
      <c r="O27" s="231">
        <v>1</v>
      </c>
      <c r="P27" s="231">
        <v>0</v>
      </c>
      <c r="Q27" s="231">
        <v>0</v>
      </c>
      <c r="R27" s="231">
        <v>0</v>
      </c>
      <c r="S27" s="231">
        <v>2</v>
      </c>
      <c r="T27" s="240">
        <f>(ROUND(T6/$H$41,0))</f>
        <v>0</v>
      </c>
      <c r="U27" s="240">
        <f>(ROUND(U6/$H$41,0))</f>
        <v>0</v>
      </c>
      <c r="V27" s="240">
        <f>(ROUND(V6/$H$41,0))</f>
        <v>0</v>
      </c>
      <c r="W27" s="240">
        <f>(ROUND(W6/$H$41,0))</f>
        <v>0</v>
      </c>
      <c r="X27" s="240">
        <f>(ROUND(X6/$H$41,0))</f>
        <v>0</v>
      </c>
    </row>
    <row r="28" spans="1:24" ht="12.75">
      <c r="A28" s="217"/>
      <c r="B28" s="218" t="s">
        <v>220</v>
      </c>
      <c r="C28" s="231"/>
      <c r="D28" s="231">
        <v>15</v>
      </c>
      <c r="E28" s="231">
        <v>8</v>
      </c>
      <c r="F28" s="231">
        <v>4</v>
      </c>
      <c r="G28" s="231">
        <v>9</v>
      </c>
      <c r="H28" s="231">
        <v>2</v>
      </c>
      <c r="I28" s="231">
        <v>0</v>
      </c>
      <c r="J28" s="231">
        <v>5</v>
      </c>
      <c r="K28" s="231">
        <v>26</v>
      </c>
      <c r="L28" s="231">
        <v>33</v>
      </c>
      <c r="M28" s="231">
        <v>59</v>
      </c>
      <c r="N28" s="231">
        <v>27</v>
      </c>
      <c r="O28" s="231">
        <v>26</v>
      </c>
      <c r="P28" s="231">
        <v>21</v>
      </c>
      <c r="Q28" s="231">
        <v>17</v>
      </c>
      <c r="R28" s="231">
        <v>15</v>
      </c>
      <c r="S28" s="231">
        <v>16</v>
      </c>
      <c r="T28" s="240">
        <f>(ROUND(T15/$H$40,0))</f>
        <v>29</v>
      </c>
      <c r="U28" s="240">
        <f>(ROUND(U15/$H$40,0))</f>
        <v>29</v>
      </c>
      <c r="V28" s="240">
        <f>(ROUND(V15/$H$40,0))</f>
        <v>29</v>
      </c>
      <c r="W28" s="240">
        <f>(ROUND(W15/$H$40,0))</f>
        <v>29</v>
      </c>
      <c r="X28" s="240">
        <f>(ROUND(X15/$H$40,0))</f>
        <v>29</v>
      </c>
    </row>
    <row r="29" spans="1:24" ht="12.75">
      <c r="A29" s="217"/>
      <c r="B29" s="218" t="s">
        <v>227</v>
      </c>
      <c r="C29" s="231"/>
      <c r="D29" s="231">
        <v>0</v>
      </c>
      <c r="E29" s="231">
        <v>0</v>
      </c>
      <c r="F29" s="231">
        <v>0</v>
      </c>
      <c r="G29" s="231">
        <v>0</v>
      </c>
      <c r="H29" s="231">
        <v>0</v>
      </c>
      <c r="I29" s="231">
        <v>0</v>
      </c>
      <c r="J29" s="231">
        <v>1</v>
      </c>
      <c r="K29" s="231">
        <v>0</v>
      </c>
      <c r="L29" s="231">
        <v>0</v>
      </c>
      <c r="M29" s="231"/>
      <c r="N29" s="231"/>
      <c r="O29" s="231">
        <v>0</v>
      </c>
      <c r="P29" s="231">
        <v>0</v>
      </c>
      <c r="Q29" s="231">
        <v>0</v>
      </c>
      <c r="R29" s="231">
        <v>0</v>
      </c>
      <c r="S29" s="231">
        <v>0</v>
      </c>
      <c r="T29" s="240">
        <v>0</v>
      </c>
      <c r="U29" s="240">
        <v>0</v>
      </c>
      <c r="V29" s="240">
        <v>0</v>
      </c>
      <c r="W29" s="240">
        <v>0</v>
      </c>
      <c r="X29" s="240">
        <v>0</v>
      </c>
    </row>
    <row r="30" spans="1:24" ht="12.75">
      <c r="A30" s="217"/>
      <c r="B30" s="218" t="s">
        <v>221</v>
      </c>
      <c r="C30" s="231"/>
      <c r="D30" s="231">
        <v>79</v>
      </c>
      <c r="E30" s="231">
        <v>63</v>
      </c>
      <c r="F30" s="231">
        <v>41</v>
      </c>
      <c r="G30" s="231">
        <v>68</v>
      </c>
      <c r="H30" s="231">
        <v>42</v>
      </c>
      <c r="I30" s="231">
        <v>28</v>
      </c>
      <c r="J30" s="231">
        <v>12</v>
      </c>
      <c r="K30" s="231">
        <v>11</v>
      </c>
      <c r="L30" s="231">
        <v>13</v>
      </c>
      <c r="M30" s="231">
        <v>17</v>
      </c>
      <c r="N30" s="231">
        <v>7</v>
      </c>
      <c r="O30" s="231">
        <v>1</v>
      </c>
      <c r="P30" s="231">
        <v>3</v>
      </c>
      <c r="Q30" s="231">
        <v>11</v>
      </c>
      <c r="R30" s="231">
        <v>4</v>
      </c>
      <c r="S30" s="231">
        <v>1</v>
      </c>
      <c r="T30" s="240">
        <f>(ROUND(T9/$H$42,0))</f>
        <v>1</v>
      </c>
      <c r="U30" s="240">
        <f>(ROUND(U9/$H$42,0))</f>
        <v>2</v>
      </c>
      <c r="V30" s="240">
        <f>(ROUND(V9/$H$42,0))</f>
        <v>2</v>
      </c>
      <c r="W30" s="240">
        <f>(ROUND(W9/$H$42,0))</f>
        <v>2</v>
      </c>
      <c r="X30" s="240">
        <f>(ROUND(X9/$H$42,0))</f>
        <v>2</v>
      </c>
    </row>
    <row r="31" spans="1:24" ht="12.75">
      <c r="A31" s="217"/>
      <c r="B31" s="218" t="s">
        <v>222</v>
      </c>
      <c r="C31" s="231"/>
      <c r="D31" s="231">
        <v>8</v>
      </c>
      <c r="E31" s="231">
        <v>6</v>
      </c>
      <c r="F31" s="231">
        <v>7</v>
      </c>
      <c r="G31" s="231">
        <v>3</v>
      </c>
      <c r="H31" s="231">
        <v>0</v>
      </c>
      <c r="I31" s="231">
        <v>0</v>
      </c>
      <c r="J31" s="231">
        <v>0</v>
      </c>
      <c r="K31" s="231">
        <v>2</v>
      </c>
      <c r="L31" s="231">
        <v>0</v>
      </c>
      <c r="M31" s="231">
        <v>0</v>
      </c>
      <c r="N31" s="231">
        <v>0</v>
      </c>
      <c r="O31" s="231">
        <v>0</v>
      </c>
      <c r="P31" s="231">
        <v>8</v>
      </c>
      <c r="Q31" s="231">
        <v>4</v>
      </c>
      <c r="R31" s="231">
        <v>1</v>
      </c>
      <c r="S31" s="231">
        <v>0</v>
      </c>
      <c r="T31" s="240">
        <v>0</v>
      </c>
      <c r="U31" s="240">
        <v>0</v>
      </c>
      <c r="V31" s="240">
        <v>0</v>
      </c>
      <c r="W31" s="240">
        <v>0</v>
      </c>
      <c r="X31" s="240">
        <v>0</v>
      </c>
    </row>
    <row r="32" spans="1:24" ht="12.75">
      <c r="A32" s="217"/>
      <c r="B32" s="218" t="s">
        <v>223</v>
      </c>
      <c r="C32" s="231"/>
      <c r="D32" s="231">
        <v>0</v>
      </c>
      <c r="E32" s="231">
        <v>0</v>
      </c>
      <c r="F32" s="231">
        <v>0</v>
      </c>
      <c r="G32" s="231">
        <v>0</v>
      </c>
      <c r="H32" s="231">
        <v>0</v>
      </c>
      <c r="I32" s="231">
        <v>0</v>
      </c>
      <c r="J32" s="231">
        <v>0</v>
      </c>
      <c r="K32" s="231">
        <v>0</v>
      </c>
      <c r="L32" s="231">
        <v>0</v>
      </c>
      <c r="M32" s="231">
        <v>0</v>
      </c>
      <c r="N32" s="231">
        <v>0</v>
      </c>
      <c r="O32" s="231">
        <v>0</v>
      </c>
      <c r="P32" s="231">
        <v>0</v>
      </c>
      <c r="Q32" s="231">
        <v>0</v>
      </c>
      <c r="R32" s="231">
        <v>0</v>
      </c>
      <c r="S32" s="231">
        <v>0</v>
      </c>
      <c r="T32" s="240">
        <v>0</v>
      </c>
      <c r="U32" s="240">
        <v>0</v>
      </c>
      <c r="V32" s="240">
        <v>0</v>
      </c>
      <c r="W32" s="240">
        <v>0</v>
      </c>
      <c r="X32" s="240">
        <v>0</v>
      </c>
    </row>
    <row r="33" spans="1:24" ht="12.75">
      <c r="A33" s="217"/>
      <c r="B33" s="218" t="s">
        <v>224</v>
      </c>
      <c r="C33" s="231"/>
      <c r="D33" s="231">
        <v>4</v>
      </c>
      <c r="E33" s="231">
        <v>0</v>
      </c>
      <c r="F33" s="231">
        <v>0</v>
      </c>
      <c r="G33" s="231">
        <v>0</v>
      </c>
      <c r="H33" s="231">
        <v>0</v>
      </c>
      <c r="I33" s="231">
        <v>0</v>
      </c>
      <c r="J33" s="231">
        <v>0</v>
      </c>
      <c r="K33" s="231">
        <v>0</v>
      </c>
      <c r="L33" s="231">
        <v>0</v>
      </c>
      <c r="M33" s="231">
        <v>0</v>
      </c>
      <c r="N33" s="231">
        <v>0</v>
      </c>
      <c r="O33" s="231">
        <v>0</v>
      </c>
      <c r="P33" s="231">
        <v>0</v>
      </c>
      <c r="Q33" s="231">
        <v>0</v>
      </c>
      <c r="R33" s="231">
        <v>0</v>
      </c>
      <c r="S33" s="231">
        <v>0</v>
      </c>
      <c r="T33" s="240">
        <v>0</v>
      </c>
      <c r="U33" s="240">
        <v>0</v>
      </c>
      <c r="V33" s="240">
        <v>0</v>
      </c>
      <c r="W33" s="240">
        <v>0</v>
      </c>
      <c r="X33" s="240">
        <v>0</v>
      </c>
    </row>
    <row r="34" spans="1:24" ht="12.75">
      <c r="A34" s="217"/>
      <c r="B34" s="218" t="s">
        <v>225</v>
      </c>
      <c r="C34" s="231"/>
      <c r="D34" s="231">
        <v>0</v>
      </c>
      <c r="E34" s="231">
        <v>0</v>
      </c>
      <c r="F34" s="231">
        <v>0</v>
      </c>
      <c r="G34" s="231">
        <v>0</v>
      </c>
      <c r="H34" s="231">
        <v>0</v>
      </c>
      <c r="I34" s="231">
        <v>0</v>
      </c>
      <c r="J34" s="231">
        <v>0</v>
      </c>
      <c r="K34" s="231">
        <v>3</v>
      </c>
      <c r="L34" s="231">
        <v>0</v>
      </c>
      <c r="M34" s="231">
        <v>0</v>
      </c>
      <c r="N34" s="231">
        <v>0</v>
      </c>
      <c r="O34" s="231">
        <v>0</v>
      </c>
      <c r="P34" s="231">
        <v>0</v>
      </c>
      <c r="Q34" s="231">
        <v>0</v>
      </c>
      <c r="R34" s="231">
        <v>0</v>
      </c>
      <c r="S34" s="231">
        <v>0</v>
      </c>
      <c r="T34" s="240">
        <v>0</v>
      </c>
      <c r="U34" s="240">
        <v>0</v>
      </c>
      <c r="V34" s="240">
        <v>0</v>
      </c>
      <c r="W34" s="240">
        <v>0</v>
      </c>
      <c r="X34" s="240">
        <v>0</v>
      </c>
    </row>
    <row r="35" spans="1:24" ht="12.75">
      <c r="A35" s="217"/>
      <c r="B35" s="218" t="s">
        <v>228</v>
      </c>
      <c r="C35" s="231"/>
      <c r="D35" s="231">
        <v>0</v>
      </c>
      <c r="E35" s="231">
        <v>0</v>
      </c>
      <c r="F35" s="231">
        <v>6</v>
      </c>
      <c r="G35" s="231">
        <v>6</v>
      </c>
      <c r="H35" s="231">
        <v>1</v>
      </c>
      <c r="I35" s="231">
        <v>2</v>
      </c>
      <c r="J35" s="231">
        <v>2</v>
      </c>
      <c r="K35" s="231">
        <v>1</v>
      </c>
      <c r="L35" s="231">
        <v>1</v>
      </c>
      <c r="M35" s="231">
        <v>1</v>
      </c>
      <c r="N35" s="231">
        <v>2</v>
      </c>
      <c r="O35" s="231">
        <v>6</v>
      </c>
      <c r="P35" s="231">
        <v>3</v>
      </c>
      <c r="Q35" s="231">
        <v>9</v>
      </c>
      <c r="R35" s="231">
        <v>7</v>
      </c>
      <c r="S35" s="231">
        <v>0</v>
      </c>
      <c r="T35" s="240">
        <v>0</v>
      </c>
      <c r="U35" s="240">
        <v>0</v>
      </c>
      <c r="V35" s="240">
        <v>0</v>
      </c>
      <c r="W35" s="240">
        <v>0</v>
      </c>
      <c r="X35" s="240">
        <v>0</v>
      </c>
    </row>
    <row r="36" spans="1:24" ht="12.75">
      <c r="A36" s="217"/>
      <c r="B36" s="218" t="s">
        <v>226</v>
      </c>
      <c r="C36" s="231"/>
      <c r="D36" s="231">
        <v>8</v>
      </c>
      <c r="E36" s="231">
        <v>135</v>
      </c>
      <c r="F36" s="231">
        <v>149</v>
      </c>
      <c r="G36" s="231">
        <v>507</v>
      </c>
      <c r="H36" s="231">
        <v>705</v>
      </c>
      <c r="I36" s="231">
        <v>412</v>
      </c>
      <c r="J36" s="231">
        <v>289</v>
      </c>
      <c r="K36" s="231">
        <v>171</v>
      </c>
      <c r="L36" s="231">
        <v>196</v>
      </c>
      <c r="M36" s="231">
        <v>257</v>
      </c>
      <c r="N36" s="231">
        <v>135</v>
      </c>
      <c r="O36" s="231">
        <v>148</v>
      </c>
      <c r="P36" s="231">
        <v>121</v>
      </c>
      <c r="Q36" s="231">
        <v>76</v>
      </c>
      <c r="R36" s="231">
        <v>79</v>
      </c>
      <c r="S36" s="231">
        <v>73</v>
      </c>
      <c r="T36" s="240">
        <f>+S36</f>
        <v>73</v>
      </c>
      <c r="U36" s="240">
        <f>+T36</f>
        <v>73</v>
      </c>
      <c r="V36" s="240">
        <f>+U36</f>
        <v>73</v>
      </c>
      <c r="W36" s="240">
        <f>+V36</f>
        <v>73</v>
      </c>
      <c r="X36" s="240">
        <f>+W36</f>
        <v>73</v>
      </c>
    </row>
    <row r="37" spans="2:19" ht="12.75">
      <c r="B37" s="217"/>
      <c r="C37" s="241"/>
      <c r="D37" s="241"/>
      <c r="E37" s="241"/>
      <c r="F37" s="241"/>
      <c r="G37" s="241"/>
      <c r="H37" s="241"/>
      <c r="I37" s="241"/>
      <c r="J37" s="241"/>
      <c r="K37" s="241"/>
      <c r="L37" s="241"/>
      <c r="M37" s="241"/>
      <c r="N37" s="241"/>
      <c r="O37" s="241"/>
      <c r="P37" s="241"/>
      <c r="Q37" s="241"/>
      <c r="R37" s="241"/>
      <c r="S37" s="241"/>
    </row>
    <row r="38" spans="2:24" ht="12.75">
      <c r="B38" s="211" t="s">
        <v>210</v>
      </c>
      <c r="C38" s="222">
        <v>2010</v>
      </c>
      <c r="D38" s="222">
        <v>2011</v>
      </c>
      <c r="E38" s="222">
        <v>2012</v>
      </c>
      <c r="F38" s="222">
        <v>2013</v>
      </c>
      <c r="G38" s="222">
        <v>2014</v>
      </c>
      <c r="H38" s="242" t="s">
        <v>130</v>
      </c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</row>
    <row r="39" spans="2:24" ht="12.75">
      <c r="B39" s="218" t="s">
        <v>212</v>
      </c>
      <c r="C39" s="233">
        <f>+O3/(O25+O32)</f>
        <v>16641.333333333332</v>
      </c>
      <c r="D39" s="233">
        <f>+P3/(P25+P32)</f>
        <v>24223.777857142857</v>
      </c>
      <c r="E39" s="233">
        <f>+Q3/(Q25+Q32)</f>
        <v>20626.029444444444</v>
      </c>
      <c r="F39" s="233">
        <f>+R3/(R25+R32)</f>
        <v>15083.285714285714</v>
      </c>
      <c r="G39" s="233">
        <f>+S3/(S25+S32)</f>
        <v>19575.6875</v>
      </c>
      <c r="H39" s="231">
        <f>+AVERAGE(C39:G39)</f>
        <v>19230.02276984127</v>
      </c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</row>
    <row r="40" spans="2:24" ht="12.75">
      <c r="B40" s="218" t="s">
        <v>213</v>
      </c>
      <c r="C40" s="233">
        <f>O15/O28</f>
        <v>105.92307692307692</v>
      </c>
      <c r="D40" s="233">
        <f>P15/P28</f>
        <v>436.4761904761905</v>
      </c>
      <c r="E40" s="233">
        <f>Q15/Q28</f>
        <v>152.1764705882353</v>
      </c>
      <c r="F40" s="233">
        <f>R15/R28</f>
        <v>99.86666666666666</v>
      </c>
      <c r="G40" s="233">
        <f>S15/S28</f>
        <v>126</v>
      </c>
      <c r="H40" s="231">
        <f>+AVERAGE(C40:G40)</f>
        <v>184.08848093083387</v>
      </c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</row>
    <row r="41" spans="2:24" ht="12.75">
      <c r="B41" s="218" t="s">
        <v>215</v>
      </c>
      <c r="C41" s="233">
        <f>O6/(O27)</f>
        <v>401</v>
      </c>
      <c r="D41" s="332" t="s">
        <v>211</v>
      </c>
      <c r="E41" s="332" t="s">
        <v>211</v>
      </c>
      <c r="F41" s="332" t="s">
        <v>211</v>
      </c>
      <c r="G41" s="233">
        <f>S6/(S27)</f>
        <v>547</v>
      </c>
      <c r="H41" s="231">
        <f>+AVERAGE(C41:G41)</f>
        <v>474</v>
      </c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</row>
    <row r="42" spans="2:24" ht="12.75">
      <c r="B42" s="218" t="s">
        <v>214</v>
      </c>
      <c r="C42" s="233">
        <f>(O9/O30)</f>
        <v>101133</v>
      </c>
      <c r="D42" s="233">
        <f>(P9/P30)</f>
        <v>57893.29833333334</v>
      </c>
      <c r="E42" s="233">
        <f>(Q9/Q30)</f>
        <v>15400.424545454543</v>
      </c>
      <c r="F42" s="233">
        <f>(R9/R30)</f>
        <v>44496.75</v>
      </c>
      <c r="G42" s="233">
        <f>(S9/S30)</f>
        <v>88416</v>
      </c>
      <c r="H42" s="231">
        <f>+AVERAGE(C42:G42)</f>
        <v>61467.89457575758</v>
      </c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</row>
    <row r="43" spans="2:19" ht="12.75">
      <c r="B43" s="217"/>
      <c r="C43" s="241"/>
      <c r="D43" s="241"/>
      <c r="E43" s="241"/>
      <c r="F43" s="241"/>
      <c r="G43" s="241"/>
      <c r="H43" s="241"/>
      <c r="I43" s="241"/>
      <c r="J43" s="241"/>
      <c r="K43" s="241"/>
      <c r="L43" s="241"/>
      <c r="M43" s="241"/>
      <c r="N43" s="241"/>
      <c r="O43" s="241"/>
      <c r="P43" s="241"/>
      <c r="Q43" s="241"/>
      <c r="R43" s="241"/>
      <c r="S43" s="241"/>
    </row>
    <row r="45" spans="3:8" ht="12.75">
      <c r="C45" s="495"/>
      <c r="D45" s="495"/>
      <c r="E45" s="495"/>
      <c r="F45" s="495"/>
      <c r="G45" s="495"/>
      <c r="H45" s="495"/>
    </row>
    <row r="46" spans="3:8" ht="12.75">
      <c r="C46" s="243"/>
      <c r="D46" s="244">
        <v>2010</v>
      </c>
      <c r="E46" s="244">
        <v>2011</v>
      </c>
      <c r="F46" s="244">
        <v>2012</v>
      </c>
      <c r="G46" s="244">
        <v>2013</v>
      </c>
      <c r="H46" s="244">
        <v>2014</v>
      </c>
    </row>
    <row r="47" spans="3:8" ht="12.75">
      <c r="C47" s="245" t="s">
        <v>97</v>
      </c>
      <c r="D47" s="246">
        <v>43</v>
      </c>
      <c r="E47" s="246">
        <v>49</v>
      </c>
      <c r="F47" s="239">
        <v>59</v>
      </c>
      <c r="G47" s="233">
        <v>42</v>
      </c>
      <c r="H47" s="225">
        <v>34</v>
      </c>
    </row>
    <row r="48" spans="3:8" ht="12.75">
      <c r="C48" s="231" t="s">
        <v>100</v>
      </c>
      <c r="D48" s="233">
        <v>6618.37</v>
      </c>
      <c r="E48" s="233">
        <v>8327.45</v>
      </c>
      <c r="F48" s="233">
        <v>9112.78</v>
      </c>
      <c r="G48" s="233">
        <v>6977.31</v>
      </c>
      <c r="H48" s="233">
        <v>6863.81</v>
      </c>
    </row>
    <row r="49" spans="3:8" ht="12.75">
      <c r="C49" s="231" t="s">
        <v>101</v>
      </c>
      <c r="D49" s="231">
        <v>1873</v>
      </c>
      <c r="E49" s="231">
        <v>2642</v>
      </c>
      <c r="F49" s="231">
        <v>2983</v>
      </c>
      <c r="G49" s="231">
        <v>2417</v>
      </c>
      <c r="H49" s="231">
        <v>2053</v>
      </c>
    </row>
    <row r="50" spans="3:8" ht="12.75">
      <c r="C50" s="247" t="s">
        <v>170</v>
      </c>
      <c r="D50" s="241"/>
      <c r="E50" s="241"/>
      <c r="F50" s="241"/>
      <c r="G50" s="241"/>
      <c r="H50" s="241"/>
    </row>
    <row r="52" spans="3:9" ht="12.75">
      <c r="C52" s="495"/>
      <c r="D52" s="495"/>
      <c r="E52" s="495"/>
      <c r="F52" s="495"/>
      <c r="G52" s="495"/>
      <c r="H52" s="495"/>
      <c r="I52" s="495"/>
    </row>
    <row r="53" spans="3:9" ht="12.75">
      <c r="C53" s="248"/>
      <c r="D53" s="244">
        <v>2010</v>
      </c>
      <c r="E53" s="244">
        <v>2011</v>
      </c>
      <c r="F53" s="249">
        <v>2012</v>
      </c>
      <c r="G53" s="249">
        <v>2013</v>
      </c>
      <c r="H53" s="249">
        <v>2014</v>
      </c>
      <c r="I53" s="249" t="s">
        <v>98</v>
      </c>
    </row>
    <row r="54" spans="3:9" ht="12.75">
      <c r="C54" s="231" t="s">
        <v>102</v>
      </c>
      <c r="D54" s="233">
        <f>+D48/D47</f>
        <v>153.91558139534882</v>
      </c>
      <c r="E54" s="233">
        <f>+E48/E47</f>
        <v>169.94795918367348</v>
      </c>
      <c r="F54" s="233">
        <f>+F48/F47</f>
        <v>154.45389830508475</v>
      </c>
      <c r="G54" s="233">
        <f>+G48/G47</f>
        <v>166.1264285714286</v>
      </c>
      <c r="H54" s="233">
        <f>+H48/H47</f>
        <v>201.87676470588235</v>
      </c>
      <c r="I54" s="231">
        <f>+AVERAGE(D54:H54)</f>
        <v>169.2641264322836</v>
      </c>
    </row>
    <row r="55" spans="3:9" ht="12.75">
      <c r="C55" s="231" t="s">
        <v>103</v>
      </c>
      <c r="D55" s="233">
        <f>+D49/D47</f>
        <v>43.55813953488372</v>
      </c>
      <c r="E55" s="233">
        <f>+E49/E47</f>
        <v>53.91836734693877</v>
      </c>
      <c r="F55" s="233">
        <f>+F49/F47</f>
        <v>50.559322033898304</v>
      </c>
      <c r="G55" s="233">
        <f>+G49/G47</f>
        <v>57.54761904761905</v>
      </c>
      <c r="H55" s="233">
        <f>+H49/H47</f>
        <v>60.38235294117647</v>
      </c>
      <c r="I55" s="231">
        <f>+AVERAGE(D55:H55)</f>
        <v>53.19316018090326</v>
      </c>
    </row>
    <row r="56" ht="12.75">
      <c r="C56" s="247" t="s">
        <v>170</v>
      </c>
    </row>
    <row r="57" ht="12.75">
      <c r="B57" s="210" t="s">
        <v>96</v>
      </c>
    </row>
    <row r="58" spans="2:7" ht="12.75">
      <c r="B58" s="211" t="s">
        <v>87</v>
      </c>
      <c r="C58" s="222">
        <v>2015</v>
      </c>
      <c r="D58" s="222">
        <v>2016</v>
      </c>
      <c r="E58" s="222">
        <v>2017</v>
      </c>
      <c r="F58" s="222">
        <v>2018</v>
      </c>
      <c r="G58" s="222">
        <v>2019</v>
      </c>
    </row>
    <row r="59" spans="2:7" ht="12.75">
      <c r="B59" s="196" t="s">
        <v>90</v>
      </c>
      <c r="C59" s="231"/>
      <c r="D59" s="231"/>
      <c r="E59" s="231"/>
      <c r="F59" s="231"/>
      <c r="G59" s="231"/>
    </row>
    <row r="60" spans="2:7" ht="12.75">
      <c r="B60" s="201" t="s">
        <v>229</v>
      </c>
      <c r="C60" s="233">
        <f>+T3</f>
        <v>252810.06666666665</v>
      </c>
      <c r="D60" s="233">
        <f>+U3</f>
        <v>254786.79999999996</v>
      </c>
      <c r="E60" s="233">
        <f>+V3</f>
        <v>254786.79999999996</v>
      </c>
      <c r="F60" s="233">
        <f>+W3</f>
        <v>254786.79999999996</v>
      </c>
      <c r="G60" s="233">
        <f>+X3</f>
        <v>254786.79999999996</v>
      </c>
    </row>
    <row r="61" spans="2:7" ht="12.75">
      <c r="B61" s="201" t="s">
        <v>230</v>
      </c>
      <c r="C61" s="233">
        <f>+T6</f>
        <v>0</v>
      </c>
      <c r="D61" s="233">
        <f>+U6</f>
        <v>0</v>
      </c>
      <c r="E61" s="233">
        <f>+V6</f>
        <v>0</v>
      </c>
      <c r="F61" s="233">
        <f>+W6</f>
        <v>0</v>
      </c>
      <c r="G61" s="233">
        <f>+X6</f>
        <v>0</v>
      </c>
    </row>
    <row r="62" spans="2:7" ht="12.75">
      <c r="B62" s="201" t="s">
        <v>231</v>
      </c>
      <c r="C62" s="233">
        <f>+T9</f>
        <v>90615.02917367722</v>
      </c>
      <c r="D62" s="233">
        <f>+U9</f>
        <v>93173.08887619503</v>
      </c>
      <c r="E62" s="233">
        <f>+V9</f>
        <v>93173.08887619503</v>
      </c>
      <c r="F62" s="233">
        <f>+W9</f>
        <v>93173.08887619503</v>
      </c>
      <c r="G62" s="233">
        <f>+X9</f>
        <v>93173.08887619503</v>
      </c>
    </row>
    <row r="63" spans="2:7" ht="12.75">
      <c r="B63" s="201" t="s">
        <v>232</v>
      </c>
      <c r="C63" s="233">
        <f>+T12</f>
        <v>0</v>
      </c>
      <c r="D63" s="233">
        <f>+U12</f>
        <v>0</v>
      </c>
      <c r="E63" s="233">
        <f>+V12</f>
        <v>0</v>
      </c>
      <c r="F63" s="233">
        <f>+W12</f>
        <v>0</v>
      </c>
      <c r="G63" s="233">
        <f>+X12</f>
        <v>0</v>
      </c>
    </row>
    <row r="64" spans="2:7" ht="12.75">
      <c r="B64" s="201" t="s">
        <v>18</v>
      </c>
      <c r="C64" s="233">
        <f aca="true" t="shared" si="7" ref="C64:G67">+T16</f>
        <v>2668.2720654991504</v>
      </c>
      <c r="D64" s="233">
        <f t="shared" si="7"/>
        <v>2668.2720291356886</v>
      </c>
      <c r="E64" s="233">
        <f t="shared" si="7"/>
        <v>2668.2719927722273</v>
      </c>
      <c r="F64" s="233">
        <f t="shared" si="7"/>
        <v>2668.2719564087656</v>
      </c>
      <c r="G64" s="233">
        <f t="shared" si="7"/>
        <v>2668.2719200453043</v>
      </c>
    </row>
    <row r="65" spans="2:7" ht="12.75">
      <c r="B65" s="201" t="s">
        <v>19</v>
      </c>
      <c r="C65" s="233">
        <f t="shared" si="7"/>
        <v>378.99999999988796</v>
      </c>
      <c r="D65" s="233">
        <f t="shared" si="7"/>
        <v>378.99999999988796</v>
      </c>
      <c r="E65" s="233">
        <f t="shared" si="7"/>
        <v>378.99999999988796</v>
      </c>
      <c r="F65" s="233">
        <f t="shared" si="7"/>
        <v>378.99999999988796</v>
      </c>
      <c r="G65" s="233">
        <f t="shared" si="7"/>
        <v>378.99999999988796</v>
      </c>
    </row>
    <row r="66" spans="2:7" ht="12.75">
      <c r="B66" s="201" t="s">
        <v>161</v>
      </c>
      <c r="C66" s="233">
        <f>+T18</f>
        <v>1893.246026768329</v>
      </c>
      <c r="D66" s="233">
        <f t="shared" si="7"/>
        <v>1893.2460390701146</v>
      </c>
      <c r="E66" s="233">
        <f t="shared" si="7"/>
        <v>1893.2460513719004</v>
      </c>
      <c r="F66" s="233">
        <f t="shared" si="7"/>
        <v>1893.246063673686</v>
      </c>
      <c r="G66" s="233">
        <f t="shared" si="7"/>
        <v>1893.2460759754715</v>
      </c>
    </row>
    <row r="67" spans="2:7" ht="12.75">
      <c r="B67" s="201" t="s">
        <v>19</v>
      </c>
      <c r="C67" s="233">
        <f t="shared" si="7"/>
        <v>405.0528422493038</v>
      </c>
      <c r="D67" s="233">
        <f>+U19</f>
        <v>405.0528422493038</v>
      </c>
      <c r="E67" s="233">
        <f>+V19</f>
        <v>405.0528422493038</v>
      </c>
      <c r="F67" s="233">
        <f>+W19</f>
        <v>405.0528422493038</v>
      </c>
      <c r="G67" s="233">
        <f>+X19</f>
        <v>405.0528422493038</v>
      </c>
    </row>
    <row r="68" spans="2:7" ht="12.75">
      <c r="B68" s="201" t="s">
        <v>91</v>
      </c>
      <c r="C68" s="233">
        <f>+T20</f>
        <v>0</v>
      </c>
      <c r="D68" s="233">
        <f>+U20</f>
        <v>0</v>
      </c>
      <c r="E68" s="233">
        <f>+V20</f>
        <v>0</v>
      </c>
      <c r="F68" s="233">
        <f>+W20</f>
        <v>0</v>
      </c>
      <c r="G68" s="233">
        <f>+X20</f>
        <v>0</v>
      </c>
    </row>
    <row r="69" spans="2:7" ht="12.75">
      <c r="B69" s="196" t="s">
        <v>20</v>
      </c>
      <c r="C69" s="233"/>
      <c r="D69" s="233"/>
      <c r="E69" s="233"/>
      <c r="F69" s="233"/>
      <c r="G69" s="233"/>
    </row>
    <row r="70" spans="2:7" ht="12.75">
      <c r="B70" s="201" t="s">
        <v>99</v>
      </c>
      <c r="C70" s="232">
        <f>+T23*$I$54*$I$55</f>
        <v>387158.8329783043</v>
      </c>
      <c r="D70" s="232">
        <f>+U23*$I$54*$I$55</f>
        <v>396162.5267684974</v>
      </c>
      <c r="E70" s="232">
        <f>+V23*$I$54*$I$55</f>
        <v>396162.5267684974</v>
      </c>
      <c r="F70" s="232">
        <f>+W23*$I$54*$I$55</f>
        <v>396162.5267684974</v>
      </c>
      <c r="G70" s="232">
        <f>+X23*$I$54*$I$55</f>
        <v>396162.5267684974</v>
      </c>
    </row>
    <row r="71" spans="2:7" ht="12.75">
      <c r="B71" s="196" t="s">
        <v>140</v>
      </c>
      <c r="C71" s="231">
        <f>+T23*2</f>
        <v>86</v>
      </c>
      <c r="D71" s="231">
        <f>+U23*2</f>
        <v>88</v>
      </c>
      <c r="E71" s="231">
        <f>+V23*2</f>
        <v>88</v>
      </c>
      <c r="F71" s="231">
        <f>+W23*2</f>
        <v>88</v>
      </c>
      <c r="G71" s="231">
        <f>+X23*2</f>
        <v>88</v>
      </c>
    </row>
  </sheetData>
  <sheetProtection/>
  <mergeCells count="2">
    <mergeCell ref="C52:I52"/>
    <mergeCell ref="C45:H45"/>
  </mergeCells>
  <printOptions/>
  <pageMargins left="0.7" right="0.7" top="0.75" bottom="0.75" header="0.3" footer="0.3"/>
  <pageSetup orientation="portrait" paperSize="9"/>
  <ignoredErrors>
    <ignoredError sqref="E15:S15 T23:X23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2:AM100"/>
  <sheetViews>
    <sheetView zoomScale="85" zoomScaleNormal="85" zoomScalePageLayoutView="0" workbookViewId="0" topLeftCell="A1">
      <pane xSplit="2" topLeftCell="I1" activePane="topRight" state="frozen"/>
      <selection pane="topLeft" activeCell="S37" sqref="S37"/>
      <selection pane="topRight" activeCell="X41" sqref="X41"/>
    </sheetView>
  </sheetViews>
  <sheetFormatPr defaultColWidth="11.421875" defaultRowHeight="15"/>
  <cols>
    <col min="1" max="1" width="11.421875" style="255" customWidth="1"/>
    <col min="2" max="2" width="23.421875" style="255" customWidth="1"/>
    <col min="3" max="19" width="11.421875" style="255" customWidth="1"/>
    <col min="20" max="24" width="12.57421875" style="255" bestFit="1" customWidth="1"/>
    <col min="25" max="16384" width="11.421875" style="255" customWidth="1"/>
  </cols>
  <sheetData>
    <row r="2" spans="20:24" ht="15">
      <c r="T2" s="281"/>
      <c r="U2" s="281"/>
      <c r="V2" s="281"/>
      <c r="W2" s="281"/>
      <c r="X2" s="281"/>
    </row>
    <row r="3" spans="20:24" ht="15">
      <c r="T3" s="281"/>
      <c r="U3" s="281"/>
      <c r="V3" s="281"/>
      <c r="W3" s="281"/>
      <c r="X3" s="281"/>
    </row>
    <row r="5" spans="3:24" ht="15">
      <c r="C5" s="498"/>
      <c r="D5" s="498"/>
      <c r="E5" s="498"/>
      <c r="F5" s="498"/>
      <c r="G5" s="498"/>
      <c r="H5" s="498"/>
      <c r="I5" s="498"/>
      <c r="J5" s="498"/>
      <c r="K5" s="498"/>
      <c r="L5" s="498"/>
      <c r="M5" s="498"/>
      <c r="N5" s="498"/>
      <c r="O5" s="498"/>
      <c r="P5" s="498"/>
      <c r="Q5" s="498"/>
      <c r="R5" s="498"/>
      <c r="S5" s="498"/>
      <c r="T5" s="498"/>
      <c r="U5" s="498"/>
      <c r="V5" s="498"/>
      <c r="W5" s="498"/>
      <c r="X5" s="498"/>
    </row>
    <row r="6" spans="3:24" ht="15.75" thickBot="1">
      <c r="C6" s="437">
        <v>1998</v>
      </c>
      <c r="D6" s="437">
        <v>1999</v>
      </c>
      <c r="E6" s="437">
        <v>2000</v>
      </c>
      <c r="F6" s="437">
        <v>2001</v>
      </c>
      <c r="G6" s="437">
        <v>2002</v>
      </c>
      <c r="H6" s="437">
        <v>2003</v>
      </c>
      <c r="I6" s="437">
        <v>2004</v>
      </c>
      <c r="J6" s="437">
        <v>2005</v>
      </c>
      <c r="K6" s="437">
        <v>2006</v>
      </c>
      <c r="L6" s="437">
        <v>2007</v>
      </c>
      <c r="M6" s="437">
        <v>2008</v>
      </c>
      <c r="N6" s="437">
        <v>2009</v>
      </c>
      <c r="O6" s="437">
        <v>2010</v>
      </c>
      <c r="P6" s="437">
        <v>2011</v>
      </c>
      <c r="Q6" s="437">
        <v>2012</v>
      </c>
      <c r="R6" s="437">
        <v>2013</v>
      </c>
      <c r="S6" s="437">
        <v>2014</v>
      </c>
      <c r="T6" s="437">
        <v>2015</v>
      </c>
      <c r="U6" s="437">
        <v>2016</v>
      </c>
      <c r="V6" s="437">
        <v>2017</v>
      </c>
      <c r="W6" s="437">
        <v>2018</v>
      </c>
      <c r="X6" s="437">
        <v>2019</v>
      </c>
    </row>
    <row r="7" spans="2:25" ht="15">
      <c r="B7" s="438" t="s">
        <v>135</v>
      </c>
      <c r="C7" s="439"/>
      <c r="D7" s="439"/>
      <c r="E7" s="440">
        <v>112831</v>
      </c>
      <c r="F7" s="440">
        <v>20562.21</v>
      </c>
      <c r="G7" s="440">
        <v>47265.270000000004</v>
      </c>
      <c r="H7" s="440">
        <v>21795.328</v>
      </c>
      <c r="I7" s="440">
        <v>25356.079999999998</v>
      </c>
      <c r="J7" s="440">
        <v>22341.350000000002</v>
      </c>
      <c r="K7" s="440">
        <v>20652.190000000002</v>
      </c>
      <c r="L7" s="440">
        <v>24745.969999999998</v>
      </c>
      <c r="M7" s="440">
        <v>51701.85</v>
      </c>
      <c r="N7" s="440">
        <v>70417.94</v>
      </c>
      <c r="O7" s="440">
        <v>80173</v>
      </c>
      <c r="P7" s="441">
        <v>42279</v>
      </c>
      <c r="Q7" s="440">
        <v>88106.53</v>
      </c>
      <c r="R7" s="440">
        <v>74473</v>
      </c>
      <c r="S7" s="440">
        <v>106627</v>
      </c>
      <c r="T7" s="440"/>
      <c r="U7" s="440"/>
      <c r="V7" s="440"/>
      <c r="W7" s="440"/>
      <c r="X7" s="442"/>
      <c r="Y7" s="321"/>
    </row>
    <row r="8" spans="2:24" ht="15.75" thickBot="1">
      <c r="B8" s="443" t="s">
        <v>190</v>
      </c>
      <c r="C8" s="444"/>
      <c r="D8" s="444"/>
      <c r="E8" s="445"/>
      <c r="F8" s="445"/>
      <c r="G8" s="445"/>
      <c r="H8" s="445"/>
      <c r="I8" s="445"/>
      <c r="J8" s="445"/>
      <c r="K8" s="445"/>
      <c r="L8" s="445"/>
      <c r="M8" s="445"/>
      <c r="N8" s="445"/>
      <c r="O8" s="445"/>
      <c r="P8" s="445"/>
      <c r="Q8" s="445"/>
      <c r="R8" s="445"/>
      <c r="S8" s="445">
        <v>106627</v>
      </c>
      <c r="T8" s="445">
        <v>95192.4</v>
      </c>
      <c r="U8" s="445">
        <v>98910.79999999999</v>
      </c>
      <c r="V8" s="445">
        <v>98910.79999999999</v>
      </c>
      <c r="W8" s="445">
        <v>98910.79999999999</v>
      </c>
      <c r="X8" s="446">
        <v>98910.79999999999</v>
      </c>
    </row>
    <row r="9" spans="2:25" ht="15">
      <c r="B9" s="438" t="s">
        <v>136</v>
      </c>
      <c r="C9" s="439"/>
      <c r="D9" s="439"/>
      <c r="E9" s="440">
        <v>3220</v>
      </c>
      <c r="F9" s="440"/>
      <c r="G9" s="440"/>
      <c r="H9" s="440">
        <v>911.89</v>
      </c>
      <c r="I9" s="440"/>
      <c r="J9" s="440"/>
      <c r="K9" s="440"/>
      <c r="L9" s="440">
        <v>21557.33</v>
      </c>
      <c r="M9" s="440"/>
      <c r="N9" s="440"/>
      <c r="O9" s="440">
        <v>69599</v>
      </c>
      <c r="P9" s="440">
        <v>112834.24000000002</v>
      </c>
      <c r="Q9" s="440">
        <v>283162</v>
      </c>
      <c r="R9" s="440">
        <v>136693</v>
      </c>
      <c r="S9" s="440">
        <v>206584</v>
      </c>
      <c r="T9" s="447"/>
      <c r="U9" s="447"/>
      <c r="V9" s="447"/>
      <c r="W9" s="447"/>
      <c r="X9" s="448"/>
      <c r="Y9" s="321"/>
    </row>
    <row r="10" spans="2:24" ht="15.75" thickBot="1">
      <c r="B10" s="443" t="s">
        <v>190</v>
      </c>
      <c r="C10" s="444"/>
      <c r="D10" s="444"/>
      <c r="E10" s="445"/>
      <c r="F10" s="445"/>
      <c r="G10" s="445"/>
      <c r="H10" s="445"/>
      <c r="I10" s="445"/>
      <c r="J10" s="445"/>
      <c r="K10" s="445"/>
      <c r="L10" s="445"/>
      <c r="M10" s="445"/>
      <c r="N10" s="445"/>
      <c r="O10" s="445"/>
      <c r="P10" s="445"/>
      <c r="Q10" s="445"/>
      <c r="R10" s="445"/>
      <c r="S10" s="445">
        <v>206584</v>
      </c>
      <c r="T10" s="449">
        <v>157617.66666666666</v>
      </c>
      <c r="U10" s="449">
        <v>155875.99999999997</v>
      </c>
      <c r="V10" s="449">
        <v>155875.99999999997</v>
      </c>
      <c r="W10" s="449">
        <v>155875.99999999997</v>
      </c>
      <c r="X10" s="450">
        <v>155875.99999999997</v>
      </c>
    </row>
    <row r="11" spans="2:24" ht="15">
      <c r="B11" s="438" t="s">
        <v>139</v>
      </c>
      <c r="C11" s="439"/>
      <c r="D11" s="439">
        <v>0</v>
      </c>
      <c r="E11" s="440">
        <v>0</v>
      </c>
      <c r="F11" s="440">
        <v>0</v>
      </c>
      <c r="G11" s="440">
        <v>433.24</v>
      </c>
      <c r="H11" s="440">
        <v>285.52</v>
      </c>
      <c r="I11" s="440">
        <v>848.9100000000001</v>
      </c>
      <c r="J11" s="440">
        <v>651.97</v>
      </c>
      <c r="K11" s="440">
        <v>1051.19</v>
      </c>
      <c r="L11" s="440">
        <v>300.35</v>
      </c>
      <c r="M11" s="440">
        <v>280.71999999999997</v>
      </c>
      <c r="N11" s="440">
        <v>303.19</v>
      </c>
      <c r="O11" s="440">
        <v>401</v>
      </c>
      <c r="P11" s="440">
        <v>153.59</v>
      </c>
      <c r="Q11" s="440">
        <v>79</v>
      </c>
      <c r="R11" s="440">
        <v>164</v>
      </c>
      <c r="S11" s="440">
        <v>1094</v>
      </c>
      <c r="T11" s="447"/>
      <c r="U11" s="447"/>
      <c r="V11" s="447"/>
      <c r="W11" s="447"/>
      <c r="X11" s="448"/>
    </row>
    <row r="12" spans="2:24" ht="15.75" thickBot="1">
      <c r="B12" s="443" t="s">
        <v>190</v>
      </c>
      <c r="C12" s="444"/>
      <c r="D12" s="444"/>
      <c r="E12" s="445"/>
      <c r="F12" s="445"/>
      <c r="G12" s="445"/>
      <c r="H12" s="445"/>
      <c r="I12" s="445"/>
      <c r="J12" s="445"/>
      <c r="K12" s="445"/>
      <c r="L12" s="445"/>
      <c r="M12" s="445"/>
      <c r="N12" s="445"/>
      <c r="O12" s="445"/>
      <c r="P12" s="445"/>
      <c r="Q12" s="445"/>
      <c r="R12" s="445"/>
      <c r="S12" s="445">
        <v>1094</v>
      </c>
      <c r="T12" s="449"/>
      <c r="U12" s="449"/>
      <c r="V12" s="449"/>
      <c r="W12" s="449"/>
      <c r="X12" s="450"/>
    </row>
    <row r="13" spans="2:25" ht="15">
      <c r="B13" s="438" t="s">
        <v>137</v>
      </c>
      <c r="C13" s="439"/>
      <c r="D13" s="439">
        <v>61842.872</v>
      </c>
      <c r="E13" s="440">
        <v>23746</v>
      </c>
      <c r="F13" s="440">
        <v>37786.659999999996</v>
      </c>
      <c r="G13" s="440">
        <v>30027.308</v>
      </c>
      <c r="H13" s="440">
        <v>323.21</v>
      </c>
      <c r="I13" s="440">
        <v>17427.539999999997</v>
      </c>
      <c r="J13" s="440">
        <v>12878.97</v>
      </c>
      <c r="K13" s="440">
        <v>12585.51</v>
      </c>
      <c r="L13" s="440">
        <v>16758.239999999998</v>
      </c>
      <c r="M13" s="440">
        <v>19136.720999999998</v>
      </c>
      <c r="N13" s="440">
        <v>13356.241</v>
      </c>
      <c r="O13" s="440">
        <v>6329</v>
      </c>
      <c r="P13" s="440">
        <v>15948.390000000001</v>
      </c>
      <c r="Q13" s="440">
        <v>23196.64</v>
      </c>
      <c r="R13" s="440">
        <v>6055</v>
      </c>
      <c r="S13" s="440">
        <v>7</v>
      </c>
      <c r="T13" s="447"/>
      <c r="U13" s="447"/>
      <c r="V13" s="447"/>
      <c r="W13" s="447"/>
      <c r="X13" s="448"/>
      <c r="Y13" s="321"/>
    </row>
    <row r="14" spans="2:24" ht="15.75" thickBot="1">
      <c r="B14" s="443" t="s">
        <v>190</v>
      </c>
      <c r="C14" s="444"/>
      <c r="D14" s="444"/>
      <c r="E14" s="445"/>
      <c r="F14" s="445"/>
      <c r="G14" s="445"/>
      <c r="H14" s="445"/>
      <c r="I14" s="445"/>
      <c r="J14" s="445"/>
      <c r="K14" s="445"/>
      <c r="L14" s="445"/>
      <c r="M14" s="445"/>
      <c r="N14" s="445"/>
      <c r="O14" s="445"/>
      <c r="P14" s="445"/>
      <c r="Q14" s="445"/>
      <c r="R14" s="445"/>
      <c r="S14" s="445">
        <v>7</v>
      </c>
      <c r="T14" s="449">
        <v>0</v>
      </c>
      <c r="U14" s="449">
        <v>0</v>
      </c>
      <c r="V14" s="449">
        <v>0</v>
      </c>
      <c r="W14" s="449">
        <v>0</v>
      </c>
      <c r="X14" s="450">
        <v>0</v>
      </c>
    </row>
    <row r="15" spans="2:25" ht="15">
      <c r="B15" s="438" t="s">
        <v>138</v>
      </c>
      <c r="C15" s="439"/>
      <c r="D15" s="439">
        <v>42006.21199999999</v>
      </c>
      <c r="E15" s="440">
        <v>46224</v>
      </c>
      <c r="F15" s="440">
        <v>31996</v>
      </c>
      <c r="G15" s="440">
        <v>130911.26000000001</v>
      </c>
      <c r="H15" s="440">
        <v>64377.705</v>
      </c>
      <c r="I15" s="440">
        <v>121519.35999999999</v>
      </c>
      <c r="J15" s="440">
        <v>87136.63999999998</v>
      </c>
      <c r="K15" s="440">
        <v>53900.74</v>
      </c>
      <c r="L15" s="440">
        <v>27244.05</v>
      </c>
      <c r="M15" s="440">
        <v>75608.5696554</v>
      </c>
      <c r="N15" s="440">
        <v>76322.13500000001</v>
      </c>
      <c r="O15" s="440">
        <v>94804</v>
      </c>
      <c r="P15" s="440">
        <v>157731.505</v>
      </c>
      <c r="Q15" s="440">
        <v>146208.03</v>
      </c>
      <c r="R15" s="440">
        <v>171932</v>
      </c>
      <c r="S15" s="440">
        <v>88409</v>
      </c>
      <c r="T15" s="447"/>
      <c r="U15" s="447"/>
      <c r="V15" s="447"/>
      <c r="W15" s="447"/>
      <c r="X15" s="448"/>
      <c r="Y15" s="321"/>
    </row>
    <row r="16" spans="2:25" ht="15.75" thickBot="1">
      <c r="B16" s="443" t="s">
        <v>190</v>
      </c>
      <c r="C16" s="444"/>
      <c r="D16" s="444"/>
      <c r="E16" s="445"/>
      <c r="F16" s="445"/>
      <c r="G16" s="445"/>
      <c r="H16" s="445"/>
      <c r="I16" s="445"/>
      <c r="J16" s="445"/>
      <c r="K16" s="445"/>
      <c r="L16" s="445"/>
      <c r="M16" s="445"/>
      <c r="N16" s="445"/>
      <c r="O16" s="445"/>
      <c r="P16" s="445"/>
      <c r="Q16" s="445"/>
      <c r="R16" s="445"/>
      <c r="S16" s="445">
        <v>88409</v>
      </c>
      <c r="T16" s="449">
        <v>90615.02917367722</v>
      </c>
      <c r="U16" s="449">
        <v>93173.08887619503</v>
      </c>
      <c r="V16" s="449">
        <v>93173.08887619503</v>
      </c>
      <c r="W16" s="449">
        <v>93173.08887619503</v>
      </c>
      <c r="X16" s="450">
        <v>93173.08887619503</v>
      </c>
      <c r="Y16" s="281"/>
    </row>
    <row r="17" spans="1:25" ht="15">
      <c r="A17" s="257"/>
      <c r="B17" s="438" t="s">
        <v>143</v>
      </c>
      <c r="C17" s="439"/>
      <c r="D17" s="439"/>
      <c r="E17" s="440">
        <v>2669</v>
      </c>
      <c r="F17" s="440">
        <v>1568</v>
      </c>
      <c r="G17" s="440">
        <v>1757</v>
      </c>
      <c r="H17" s="440">
        <v>999</v>
      </c>
      <c r="I17" s="440">
        <v>0</v>
      </c>
      <c r="J17" s="440">
        <v>293</v>
      </c>
      <c r="K17" s="440">
        <v>3740</v>
      </c>
      <c r="L17" s="440">
        <v>6238</v>
      </c>
      <c r="M17" s="440">
        <v>8983</v>
      </c>
      <c r="N17" s="440">
        <v>2202</v>
      </c>
      <c r="O17" s="440">
        <v>1119</v>
      </c>
      <c r="P17" s="440">
        <v>4418</v>
      </c>
      <c r="Q17" s="440">
        <v>993</v>
      </c>
      <c r="R17" s="440">
        <v>689</v>
      </c>
      <c r="S17" s="440">
        <v>723</v>
      </c>
      <c r="T17" s="447"/>
      <c r="U17" s="447"/>
      <c r="V17" s="447"/>
      <c r="W17" s="447"/>
      <c r="X17" s="448"/>
      <c r="Y17" s="321"/>
    </row>
    <row r="18" spans="1:24" ht="15.75" thickBot="1">
      <c r="A18" s="257"/>
      <c r="B18" s="443" t="s">
        <v>190</v>
      </c>
      <c r="C18" s="444"/>
      <c r="D18" s="444"/>
      <c r="E18" s="445"/>
      <c r="F18" s="445"/>
      <c r="G18" s="445"/>
      <c r="H18" s="445"/>
      <c r="I18" s="445"/>
      <c r="J18" s="445"/>
      <c r="K18" s="445"/>
      <c r="L18" s="445"/>
      <c r="M18" s="445"/>
      <c r="N18" s="445"/>
      <c r="O18" s="445"/>
      <c r="P18" s="445"/>
      <c r="Q18" s="445"/>
      <c r="R18" s="445"/>
      <c r="S18" s="445">
        <v>723</v>
      </c>
      <c r="T18" s="449">
        <v>2668.2720654991504</v>
      </c>
      <c r="U18" s="449">
        <v>2668.2720291356886</v>
      </c>
      <c r="V18" s="449">
        <v>2668.2719927722273</v>
      </c>
      <c r="W18" s="449">
        <v>2668.2719564087656</v>
      </c>
      <c r="X18" s="450">
        <v>2668.2719200453043</v>
      </c>
    </row>
    <row r="19" spans="1:24" ht="15">
      <c r="A19" s="257"/>
      <c r="B19" s="438" t="s">
        <v>144</v>
      </c>
      <c r="C19" s="439"/>
      <c r="D19" s="439"/>
      <c r="E19" s="440">
        <v>843</v>
      </c>
      <c r="F19" s="440">
        <v>577</v>
      </c>
      <c r="G19" s="440">
        <v>1133</v>
      </c>
      <c r="H19" s="440">
        <v>1091</v>
      </c>
      <c r="I19" s="440">
        <v>7</v>
      </c>
      <c r="J19" s="440">
        <v>184</v>
      </c>
      <c r="K19" s="440">
        <v>2433</v>
      </c>
      <c r="L19" s="440">
        <v>3759</v>
      </c>
      <c r="M19" s="440">
        <v>5319</v>
      </c>
      <c r="N19" s="440">
        <v>1552</v>
      </c>
      <c r="O19" s="440">
        <v>392</v>
      </c>
      <c r="P19" s="440">
        <v>1559</v>
      </c>
      <c r="Q19" s="440">
        <v>160</v>
      </c>
      <c r="R19" s="440">
        <v>268</v>
      </c>
      <c r="S19" s="440">
        <v>379</v>
      </c>
      <c r="T19" s="447"/>
      <c r="U19" s="447"/>
      <c r="V19" s="447"/>
      <c r="W19" s="447"/>
      <c r="X19" s="448"/>
    </row>
    <row r="20" spans="2:24" s="257" customFormat="1" ht="15.75" thickBot="1">
      <c r="B20" s="443" t="s">
        <v>190</v>
      </c>
      <c r="C20" s="444"/>
      <c r="D20" s="444"/>
      <c r="E20" s="445"/>
      <c r="F20" s="445"/>
      <c r="G20" s="445"/>
      <c r="H20" s="445"/>
      <c r="I20" s="445"/>
      <c r="J20" s="445"/>
      <c r="K20" s="445"/>
      <c r="L20" s="445"/>
      <c r="M20" s="445"/>
      <c r="N20" s="445"/>
      <c r="O20" s="445"/>
      <c r="P20" s="445"/>
      <c r="Q20" s="445"/>
      <c r="R20" s="445"/>
      <c r="S20" s="445">
        <v>379</v>
      </c>
      <c r="T20" s="449">
        <v>378.99999999988796</v>
      </c>
      <c r="U20" s="449">
        <v>378.99999999988796</v>
      </c>
      <c r="V20" s="449">
        <v>378.99999999988796</v>
      </c>
      <c r="W20" s="449">
        <v>378.99999999988796</v>
      </c>
      <c r="X20" s="450">
        <v>378.99999999988796</v>
      </c>
    </row>
    <row r="21" spans="1:24" ht="15">
      <c r="A21" s="257"/>
      <c r="B21" s="438" t="s">
        <v>157</v>
      </c>
      <c r="C21" s="439"/>
      <c r="D21" s="439"/>
      <c r="E21" s="440">
        <v>1893</v>
      </c>
      <c r="F21" s="440">
        <v>1096</v>
      </c>
      <c r="G21" s="440">
        <v>1126</v>
      </c>
      <c r="H21" s="440">
        <v>509</v>
      </c>
      <c r="I21" s="440">
        <v>38</v>
      </c>
      <c r="J21" s="440">
        <v>204</v>
      </c>
      <c r="K21" s="440">
        <v>3294</v>
      </c>
      <c r="L21" s="440">
        <v>4812</v>
      </c>
      <c r="M21" s="440">
        <v>8656</v>
      </c>
      <c r="N21" s="440">
        <v>1663</v>
      </c>
      <c r="O21" s="440">
        <v>1035</v>
      </c>
      <c r="P21" s="440">
        <v>2718</v>
      </c>
      <c r="Q21" s="440">
        <v>1395</v>
      </c>
      <c r="R21" s="440">
        <v>411</v>
      </c>
      <c r="S21" s="440">
        <v>775</v>
      </c>
      <c r="T21" s="447"/>
      <c r="U21" s="447"/>
      <c r="V21" s="447"/>
      <c r="W21" s="447"/>
      <c r="X21" s="448"/>
    </row>
    <row r="22" spans="2:24" ht="15.75" thickBot="1">
      <c r="B22" s="443" t="s">
        <v>190</v>
      </c>
      <c r="C22" s="444"/>
      <c r="D22" s="444"/>
      <c r="E22" s="445"/>
      <c r="F22" s="445"/>
      <c r="G22" s="445"/>
      <c r="H22" s="445"/>
      <c r="I22" s="445"/>
      <c r="J22" s="445"/>
      <c r="K22" s="445"/>
      <c r="L22" s="445"/>
      <c r="M22" s="445"/>
      <c r="N22" s="445"/>
      <c r="O22" s="445"/>
      <c r="P22" s="445"/>
      <c r="Q22" s="445"/>
      <c r="R22" s="445"/>
      <c r="S22" s="445">
        <v>775</v>
      </c>
      <c r="T22" s="449">
        <v>1893.246026768329</v>
      </c>
      <c r="U22" s="449">
        <v>1893.2460390701146</v>
      </c>
      <c r="V22" s="449">
        <v>1893.2460513719004</v>
      </c>
      <c r="W22" s="449">
        <v>1893.246063673686</v>
      </c>
      <c r="X22" s="450">
        <v>1893.2460759754715</v>
      </c>
    </row>
    <row r="23" spans="2:24" ht="15">
      <c r="B23" s="438" t="s">
        <v>158</v>
      </c>
      <c r="C23" s="439"/>
      <c r="D23" s="439"/>
      <c r="E23" s="440">
        <v>375</v>
      </c>
      <c r="F23" s="440">
        <v>392</v>
      </c>
      <c r="G23" s="440">
        <v>503</v>
      </c>
      <c r="H23" s="440">
        <v>523</v>
      </c>
      <c r="I23" s="440">
        <v>2</v>
      </c>
      <c r="J23" s="440">
        <v>228</v>
      </c>
      <c r="K23" s="440">
        <v>2157</v>
      </c>
      <c r="L23" s="440">
        <v>1017</v>
      </c>
      <c r="M23" s="440">
        <v>1729</v>
      </c>
      <c r="N23" s="440">
        <v>356</v>
      </c>
      <c r="O23" s="440">
        <v>208</v>
      </c>
      <c r="P23" s="440">
        <v>471</v>
      </c>
      <c r="Q23" s="440">
        <v>39</v>
      </c>
      <c r="R23" s="440">
        <v>130</v>
      </c>
      <c r="S23" s="440">
        <v>139</v>
      </c>
      <c r="T23" s="447"/>
      <c r="U23" s="447"/>
      <c r="V23" s="447"/>
      <c r="W23" s="447"/>
      <c r="X23" s="448"/>
    </row>
    <row r="24" spans="2:24" ht="15.75" thickBot="1">
      <c r="B24" s="443" t="s">
        <v>190</v>
      </c>
      <c r="C24" s="444"/>
      <c r="D24" s="444"/>
      <c r="E24" s="445"/>
      <c r="F24" s="445"/>
      <c r="G24" s="445"/>
      <c r="H24" s="445"/>
      <c r="I24" s="445"/>
      <c r="J24" s="445"/>
      <c r="K24" s="445"/>
      <c r="L24" s="445"/>
      <c r="M24" s="445"/>
      <c r="N24" s="445"/>
      <c r="O24" s="445"/>
      <c r="P24" s="445"/>
      <c r="Q24" s="445"/>
      <c r="R24" s="445"/>
      <c r="S24" s="445">
        <v>139</v>
      </c>
      <c r="T24" s="449">
        <v>405.0528422493038</v>
      </c>
      <c r="U24" s="449">
        <v>405.0528422493038</v>
      </c>
      <c r="V24" s="449">
        <v>405.0528422493038</v>
      </c>
      <c r="W24" s="449">
        <v>405.0528422493038</v>
      </c>
      <c r="X24" s="450">
        <v>405.0528422493038</v>
      </c>
    </row>
    <row r="25" spans="18:20" ht="15">
      <c r="R25" s="281"/>
      <c r="S25" s="281"/>
      <c r="T25" s="281"/>
    </row>
    <row r="26" spans="28:39" ht="15">
      <c r="AB26" s="257"/>
      <c r="AC26" s="257"/>
      <c r="AD26" s="257"/>
      <c r="AE26" s="257"/>
      <c r="AF26" s="257"/>
      <c r="AG26" s="257"/>
      <c r="AH26" s="257"/>
      <c r="AI26" s="257"/>
      <c r="AJ26" s="257"/>
      <c r="AK26" s="257"/>
      <c r="AL26" s="257"/>
      <c r="AM26" s="257"/>
    </row>
    <row r="27" spans="28:39" ht="15">
      <c r="AB27" s="257"/>
      <c r="AC27" s="257"/>
      <c r="AD27" s="257"/>
      <c r="AE27" s="257"/>
      <c r="AF27" s="257"/>
      <c r="AG27" s="257"/>
      <c r="AH27" s="257"/>
      <c r="AI27" s="257"/>
      <c r="AJ27" s="257"/>
      <c r="AK27" s="257"/>
      <c r="AL27" s="257"/>
      <c r="AM27" s="257"/>
    </row>
    <row r="28" spans="6:39" ht="15">
      <c r="F28" s="497"/>
      <c r="G28" s="497"/>
      <c r="H28" s="497"/>
      <c r="I28" s="497"/>
      <c r="J28" s="497"/>
      <c r="K28" s="497"/>
      <c r="L28" s="497"/>
      <c r="M28" s="497"/>
      <c r="AB28" s="257"/>
      <c r="AC28" s="257"/>
      <c r="AD28" s="257"/>
      <c r="AE28" s="257"/>
      <c r="AF28" s="257"/>
      <c r="AG28" s="257"/>
      <c r="AH28" s="257"/>
      <c r="AI28" s="257"/>
      <c r="AJ28" s="257"/>
      <c r="AK28" s="257"/>
      <c r="AL28" s="257"/>
      <c r="AM28" s="257"/>
    </row>
    <row r="29" spans="28:39" ht="15">
      <c r="AB29" s="257"/>
      <c r="AC29" s="257"/>
      <c r="AD29" s="257"/>
      <c r="AE29" s="257"/>
      <c r="AF29" s="257"/>
      <c r="AG29" s="257"/>
      <c r="AH29" s="257"/>
      <c r="AI29" s="257"/>
      <c r="AJ29" s="257"/>
      <c r="AK29" s="257"/>
      <c r="AL29" s="257"/>
      <c r="AM29" s="257"/>
    </row>
    <row r="30" spans="28:39" ht="15">
      <c r="AB30" s="257"/>
      <c r="AC30" s="257"/>
      <c r="AD30" s="257"/>
      <c r="AE30" s="257"/>
      <c r="AF30" s="257"/>
      <c r="AG30" s="257"/>
      <c r="AH30" s="257"/>
      <c r="AI30" s="257"/>
      <c r="AJ30" s="257"/>
      <c r="AK30" s="257"/>
      <c r="AL30" s="257"/>
      <c r="AM30" s="257"/>
    </row>
    <row r="31" spans="28:39" ht="15">
      <c r="AB31" s="257"/>
      <c r="AC31" s="257"/>
      <c r="AD31" s="257"/>
      <c r="AE31" s="257"/>
      <c r="AF31" s="257"/>
      <c r="AG31" s="257"/>
      <c r="AH31" s="257"/>
      <c r="AI31" s="257"/>
      <c r="AJ31" s="257"/>
      <c r="AK31" s="257"/>
      <c r="AL31" s="257"/>
      <c r="AM31" s="257"/>
    </row>
    <row r="32" spans="28:39" ht="15">
      <c r="AB32" s="257"/>
      <c r="AC32" s="257"/>
      <c r="AD32" s="496"/>
      <c r="AE32" s="496"/>
      <c r="AF32" s="323"/>
      <c r="AG32" s="323"/>
      <c r="AH32" s="257"/>
      <c r="AI32" s="257"/>
      <c r="AJ32" s="257"/>
      <c r="AK32" s="257"/>
      <c r="AL32" s="257"/>
      <c r="AM32" s="257"/>
    </row>
    <row r="33" spans="28:39" ht="15">
      <c r="AB33" s="257"/>
      <c r="AC33" s="257"/>
      <c r="AD33" s="496"/>
      <c r="AE33" s="496"/>
      <c r="AF33" s="323"/>
      <c r="AG33" s="323"/>
      <c r="AH33" s="257"/>
      <c r="AI33" s="257"/>
      <c r="AJ33" s="257"/>
      <c r="AK33" s="257"/>
      <c r="AL33" s="257"/>
      <c r="AM33" s="257"/>
    </row>
    <row r="34" spans="28:39" ht="15">
      <c r="AB34" s="257"/>
      <c r="AC34" s="257"/>
      <c r="AD34" s="324"/>
      <c r="AE34" s="324"/>
      <c r="AF34" s="324"/>
      <c r="AG34" s="324"/>
      <c r="AH34" s="257"/>
      <c r="AI34" s="257"/>
      <c r="AJ34" s="257"/>
      <c r="AK34" s="257"/>
      <c r="AL34" s="257"/>
      <c r="AM34" s="257"/>
    </row>
    <row r="35" spans="28:39" ht="15">
      <c r="AB35" s="257"/>
      <c r="AC35" s="257"/>
      <c r="AD35" s="324"/>
      <c r="AE35" s="324"/>
      <c r="AF35" s="324"/>
      <c r="AG35" s="324"/>
      <c r="AH35" s="257"/>
      <c r="AI35" s="257"/>
      <c r="AJ35" s="257"/>
      <c r="AK35" s="257"/>
      <c r="AL35" s="257"/>
      <c r="AM35" s="257"/>
    </row>
    <row r="36" spans="28:39" ht="15">
      <c r="AB36" s="257"/>
      <c r="AC36" s="257"/>
      <c r="AD36" s="324"/>
      <c r="AE36" s="257"/>
      <c r="AF36" s="257"/>
      <c r="AG36" s="257"/>
      <c r="AH36" s="257"/>
      <c r="AI36" s="257"/>
      <c r="AJ36" s="257"/>
      <c r="AK36" s="257"/>
      <c r="AL36" s="257"/>
      <c r="AM36" s="257"/>
    </row>
    <row r="37" spans="28:39" ht="15">
      <c r="AB37" s="257"/>
      <c r="AC37" s="257"/>
      <c r="AD37" s="324"/>
      <c r="AE37" s="257"/>
      <c r="AF37" s="257"/>
      <c r="AG37" s="257"/>
      <c r="AH37" s="257"/>
      <c r="AI37" s="257"/>
      <c r="AJ37" s="257"/>
      <c r="AK37" s="257"/>
      <c r="AL37" s="257"/>
      <c r="AM37" s="257"/>
    </row>
    <row r="38" spans="28:39" ht="15">
      <c r="AB38" s="257"/>
      <c r="AC38" s="257"/>
      <c r="AD38" s="324"/>
      <c r="AE38" s="257"/>
      <c r="AF38" s="257"/>
      <c r="AG38" s="257"/>
      <c r="AH38" s="257"/>
      <c r="AI38" s="257"/>
      <c r="AJ38" s="257"/>
      <c r="AK38" s="257"/>
      <c r="AL38" s="257"/>
      <c r="AM38" s="257"/>
    </row>
    <row r="39" spans="28:39" ht="15">
      <c r="AB39" s="257"/>
      <c r="AC39" s="257"/>
      <c r="AD39" s="324"/>
      <c r="AE39" s="257"/>
      <c r="AF39" s="257"/>
      <c r="AG39" s="257"/>
      <c r="AH39" s="257"/>
      <c r="AI39" s="257"/>
      <c r="AJ39" s="257"/>
      <c r="AK39" s="257"/>
      <c r="AL39" s="257"/>
      <c r="AM39" s="257"/>
    </row>
    <row r="40" spans="28:39" ht="15">
      <c r="AB40" s="257"/>
      <c r="AC40" s="257"/>
      <c r="AD40" s="324"/>
      <c r="AE40" s="257"/>
      <c r="AF40" s="257"/>
      <c r="AG40" s="257"/>
      <c r="AH40" s="257"/>
      <c r="AI40" s="257"/>
      <c r="AJ40" s="257"/>
      <c r="AK40" s="257"/>
      <c r="AL40" s="257"/>
      <c r="AM40" s="257"/>
    </row>
    <row r="41" spans="28:39" ht="15">
      <c r="AB41" s="257"/>
      <c r="AC41" s="257"/>
      <c r="AD41" s="324"/>
      <c r="AE41" s="257"/>
      <c r="AF41" s="257"/>
      <c r="AG41" s="257"/>
      <c r="AH41" s="257"/>
      <c r="AI41" s="257"/>
      <c r="AJ41" s="257"/>
      <c r="AK41" s="257"/>
      <c r="AL41" s="257"/>
      <c r="AM41" s="257"/>
    </row>
    <row r="42" spans="28:39" ht="15">
      <c r="AB42" s="257"/>
      <c r="AC42" s="257"/>
      <c r="AD42" s="257"/>
      <c r="AE42" s="257"/>
      <c r="AF42" s="257"/>
      <c r="AG42" s="257"/>
      <c r="AH42" s="257"/>
      <c r="AI42" s="257"/>
      <c r="AJ42" s="257"/>
      <c r="AK42" s="257"/>
      <c r="AL42" s="257"/>
      <c r="AM42" s="257"/>
    </row>
    <row r="43" spans="28:39" ht="15">
      <c r="AB43" s="257"/>
      <c r="AC43" s="257"/>
      <c r="AD43" s="257"/>
      <c r="AE43" s="257"/>
      <c r="AF43" s="257"/>
      <c r="AG43" s="257"/>
      <c r="AH43" s="257"/>
      <c r="AI43" s="257"/>
      <c r="AJ43" s="257"/>
      <c r="AK43" s="257"/>
      <c r="AL43" s="257"/>
      <c r="AM43" s="257"/>
    </row>
    <row r="44" spans="28:39" ht="15">
      <c r="AB44" s="257"/>
      <c r="AC44" s="257"/>
      <c r="AD44" s="257"/>
      <c r="AE44" s="257"/>
      <c r="AF44" s="257"/>
      <c r="AG44" s="257"/>
      <c r="AH44" s="257"/>
      <c r="AI44" s="257"/>
      <c r="AJ44" s="257"/>
      <c r="AK44" s="257"/>
      <c r="AL44" s="257"/>
      <c r="AM44" s="257"/>
    </row>
    <row r="45" spans="28:39" ht="15">
      <c r="AB45" s="257"/>
      <c r="AC45" s="257"/>
      <c r="AD45" s="257"/>
      <c r="AE45" s="257"/>
      <c r="AF45" s="257"/>
      <c r="AG45" s="257"/>
      <c r="AH45" s="257"/>
      <c r="AI45" s="257"/>
      <c r="AJ45" s="257"/>
      <c r="AK45" s="257"/>
      <c r="AL45" s="257"/>
      <c r="AM45" s="257"/>
    </row>
    <row r="46" spans="28:39" ht="15">
      <c r="AB46" s="257"/>
      <c r="AC46" s="257"/>
      <c r="AD46" s="257"/>
      <c r="AE46" s="257"/>
      <c r="AF46" s="257"/>
      <c r="AG46" s="257"/>
      <c r="AH46" s="257"/>
      <c r="AI46" s="257"/>
      <c r="AJ46" s="257"/>
      <c r="AK46" s="257"/>
      <c r="AL46" s="257"/>
      <c r="AM46" s="257"/>
    </row>
    <row r="47" spans="28:39" ht="15">
      <c r="AB47" s="257"/>
      <c r="AC47" s="257"/>
      <c r="AD47" s="257"/>
      <c r="AE47" s="257"/>
      <c r="AF47" s="257"/>
      <c r="AG47" s="257"/>
      <c r="AH47" s="257"/>
      <c r="AI47" s="257"/>
      <c r="AJ47" s="257"/>
      <c r="AK47" s="257"/>
      <c r="AL47" s="257"/>
      <c r="AM47" s="257"/>
    </row>
    <row r="48" spans="28:39" ht="15">
      <c r="AB48" s="257"/>
      <c r="AC48" s="257"/>
      <c r="AD48" s="257"/>
      <c r="AE48" s="257"/>
      <c r="AF48" s="257"/>
      <c r="AG48" s="257"/>
      <c r="AH48" s="257"/>
      <c r="AI48" s="257"/>
      <c r="AJ48" s="257"/>
      <c r="AK48" s="257"/>
      <c r="AL48" s="257"/>
      <c r="AM48" s="257"/>
    </row>
    <row r="49" spans="28:39" ht="15">
      <c r="AB49" s="257"/>
      <c r="AC49" s="257"/>
      <c r="AD49" s="257"/>
      <c r="AE49" s="257"/>
      <c r="AF49" s="257"/>
      <c r="AG49" s="257"/>
      <c r="AH49" s="257"/>
      <c r="AI49" s="257"/>
      <c r="AJ49" s="257"/>
      <c r="AK49" s="257"/>
      <c r="AL49" s="257"/>
      <c r="AM49" s="257"/>
    </row>
    <row r="50" spans="28:39" ht="15">
      <c r="AB50" s="257"/>
      <c r="AC50" s="257"/>
      <c r="AD50" s="257"/>
      <c r="AE50" s="257"/>
      <c r="AF50" s="257"/>
      <c r="AG50" s="257"/>
      <c r="AH50" s="257"/>
      <c r="AI50" s="257"/>
      <c r="AJ50" s="257"/>
      <c r="AK50" s="257"/>
      <c r="AL50" s="257"/>
      <c r="AM50" s="257"/>
    </row>
    <row r="51" spans="28:39" ht="15">
      <c r="AB51" s="257"/>
      <c r="AC51" s="257"/>
      <c r="AD51" s="257"/>
      <c r="AE51" s="257"/>
      <c r="AF51" s="257"/>
      <c r="AG51" s="257"/>
      <c r="AH51" s="257"/>
      <c r="AI51" s="257"/>
      <c r="AJ51" s="257"/>
      <c r="AK51" s="257"/>
      <c r="AL51" s="257"/>
      <c r="AM51" s="257"/>
    </row>
    <row r="52" spans="5:39" ht="15">
      <c r="E52" s="497"/>
      <c r="F52" s="497"/>
      <c r="G52" s="497"/>
      <c r="H52" s="497"/>
      <c r="I52" s="497"/>
      <c r="J52" s="497"/>
      <c r="K52" s="497"/>
      <c r="L52" s="497"/>
      <c r="AB52" s="257"/>
      <c r="AC52" s="257"/>
      <c r="AD52" s="257"/>
      <c r="AE52" s="257"/>
      <c r="AF52" s="257"/>
      <c r="AG52" s="257"/>
      <c r="AH52" s="257"/>
      <c r="AI52" s="257"/>
      <c r="AJ52" s="257"/>
      <c r="AK52" s="257"/>
      <c r="AL52" s="257"/>
      <c r="AM52" s="257"/>
    </row>
    <row r="53" spans="28:39" ht="15">
      <c r="AB53" s="257"/>
      <c r="AC53" s="257"/>
      <c r="AD53" s="257"/>
      <c r="AE53" s="257"/>
      <c r="AF53" s="257"/>
      <c r="AG53" s="257"/>
      <c r="AH53" s="257"/>
      <c r="AI53" s="257"/>
      <c r="AJ53" s="257"/>
      <c r="AK53" s="257"/>
      <c r="AL53" s="257"/>
      <c r="AM53" s="257"/>
    </row>
    <row r="54" spans="28:39" ht="15">
      <c r="AB54" s="257"/>
      <c r="AC54" s="257"/>
      <c r="AD54" s="257"/>
      <c r="AE54" s="257"/>
      <c r="AF54" s="257"/>
      <c r="AG54" s="257"/>
      <c r="AH54" s="257"/>
      <c r="AI54" s="257"/>
      <c r="AJ54" s="257"/>
      <c r="AK54" s="257"/>
      <c r="AL54" s="257"/>
      <c r="AM54" s="257"/>
    </row>
    <row r="61" spans="26:34" ht="15">
      <c r="Z61" s="257"/>
      <c r="AA61" s="257"/>
      <c r="AB61" s="257"/>
      <c r="AC61" s="257"/>
      <c r="AD61" s="257"/>
      <c r="AE61" s="257"/>
      <c r="AF61" s="257"/>
      <c r="AG61" s="257"/>
      <c r="AH61" s="257"/>
    </row>
    <row r="62" spans="26:34" ht="15">
      <c r="Z62" s="257"/>
      <c r="AA62" s="257"/>
      <c r="AB62" s="257"/>
      <c r="AC62" s="257"/>
      <c r="AD62" s="257"/>
      <c r="AE62" s="257"/>
      <c r="AF62" s="257"/>
      <c r="AG62" s="257"/>
      <c r="AH62" s="257"/>
    </row>
    <row r="63" spans="26:34" ht="15">
      <c r="Z63" s="257"/>
      <c r="AA63" s="257"/>
      <c r="AB63" s="257"/>
      <c r="AC63" s="257"/>
      <c r="AD63" s="257"/>
      <c r="AE63" s="257"/>
      <c r="AF63" s="257"/>
      <c r="AG63" s="257"/>
      <c r="AH63" s="257"/>
    </row>
    <row r="64" spans="26:34" ht="15">
      <c r="Z64" s="257"/>
      <c r="AA64" s="496"/>
      <c r="AB64" s="496"/>
      <c r="AC64" s="323"/>
      <c r="AD64" s="323"/>
      <c r="AE64" s="323"/>
      <c r="AF64" s="323"/>
      <c r="AG64" s="257"/>
      <c r="AH64" s="257"/>
    </row>
    <row r="65" spans="26:34" ht="15">
      <c r="Z65" s="257"/>
      <c r="AA65" s="496"/>
      <c r="AB65" s="496"/>
      <c r="AC65" s="323"/>
      <c r="AD65" s="323"/>
      <c r="AE65" s="323"/>
      <c r="AF65" s="323"/>
      <c r="AG65" s="257"/>
      <c r="AH65" s="257"/>
    </row>
    <row r="66" spans="26:34" ht="15">
      <c r="Z66" s="257"/>
      <c r="AA66" s="324"/>
      <c r="AB66" s="324"/>
      <c r="AC66" s="324"/>
      <c r="AD66" s="324"/>
      <c r="AE66" s="324"/>
      <c r="AF66" s="324"/>
      <c r="AG66" s="257"/>
      <c r="AH66" s="257"/>
    </row>
    <row r="67" spans="26:34" ht="15">
      <c r="Z67" s="257"/>
      <c r="AA67" s="324"/>
      <c r="AB67" s="324"/>
      <c r="AC67" s="324"/>
      <c r="AD67" s="324"/>
      <c r="AE67" s="324"/>
      <c r="AF67" s="324"/>
      <c r="AG67" s="257"/>
      <c r="AH67" s="257"/>
    </row>
    <row r="68" spans="26:34" ht="15">
      <c r="Z68" s="257"/>
      <c r="AA68" s="324"/>
      <c r="AB68" s="324"/>
      <c r="AC68" s="324"/>
      <c r="AD68" s="324"/>
      <c r="AE68" s="324"/>
      <c r="AF68" s="324"/>
      <c r="AG68" s="257"/>
      <c r="AH68" s="257"/>
    </row>
    <row r="69" spans="26:34" ht="15">
      <c r="Z69" s="257"/>
      <c r="AA69" s="324"/>
      <c r="AB69" s="324"/>
      <c r="AC69" s="324"/>
      <c r="AD69" s="324"/>
      <c r="AE69" s="324"/>
      <c r="AF69" s="324"/>
      <c r="AG69" s="257"/>
      <c r="AH69" s="257"/>
    </row>
    <row r="70" spans="26:34" ht="15">
      <c r="Z70" s="257"/>
      <c r="AA70" s="324"/>
      <c r="AB70" s="324"/>
      <c r="AC70" s="324"/>
      <c r="AD70" s="324"/>
      <c r="AE70" s="324"/>
      <c r="AF70" s="324"/>
      <c r="AG70" s="257"/>
      <c r="AH70" s="257"/>
    </row>
    <row r="71" spans="26:34" ht="15">
      <c r="Z71" s="257"/>
      <c r="AA71" s="324"/>
      <c r="AB71" s="324"/>
      <c r="AC71" s="324"/>
      <c r="AD71" s="324"/>
      <c r="AE71" s="324"/>
      <c r="AF71" s="324"/>
      <c r="AG71" s="257"/>
      <c r="AH71" s="257"/>
    </row>
    <row r="72" spans="26:34" ht="15">
      <c r="Z72" s="257"/>
      <c r="AA72" s="324"/>
      <c r="AB72" s="324"/>
      <c r="AC72" s="324"/>
      <c r="AD72" s="324"/>
      <c r="AE72" s="324"/>
      <c r="AF72" s="324"/>
      <c r="AG72" s="257"/>
      <c r="AH72" s="257"/>
    </row>
    <row r="73" spans="26:34" ht="15">
      <c r="Z73" s="257"/>
      <c r="AA73" s="324"/>
      <c r="AB73" s="324"/>
      <c r="AC73" s="324"/>
      <c r="AD73" s="324"/>
      <c r="AE73" s="324"/>
      <c r="AF73" s="324"/>
      <c r="AG73" s="257"/>
      <c r="AH73" s="257"/>
    </row>
    <row r="74" spans="26:34" ht="15">
      <c r="Z74" s="257"/>
      <c r="AA74" s="257"/>
      <c r="AB74" s="257"/>
      <c r="AC74" s="257"/>
      <c r="AD74" s="257"/>
      <c r="AE74" s="257"/>
      <c r="AF74" s="257"/>
      <c r="AG74" s="257"/>
      <c r="AH74" s="257"/>
    </row>
    <row r="75" spans="26:34" ht="15">
      <c r="Z75" s="257"/>
      <c r="AA75" s="257"/>
      <c r="AB75" s="257"/>
      <c r="AC75" s="257"/>
      <c r="AD75" s="257"/>
      <c r="AE75" s="257"/>
      <c r="AF75" s="257"/>
      <c r="AG75" s="257"/>
      <c r="AH75" s="257"/>
    </row>
    <row r="76" spans="26:34" ht="15">
      <c r="Z76" s="257"/>
      <c r="AA76" s="257"/>
      <c r="AB76" s="257"/>
      <c r="AC76" s="257"/>
      <c r="AD76" s="257"/>
      <c r="AE76" s="257"/>
      <c r="AF76" s="257"/>
      <c r="AG76" s="257"/>
      <c r="AH76" s="257"/>
    </row>
    <row r="77" spans="5:12" ht="15">
      <c r="E77" s="497"/>
      <c r="F77" s="497"/>
      <c r="G77" s="497"/>
      <c r="H77" s="497"/>
      <c r="I77" s="497"/>
      <c r="J77" s="497"/>
      <c r="K77" s="497"/>
      <c r="L77" s="497"/>
    </row>
    <row r="96" ht="15">
      <c r="P96" s="281"/>
    </row>
    <row r="97" ht="15">
      <c r="P97" s="281"/>
    </row>
    <row r="98" ht="15">
      <c r="P98" s="281"/>
    </row>
    <row r="99" ht="15">
      <c r="P99" s="281"/>
    </row>
    <row r="100" ht="15">
      <c r="P100" s="281"/>
    </row>
  </sheetData>
  <sheetProtection/>
  <mergeCells count="8">
    <mergeCell ref="AE32:AE33"/>
    <mergeCell ref="F28:M28"/>
    <mergeCell ref="E52:L52"/>
    <mergeCell ref="E77:L77"/>
    <mergeCell ref="C5:X5"/>
    <mergeCell ref="AA64:AA65"/>
    <mergeCell ref="AB64:AB65"/>
    <mergeCell ref="AD32:AD33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2">
    <tabColor theme="9" tint="0.39998000860214233"/>
  </sheetPr>
  <dimension ref="A1:N53"/>
  <sheetViews>
    <sheetView zoomScalePageLayoutView="0" workbookViewId="0" topLeftCell="A1">
      <selection activeCell="J24" sqref="J24"/>
    </sheetView>
  </sheetViews>
  <sheetFormatPr defaultColWidth="11.421875" defaultRowHeight="15"/>
  <cols>
    <col min="1" max="1" width="54.421875" style="255" customWidth="1"/>
    <col min="2" max="2" width="43.140625" style="255" customWidth="1"/>
    <col min="3" max="3" width="20.140625" style="255" bestFit="1" customWidth="1"/>
    <col min="4" max="4" width="17.140625" style="255" bestFit="1" customWidth="1"/>
    <col min="5" max="5" width="13.421875" style="255" bestFit="1" customWidth="1"/>
    <col min="6" max="6" width="13.8515625" style="255" bestFit="1" customWidth="1"/>
    <col min="7" max="7" width="13.421875" style="255" bestFit="1" customWidth="1"/>
    <col min="8" max="8" width="13.7109375" style="255" bestFit="1" customWidth="1"/>
    <col min="9" max="9" width="17.7109375" style="255" bestFit="1" customWidth="1"/>
    <col min="10" max="10" width="16.421875" style="255" bestFit="1" customWidth="1"/>
    <col min="11" max="11" width="11.8515625" style="255" bestFit="1" customWidth="1"/>
    <col min="12" max="12" width="11.57421875" style="255" bestFit="1" customWidth="1"/>
    <col min="13" max="14" width="13.00390625" style="255" bestFit="1" customWidth="1"/>
    <col min="15" max="16384" width="11.421875" style="255" customWidth="1"/>
  </cols>
  <sheetData>
    <row r="1" spans="2:6" ht="15">
      <c r="B1" s="33"/>
      <c r="C1" s="33"/>
      <c r="D1" s="33"/>
      <c r="E1" s="33"/>
      <c r="F1" s="33"/>
    </row>
    <row r="2" ht="15">
      <c r="A2" s="33" t="s">
        <v>151</v>
      </c>
    </row>
    <row r="3" spans="1:10" ht="15">
      <c r="A3" s="311" t="s">
        <v>24</v>
      </c>
      <c r="B3" s="312"/>
      <c r="C3" s="312">
        <v>2012</v>
      </c>
      <c r="D3" s="312">
        <v>2013</v>
      </c>
      <c r="E3" s="312">
        <v>2014</v>
      </c>
      <c r="F3" s="312">
        <v>2015</v>
      </c>
      <c r="G3" s="312">
        <v>2016</v>
      </c>
      <c r="H3" s="312">
        <v>2017</v>
      </c>
      <c r="I3" s="312">
        <v>2018</v>
      </c>
      <c r="J3" s="313">
        <v>2019</v>
      </c>
    </row>
    <row r="4" spans="1:10" ht="15">
      <c r="A4" s="256" t="s">
        <v>125</v>
      </c>
      <c r="B4" s="257"/>
      <c r="C4" s="257"/>
      <c r="D4" s="257"/>
      <c r="E4" s="258"/>
      <c r="F4" s="259"/>
      <c r="G4" s="259"/>
      <c r="H4" s="259"/>
      <c r="I4" s="259"/>
      <c r="J4" s="260"/>
    </row>
    <row r="5" spans="1:10" ht="15">
      <c r="A5" s="261" t="s">
        <v>193</v>
      </c>
      <c r="B5" s="257"/>
      <c r="C5" s="262">
        <v>7174541</v>
      </c>
      <c r="D5" s="262">
        <v>10516030</v>
      </c>
      <c r="E5" s="263">
        <v>18530196</v>
      </c>
      <c r="F5" s="264">
        <f>+E5</f>
        <v>18530196</v>
      </c>
      <c r="G5" s="264">
        <f>+F5</f>
        <v>18530196</v>
      </c>
      <c r="H5" s="264">
        <f>+G5</f>
        <v>18530196</v>
      </c>
      <c r="I5" s="264">
        <f>+H5</f>
        <v>18530196</v>
      </c>
      <c r="J5" s="265">
        <f>+I5</f>
        <v>18530196</v>
      </c>
    </row>
    <row r="6" spans="1:10" ht="15">
      <c r="A6" s="266" t="s">
        <v>191</v>
      </c>
      <c r="B6" s="267"/>
      <c r="C6" s="268"/>
      <c r="D6" s="268"/>
      <c r="E6" s="269"/>
      <c r="F6" s="259"/>
      <c r="G6" s="259"/>
      <c r="H6" s="259"/>
      <c r="I6" s="259"/>
      <c r="J6" s="260"/>
    </row>
    <row r="7" spans="1:10" ht="15">
      <c r="A7" s="270" t="s">
        <v>194</v>
      </c>
      <c r="B7" s="267">
        <v>0.5</v>
      </c>
      <c r="C7" s="268"/>
      <c r="D7" s="268"/>
      <c r="E7" s="269"/>
      <c r="F7" s="271">
        <f>+F5*$B$7</f>
        <v>9265098</v>
      </c>
      <c r="G7" s="271">
        <f>+G5*$B$7</f>
        <v>9265098</v>
      </c>
      <c r="H7" s="271">
        <f>+H5*$B$7</f>
        <v>9265098</v>
      </c>
      <c r="I7" s="271">
        <f>+I5*$B$7</f>
        <v>9265098</v>
      </c>
      <c r="J7" s="272">
        <f>+J5*$B$7</f>
        <v>9265098</v>
      </c>
    </row>
    <row r="8" spans="1:10" ht="15">
      <c r="A8" s="273" t="s">
        <v>195</v>
      </c>
      <c r="B8" s="274">
        <v>0.5</v>
      </c>
      <c r="C8" s="275"/>
      <c r="D8" s="275"/>
      <c r="E8" s="276"/>
      <c r="F8" s="277">
        <f>+F5*$B$8</f>
        <v>9265098</v>
      </c>
      <c r="G8" s="277">
        <f>+G5*$B$8</f>
        <v>9265098</v>
      </c>
      <c r="H8" s="277">
        <f>+H5*$B$8</f>
        <v>9265098</v>
      </c>
      <c r="I8" s="277">
        <f>+I5*$B$8</f>
        <v>9265098</v>
      </c>
      <c r="J8" s="278">
        <f>+J5*$B$8</f>
        <v>9265098</v>
      </c>
    </row>
    <row r="9" spans="1:12" ht="15">
      <c r="A9" s="279"/>
      <c r="B9" s="280"/>
      <c r="E9" s="281"/>
      <c r="F9" s="281"/>
      <c r="G9" s="282"/>
      <c r="H9" s="281"/>
      <c r="I9" s="281"/>
      <c r="J9" s="281"/>
      <c r="K9" s="281"/>
      <c r="L9" s="281"/>
    </row>
    <row r="10" spans="3:7" ht="15">
      <c r="C10" s="283"/>
      <c r="D10" s="283"/>
      <c r="E10" s="283"/>
      <c r="F10" s="283"/>
      <c r="G10" s="283"/>
    </row>
    <row r="11" ht="15">
      <c r="A11" s="33" t="s">
        <v>152</v>
      </c>
    </row>
    <row r="13" ht="15">
      <c r="A13" s="284" t="s">
        <v>153</v>
      </c>
    </row>
    <row r="14" spans="2:7" ht="15">
      <c r="B14" s="285"/>
      <c r="C14" s="286">
        <v>2010</v>
      </c>
      <c r="D14" s="286">
        <v>2011</v>
      </c>
      <c r="E14" s="286">
        <v>2012</v>
      </c>
      <c r="F14" s="286">
        <v>2013</v>
      </c>
      <c r="G14" s="286">
        <v>2014</v>
      </c>
    </row>
    <row r="15" spans="2:7" ht="15">
      <c r="B15" s="286" t="s">
        <v>149</v>
      </c>
      <c r="C15" s="287"/>
      <c r="D15" s="287"/>
      <c r="E15" s="287"/>
      <c r="F15" s="287"/>
      <c r="G15" s="288">
        <f>SUM(G16:G21)</f>
        <v>-9313392.567158345</v>
      </c>
    </row>
    <row r="16" spans="2:7" ht="15">
      <c r="B16" s="285" t="s">
        <v>196</v>
      </c>
      <c r="C16" s="289">
        <v>-91219</v>
      </c>
      <c r="D16" s="289">
        <v>-6364524</v>
      </c>
      <c r="E16" s="290">
        <v>-6330461</v>
      </c>
      <c r="F16" s="289">
        <v>-8812997</v>
      </c>
      <c r="G16" s="289">
        <v>-5094302.83</v>
      </c>
    </row>
    <row r="17" spans="2:7" ht="15">
      <c r="B17" s="285" t="s">
        <v>197</v>
      </c>
      <c r="C17" s="289">
        <v>-1349314</v>
      </c>
      <c r="D17" s="289">
        <v>-370617</v>
      </c>
      <c r="E17" s="289">
        <v>-825993</v>
      </c>
      <c r="F17" s="285">
        <v>-554229</v>
      </c>
      <c r="G17" s="289">
        <v>-1102297.3</v>
      </c>
    </row>
    <row r="18" spans="2:7" ht="15">
      <c r="B18" s="285" t="s">
        <v>198</v>
      </c>
      <c r="C18" s="289">
        <v>49527</v>
      </c>
      <c r="D18" s="289">
        <v>5070</v>
      </c>
      <c r="E18" s="289">
        <v>-363145</v>
      </c>
      <c r="F18" s="289">
        <v>-498265</v>
      </c>
      <c r="G18" s="289">
        <v>-117091.41</v>
      </c>
    </row>
    <row r="19" spans="2:7" ht="15">
      <c r="B19" s="285" t="s">
        <v>199</v>
      </c>
      <c r="C19" s="289">
        <v>-595039</v>
      </c>
      <c r="D19" s="289">
        <v>-908805</v>
      </c>
      <c r="E19" s="289">
        <v>-1858215</v>
      </c>
      <c r="F19" s="289">
        <v>-1997935</v>
      </c>
      <c r="G19" s="289">
        <v>-1052291.92</v>
      </c>
    </row>
    <row r="20" spans="2:7" ht="15">
      <c r="B20" s="285" t="s">
        <v>200</v>
      </c>
      <c r="C20" s="289">
        <v>125341</v>
      </c>
      <c r="D20" s="289">
        <v>-676794</v>
      </c>
      <c r="E20" s="289">
        <v>-117863</v>
      </c>
      <c r="F20" s="289">
        <v>-227077</v>
      </c>
      <c r="G20" s="289">
        <v>-178481.38</v>
      </c>
    </row>
    <row r="21" spans="2:7" ht="15">
      <c r="B21" s="285" t="s">
        <v>201</v>
      </c>
      <c r="C21" s="291"/>
      <c r="D21" s="291"/>
      <c r="E21" s="289">
        <v>-2403837.032251099</v>
      </c>
      <c r="F21" s="289">
        <v>-2175733.54</v>
      </c>
      <c r="G21" s="289">
        <v>-1768927.7271583444</v>
      </c>
    </row>
    <row r="22" ht="15">
      <c r="B22" s="314" t="s">
        <v>170</v>
      </c>
    </row>
    <row r="23" spans="2:3" ht="15">
      <c r="B23" s="499" t="s">
        <v>150</v>
      </c>
      <c r="C23" s="500"/>
    </row>
    <row r="24" spans="2:3" ht="15">
      <c r="B24" s="285" t="s">
        <v>120</v>
      </c>
      <c r="C24" s="292">
        <f aca="true" t="shared" si="0" ref="C24:C29">+G16/$G$15</f>
        <v>0.5469868034945667</v>
      </c>
    </row>
    <row r="25" spans="2:3" ht="15">
      <c r="B25" s="285" t="s">
        <v>121</v>
      </c>
      <c r="C25" s="292">
        <f t="shared" si="0"/>
        <v>0.11835615132202329</v>
      </c>
    </row>
    <row r="26" spans="2:3" ht="15">
      <c r="B26" s="285" t="s">
        <v>122</v>
      </c>
      <c r="C26" s="292">
        <f t="shared" si="0"/>
        <v>0.01257236921515554</v>
      </c>
    </row>
    <row r="27" spans="2:3" ht="15">
      <c r="B27" s="285" t="s">
        <v>123</v>
      </c>
      <c r="C27" s="292">
        <f t="shared" si="0"/>
        <v>0.11298696070330791</v>
      </c>
    </row>
    <row r="28" spans="2:3" ht="15">
      <c r="B28" s="285" t="s">
        <v>124</v>
      </c>
      <c r="C28" s="292">
        <f t="shared" si="0"/>
        <v>0.019163948981317055</v>
      </c>
    </row>
    <row r="29" spans="1:3" ht="15">
      <c r="A29" s="257"/>
      <c r="B29" s="286" t="s">
        <v>148</v>
      </c>
      <c r="C29" s="293">
        <f t="shared" si="0"/>
        <v>0.1899337662836294</v>
      </c>
    </row>
    <row r="30" spans="1:3" ht="15">
      <c r="A30" s="257"/>
      <c r="B30" s="314" t="s">
        <v>170</v>
      </c>
      <c r="C30" s="294"/>
    </row>
    <row r="31" ht="15">
      <c r="A31" s="284" t="s">
        <v>192</v>
      </c>
    </row>
    <row r="32" spans="1:7" ht="15">
      <c r="A32" s="311" t="s">
        <v>24</v>
      </c>
      <c r="B32" s="312"/>
      <c r="C32" s="312">
        <v>2014</v>
      </c>
      <c r="D32" s="312">
        <f>C32+1</f>
        <v>2015</v>
      </c>
      <c r="E32" s="312">
        <f>D32+1</f>
        <v>2016</v>
      </c>
      <c r="F32" s="312">
        <f>E32+1</f>
        <v>2017</v>
      </c>
      <c r="G32" s="313">
        <f>F32+1</f>
        <v>2018</v>
      </c>
    </row>
    <row r="33" spans="1:7" ht="15">
      <c r="A33" s="256" t="s">
        <v>203</v>
      </c>
      <c r="B33" s="257"/>
      <c r="C33" s="269">
        <f>SUM(C34)</f>
        <v>1759754.9581269221</v>
      </c>
      <c r="D33" s="269">
        <f>SUM(D34)</f>
        <v>1759754.9581269221</v>
      </c>
      <c r="E33" s="269">
        <f>SUM(E34)</f>
        <v>1759754.9581269221</v>
      </c>
      <c r="F33" s="269">
        <f>SUM(F34)</f>
        <v>1759754.9581269221</v>
      </c>
      <c r="G33" s="295">
        <f>SUM(G34)</f>
        <v>1759754.9581269221</v>
      </c>
    </row>
    <row r="34" spans="1:7" ht="15">
      <c r="A34" s="296" t="s">
        <v>202</v>
      </c>
      <c r="B34" s="297">
        <f>+C29</f>
        <v>0.1899337662836294</v>
      </c>
      <c r="C34" s="275">
        <f>+F8*$B$34</f>
        <v>1759754.9581269221</v>
      </c>
      <c r="D34" s="275">
        <f>+G8*$B$34</f>
        <v>1759754.9581269221</v>
      </c>
      <c r="E34" s="275">
        <f>+H8*$B$34</f>
        <v>1759754.9581269221</v>
      </c>
      <c r="F34" s="275">
        <f>+I8*$B$34</f>
        <v>1759754.9581269221</v>
      </c>
      <c r="G34" s="298">
        <f>+J8*$B$34</f>
        <v>1759754.9581269221</v>
      </c>
    </row>
    <row r="35" ht="15">
      <c r="C35" s="281"/>
    </row>
    <row r="36" ht="15">
      <c r="A36" s="284" t="s">
        <v>206</v>
      </c>
    </row>
    <row r="38" ht="15">
      <c r="A38" s="299" t="s">
        <v>154</v>
      </c>
    </row>
    <row r="39" spans="1:14" ht="15">
      <c r="A39" s="300" t="s">
        <v>71</v>
      </c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</row>
    <row r="40" spans="1:14" ht="15">
      <c r="A40" s="501" t="s">
        <v>55</v>
      </c>
      <c r="B40" s="502" t="s">
        <v>56</v>
      </c>
      <c r="C40" s="501" t="s">
        <v>60</v>
      </c>
      <c r="D40" s="501"/>
      <c r="E40" s="501"/>
      <c r="F40" s="501"/>
      <c r="G40" s="501"/>
      <c r="H40" s="501"/>
      <c r="I40" s="501"/>
      <c r="J40" s="501"/>
      <c r="K40" s="503" t="s">
        <v>58</v>
      </c>
      <c r="L40" s="503"/>
      <c r="M40" s="502" t="s">
        <v>59</v>
      </c>
      <c r="N40" s="502"/>
    </row>
    <row r="41" spans="1:14" ht="15">
      <c r="A41" s="501"/>
      <c r="B41" s="502"/>
      <c r="C41" s="502" t="s">
        <v>60</v>
      </c>
      <c r="D41" s="502" t="s">
        <v>61</v>
      </c>
      <c r="E41" s="501" t="s">
        <v>62</v>
      </c>
      <c r="F41" s="501"/>
      <c r="G41" s="501"/>
      <c r="H41" s="501"/>
      <c r="I41" s="501"/>
      <c r="J41" s="502" t="s">
        <v>63</v>
      </c>
      <c r="K41" s="502" t="s">
        <v>64</v>
      </c>
      <c r="L41" s="502" t="s">
        <v>65</v>
      </c>
      <c r="M41" s="502" t="s">
        <v>66</v>
      </c>
      <c r="N41" s="502" t="s">
        <v>51</v>
      </c>
    </row>
    <row r="42" spans="1:14" ht="30">
      <c r="A42" s="501"/>
      <c r="B42" s="502"/>
      <c r="C42" s="502"/>
      <c r="D42" s="502"/>
      <c r="E42" s="317" t="s">
        <v>15</v>
      </c>
      <c r="F42" s="317" t="s">
        <v>67</v>
      </c>
      <c r="G42" s="317" t="s">
        <v>68</v>
      </c>
      <c r="H42" s="317" t="s">
        <v>69</v>
      </c>
      <c r="I42" s="317" t="s">
        <v>70</v>
      </c>
      <c r="J42" s="502"/>
      <c r="K42" s="502"/>
      <c r="L42" s="502"/>
      <c r="M42" s="502"/>
      <c r="N42" s="502"/>
    </row>
    <row r="43" spans="1:14" ht="15">
      <c r="A43" s="301" t="s">
        <v>204</v>
      </c>
      <c r="B43" s="318">
        <f>SUM(C43:N43)</f>
        <v>21727537.36</v>
      </c>
      <c r="C43" s="318">
        <v>78617.28</v>
      </c>
      <c r="D43" s="318">
        <v>3684890.16</v>
      </c>
      <c r="E43" s="319">
        <v>1104720.9</v>
      </c>
      <c r="F43" s="302">
        <v>54932.55</v>
      </c>
      <c r="G43" s="319">
        <v>341.49</v>
      </c>
      <c r="H43" s="319">
        <v>4137501.22</v>
      </c>
      <c r="I43" s="319">
        <v>54051.74</v>
      </c>
      <c r="J43" s="319"/>
      <c r="K43" s="320">
        <v>1335271.03</v>
      </c>
      <c r="L43" s="318">
        <v>450902.73</v>
      </c>
      <c r="M43" s="318">
        <v>2995344.32</v>
      </c>
      <c r="N43" s="318">
        <v>7830963.94</v>
      </c>
    </row>
    <row r="44" spans="1:14" ht="15">
      <c r="A44" s="303" t="s">
        <v>128</v>
      </c>
      <c r="B44" s="304">
        <f>+B43/$B$43</f>
        <v>1</v>
      </c>
      <c r="C44" s="304">
        <f aca="true" t="shared" si="1" ref="C44:N44">+C43/$B$43</f>
        <v>0.0036183244652812324</v>
      </c>
      <c r="D44" s="304">
        <f t="shared" si="1"/>
        <v>0.16959538943349448</v>
      </c>
      <c r="E44" s="304">
        <f t="shared" si="1"/>
        <v>0.05084427570856562</v>
      </c>
      <c r="F44" s="304">
        <f t="shared" si="1"/>
        <v>0.002528245566436343</v>
      </c>
      <c r="G44" s="304">
        <f t="shared" si="1"/>
        <v>1.571692154255258E-05</v>
      </c>
      <c r="H44" s="304">
        <f t="shared" si="1"/>
        <v>0.1904266070952461</v>
      </c>
      <c r="I44" s="304">
        <f t="shared" si="1"/>
        <v>0.0024877066878047703</v>
      </c>
      <c r="J44" s="304">
        <f t="shared" si="1"/>
        <v>0</v>
      </c>
      <c r="K44" s="304">
        <f t="shared" si="1"/>
        <v>0.061455240319052896</v>
      </c>
      <c r="L44" s="304">
        <f t="shared" si="1"/>
        <v>0.020752592552440097</v>
      </c>
      <c r="M44" s="304">
        <f t="shared" si="1"/>
        <v>0.13785935655618176</v>
      </c>
      <c r="N44" s="304">
        <f t="shared" si="1"/>
        <v>0.36041654469395423</v>
      </c>
    </row>
    <row r="45" spans="1:14" ht="15">
      <c r="A45" s="302" t="s">
        <v>170</v>
      </c>
      <c r="B45" s="302"/>
      <c r="C45" s="302"/>
      <c r="D45" s="302"/>
      <c r="E45" s="302"/>
      <c r="F45" s="302"/>
      <c r="G45" s="302"/>
      <c r="H45" s="302"/>
      <c r="I45" s="302"/>
      <c r="J45" s="302"/>
      <c r="K45" s="302"/>
      <c r="L45" s="302"/>
      <c r="M45" s="302"/>
      <c r="N45" s="302"/>
    </row>
    <row r="46" spans="1:14" ht="15.75" thickBot="1">
      <c r="A46" s="314"/>
      <c r="B46" s="302"/>
      <c r="C46" s="302"/>
      <c r="D46" s="302"/>
      <c r="E46" s="302"/>
      <c r="F46" s="302"/>
      <c r="G46" s="302"/>
      <c r="H46" s="302"/>
      <c r="I46" s="302"/>
      <c r="J46" s="302"/>
      <c r="K46" s="302"/>
      <c r="L46" s="302"/>
      <c r="M46" s="302"/>
      <c r="N46" s="302"/>
    </row>
    <row r="47" spans="1:14" ht="15.75" thickBot="1">
      <c r="A47" s="305" t="s">
        <v>127</v>
      </c>
      <c r="B47" s="306">
        <f>SUM(D44:J44)</f>
        <v>0.4158979414130899</v>
      </c>
      <c r="C47" s="302"/>
      <c r="D47" s="302"/>
      <c r="E47" s="302"/>
      <c r="F47" s="302"/>
      <c r="G47" s="302"/>
      <c r="H47" s="302"/>
      <c r="I47" s="302"/>
      <c r="J47" s="302"/>
      <c r="K47" s="302"/>
      <c r="L47" s="302"/>
      <c r="M47" s="302"/>
      <c r="N47" s="302"/>
    </row>
    <row r="48" spans="1:14" ht="15">
      <c r="A48" s="302"/>
      <c r="B48" s="302"/>
      <c r="C48" s="302"/>
      <c r="D48" s="302"/>
      <c r="E48" s="302"/>
      <c r="F48" s="302"/>
      <c r="G48" s="302"/>
      <c r="H48" s="302"/>
      <c r="I48" s="302"/>
      <c r="J48" s="302"/>
      <c r="K48" s="302"/>
      <c r="L48" s="302"/>
      <c r="M48" s="302"/>
      <c r="N48" s="302"/>
    </row>
    <row r="50" ht="15">
      <c r="A50" s="307" t="s">
        <v>156</v>
      </c>
    </row>
    <row r="51" spans="1:6" ht="15">
      <c r="A51" s="311" t="s">
        <v>24</v>
      </c>
      <c r="B51" s="315">
        <v>2015</v>
      </c>
      <c r="C51" s="315">
        <v>2016</v>
      </c>
      <c r="D51" s="315">
        <v>2017</v>
      </c>
      <c r="E51" s="315">
        <v>2018</v>
      </c>
      <c r="F51" s="316">
        <v>2019</v>
      </c>
    </row>
    <row r="52" spans="1:7" ht="15">
      <c r="A52" s="256" t="s">
        <v>205</v>
      </c>
      <c r="B52" s="308">
        <f>+B53</f>
        <v>731878.4644764651</v>
      </c>
      <c r="C52" s="308">
        <f>+C53</f>
        <v>731878.4644764651</v>
      </c>
      <c r="D52" s="308">
        <f>+D53</f>
        <v>731878.4644764651</v>
      </c>
      <c r="E52" s="308">
        <f>+E53</f>
        <v>731878.4644764651</v>
      </c>
      <c r="F52" s="309">
        <f>+F53</f>
        <v>731878.4644764651</v>
      </c>
      <c r="G52" s="310"/>
    </row>
    <row r="53" spans="1:12" ht="15">
      <c r="A53" s="296" t="s">
        <v>193</v>
      </c>
      <c r="B53" s="275">
        <f>+C34*$B$47</f>
        <v>731878.4644764651</v>
      </c>
      <c r="C53" s="275">
        <f>+D34*$B$47</f>
        <v>731878.4644764651</v>
      </c>
      <c r="D53" s="275">
        <f>+E34*$B$47</f>
        <v>731878.4644764651</v>
      </c>
      <c r="E53" s="275">
        <f>+F34*$B$47</f>
        <v>731878.4644764651</v>
      </c>
      <c r="F53" s="298">
        <f>+G34*$B$47</f>
        <v>731878.4644764651</v>
      </c>
      <c r="G53" s="310"/>
      <c r="H53" s="310"/>
      <c r="I53" s="310"/>
      <c r="J53" s="310"/>
      <c r="K53" s="310"/>
      <c r="L53" s="310"/>
    </row>
  </sheetData>
  <sheetProtection/>
  <mergeCells count="14">
    <mergeCell ref="M40:N40"/>
    <mergeCell ref="C41:C42"/>
    <mergeCell ref="D41:D42"/>
    <mergeCell ref="E41:I41"/>
    <mergeCell ref="J41:J42"/>
    <mergeCell ref="K41:K42"/>
    <mergeCell ref="L41:L42"/>
    <mergeCell ref="M41:M42"/>
    <mergeCell ref="N41:N42"/>
    <mergeCell ref="B23:C23"/>
    <mergeCell ref="A40:A42"/>
    <mergeCell ref="B40:B42"/>
    <mergeCell ref="C40:J40"/>
    <mergeCell ref="K40:L40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9">
    <tabColor theme="9" tint="0.39998000860214233"/>
  </sheetPr>
  <dimension ref="B2:H34"/>
  <sheetViews>
    <sheetView zoomScalePageLayoutView="0" workbookViewId="0" topLeftCell="A1">
      <selection activeCell="J5" sqref="J5"/>
    </sheetView>
  </sheetViews>
  <sheetFormatPr defaultColWidth="11.421875" defaultRowHeight="15"/>
  <cols>
    <col min="1" max="1" width="8.421875" style="72" customWidth="1"/>
    <col min="2" max="2" width="46.57421875" style="72" bestFit="1" customWidth="1"/>
    <col min="3" max="3" width="21.421875" style="72" bestFit="1" customWidth="1"/>
    <col min="4" max="4" width="15.421875" style="72" bestFit="1" customWidth="1"/>
    <col min="5" max="5" width="18.421875" style="72" bestFit="1" customWidth="1"/>
    <col min="6" max="6" width="2.8515625" style="72" customWidth="1"/>
    <col min="7" max="7" width="22.7109375" style="72" bestFit="1" customWidth="1"/>
    <col min="8" max="8" width="14.7109375" style="72" bestFit="1" customWidth="1"/>
    <col min="9" max="10" width="18.28125" style="72" customWidth="1"/>
    <col min="11" max="12" width="13.140625" style="72" customWidth="1"/>
    <col min="13" max="16384" width="11.421875" style="72" customWidth="1"/>
  </cols>
  <sheetData>
    <row r="2" spans="2:3" ht="12.75">
      <c r="B2" s="193" t="s">
        <v>207</v>
      </c>
      <c r="C2" s="194">
        <v>0.035462157994308525</v>
      </c>
    </row>
    <row r="5" spans="2:8" ht="38.25">
      <c r="B5" s="400" t="s">
        <v>87</v>
      </c>
      <c r="C5" s="400" t="s">
        <v>119</v>
      </c>
      <c r="D5" s="400" t="s">
        <v>81</v>
      </c>
      <c r="E5" s="400" t="s">
        <v>209</v>
      </c>
      <c r="G5" s="195" t="s">
        <v>80</v>
      </c>
      <c r="H5" s="195" t="s">
        <v>117</v>
      </c>
    </row>
    <row r="6" spans="2:8" ht="15">
      <c r="B6" s="401" t="s">
        <v>238</v>
      </c>
      <c r="C6" s="398"/>
      <c r="D6" s="398"/>
      <c r="E6" s="398"/>
      <c r="G6" s="396"/>
      <c r="H6" s="398"/>
    </row>
    <row r="7" spans="2:8" ht="12.75">
      <c r="B7" s="399" t="s">
        <v>90</v>
      </c>
      <c r="C7" s="399"/>
      <c r="D7" s="397"/>
      <c r="E7" s="397"/>
      <c r="G7" s="196"/>
      <c r="H7" s="397"/>
    </row>
    <row r="8" spans="2:8" ht="12.75">
      <c r="B8" s="197" t="s">
        <v>79</v>
      </c>
      <c r="C8" s="198" t="s">
        <v>89</v>
      </c>
      <c r="D8" s="199">
        <f aca="true" t="shared" si="0" ref="D8:D16">+E8*$B$24</f>
        <v>6.129935975326307</v>
      </c>
      <c r="E8" s="199">
        <f>+G8*(1+$C$2)</f>
        <v>2.0709243159886173</v>
      </c>
      <c r="G8" s="199">
        <v>2</v>
      </c>
      <c r="H8" s="200">
        <f>+E8/G8-1</f>
        <v>0.03546215799430863</v>
      </c>
    </row>
    <row r="9" spans="2:8" ht="12.75">
      <c r="B9" s="201" t="s">
        <v>16</v>
      </c>
      <c r="C9" s="201" t="s">
        <v>89</v>
      </c>
      <c r="D9" s="199">
        <f t="shared" si="0"/>
        <v>3.0649679876631537</v>
      </c>
      <c r="E9" s="202">
        <f>+G9*(1+$C$2)</f>
        <v>1.0354621579943086</v>
      </c>
      <c r="G9" s="202">
        <v>1</v>
      </c>
      <c r="H9" s="203">
        <f>+E9/G9-1</f>
        <v>0.03546215799430863</v>
      </c>
    </row>
    <row r="10" spans="2:8" ht="12.75">
      <c r="B10" s="201" t="s">
        <v>15</v>
      </c>
      <c r="C10" s="201" t="s">
        <v>89</v>
      </c>
      <c r="D10" s="199">
        <f t="shared" si="0"/>
        <v>12.259871950652615</v>
      </c>
      <c r="E10" s="202">
        <f>+G10*(1+$C$2)</f>
        <v>4.1418486319772345</v>
      </c>
      <c r="G10" s="202">
        <v>4</v>
      </c>
      <c r="H10" s="203">
        <f aca="true" t="shared" si="1" ref="H10:H19">+E10/G10-1</f>
        <v>0.03546215799430863</v>
      </c>
    </row>
    <row r="11" spans="2:8" ht="12.75">
      <c r="B11" s="201" t="s">
        <v>17</v>
      </c>
      <c r="C11" s="201" t="s">
        <v>89</v>
      </c>
      <c r="D11" s="199">
        <f t="shared" si="0"/>
        <v>76.62419969157884</v>
      </c>
      <c r="E11" s="202">
        <f aca="true" t="shared" si="2" ref="E11:E19">+G11*(1+$C$2)</f>
        <v>25.886553949857717</v>
      </c>
      <c r="G11" s="202">
        <v>25</v>
      </c>
      <c r="H11" s="203">
        <f t="shared" si="1"/>
        <v>0.03546215799430863</v>
      </c>
    </row>
    <row r="12" spans="2:8" ht="12.75">
      <c r="B12" s="201" t="s">
        <v>18</v>
      </c>
      <c r="C12" s="201" t="s">
        <v>88</v>
      </c>
      <c r="D12" s="199">
        <f t="shared" si="0"/>
        <v>183.89807925978923</v>
      </c>
      <c r="E12" s="202">
        <f t="shared" si="2"/>
        <v>62.12772947965852</v>
      </c>
      <c r="G12" s="202">
        <v>60</v>
      </c>
      <c r="H12" s="203">
        <f t="shared" si="1"/>
        <v>0.03546215799430863</v>
      </c>
    </row>
    <row r="13" spans="2:8" ht="12.75">
      <c r="B13" s="201" t="s">
        <v>19</v>
      </c>
      <c r="C13" s="201" t="s">
        <v>88</v>
      </c>
      <c r="D13" s="199">
        <f t="shared" si="0"/>
        <v>275.8471188896838</v>
      </c>
      <c r="E13" s="202">
        <f t="shared" si="2"/>
        <v>93.19159421948778</v>
      </c>
      <c r="G13" s="202">
        <v>90</v>
      </c>
      <c r="H13" s="203">
        <f t="shared" si="1"/>
        <v>0.03546215799430863</v>
      </c>
    </row>
    <row r="14" spans="2:8" ht="12.75">
      <c r="B14" s="201" t="s">
        <v>159</v>
      </c>
      <c r="C14" s="201" t="s">
        <v>88</v>
      </c>
      <c r="D14" s="199">
        <f t="shared" si="0"/>
        <v>45.97451981494731</v>
      </c>
      <c r="E14" s="202">
        <f t="shared" si="2"/>
        <v>15.53193236991463</v>
      </c>
      <c r="G14" s="202">
        <v>15</v>
      </c>
      <c r="H14" s="203">
        <f t="shared" si="1"/>
        <v>0.03546215799430863</v>
      </c>
    </row>
    <row r="15" spans="2:8" ht="12.75">
      <c r="B15" s="201" t="s">
        <v>160</v>
      </c>
      <c r="C15" s="201" t="s">
        <v>88</v>
      </c>
      <c r="D15" s="199">
        <f t="shared" si="0"/>
        <v>76.62419969157884</v>
      </c>
      <c r="E15" s="202">
        <f t="shared" si="2"/>
        <v>25.886553949857717</v>
      </c>
      <c r="G15" s="202">
        <v>25</v>
      </c>
      <c r="H15" s="203">
        <f t="shared" si="1"/>
        <v>0.03546215799430863</v>
      </c>
    </row>
    <row r="16" spans="2:8" ht="12.75">
      <c r="B16" s="201" t="s">
        <v>91</v>
      </c>
      <c r="C16" s="201" t="s">
        <v>92</v>
      </c>
      <c r="D16" s="199">
        <f t="shared" si="0"/>
        <v>18.38980792597892</v>
      </c>
      <c r="E16" s="202">
        <f t="shared" si="2"/>
        <v>6.212772947965852</v>
      </c>
      <c r="G16" s="202">
        <v>6</v>
      </c>
      <c r="H16" s="203">
        <f t="shared" si="1"/>
        <v>0.03546215799430863</v>
      </c>
    </row>
    <row r="17" spans="2:8" ht="15">
      <c r="B17" s="364" t="s">
        <v>237</v>
      </c>
      <c r="C17" s="201"/>
      <c r="D17" s="199"/>
      <c r="E17" s="202"/>
      <c r="G17" s="202"/>
      <c r="H17" s="203"/>
    </row>
    <row r="18" spans="2:8" ht="12.75">
      <c r="B18" s="201" t="s">
        <v>241</v>
      </c>
      <c r="C18" s="201" t="s">
        <v>141</v>
      </c>
      <c r="D18" s="199">
        <f>+E18*$B$24</f>
        <v>612.9935975326307</v>
      </c>
      <c r="E18" s="202">
        <f t="shared" si="2"/>
        <v>207.09243159886174</v>
      </c>
      <c r="G18" s="202">
        <v>200</v>
      </c>
      <c r="H18" s="203">
        <f t="shared" si="1"/>
        <v>0.03546215799430863</v>
      </c>
    </row>
    <row r="19" spans="2:8" ht="12.75">
      <c r="B19" s="201" t="s">
        <v>240</v>
      </c>
      <c r="C19" s="201" t="s">
        <v>93</v>
      </c>
      <c r="D19" s="199">
        <f>+E19*$B$24</f>
        <v>2.1454775913642075</v>
      </c>
      <c r="E19" s="202">
        <f t="shared" si="2"/>
        <v>0.724823510596016</v>
      </c>
      <c r="G19" s="202">
        <v>0.7</v>
      </c>
      <c r="H19" s="203">
        <f t="shared" si="1"/>
        <v>0.03546215799430863</v>
      </c>
    </row>
    <row r="20" spans="2:8" ht="12.75">
      <c r="B20" s="204"/>
      <c r="C20" s="204"/>
      <c r="D20" s="205"/>
      <c r="E20" s="205"/>
      <c r="G20" s="205"/>
      <c r="H20" s="206"/>
    </row>
    <row r="21" spans="2:8" ht="12.75">
      <c r="B21" s="204"/>
      <c r="C21" s="204"/>
      <c r="D21" s="205"/>
      <c r="E21" s="205"/>
      <c r="G21" s="205"/>
      <c r="H21" s="206"/>
    </row>
    <row r="22" ht="12.75">
      <c r="B22" s="72" t="s">
        <v>208</v>
      </c>
    </row>
    <row r="23" spans="2:7" ht="12.75">
      <c r="B23" s="207" t="s">
        <v>82</v>
      </c>
      <c r="G23" s="208"/>
    </row>
    <row r="24" spans="2:7" ht="12.75">
      <c r="B24" s="209">
        <f>+'1.Parametros'!E12</f>
        <v>2.96</v>
      </c>
      <c r="D24" s="208"/>
      <c r="G24" s="208"/>
    </row>
    <row r="25" ht="12.75">
      <c r="D25" s="208"/>
    </row>
    <row r="26" ht="12.75">
      <c r="D26" s="208"/>
    </row>
    <row r="27" ht="12.75">
      <c r="D27" s="208"/>
    </row>
    <row r="28" ht="12.75">
      <c r="D28" s="208"/>
    </row>
    <row r="29" ht="12.75">
      <c r="D29" s="208"/>
    </row>
    <row r="30" ht="12.75">
      <c r="D30" s="208"/>
    </row>
    <row r="31" ht="12.75">
      <c r="D31" s="208"/>
    </row>
    <row r="32" ht="12.75">
      <c r="D32" s="208"/>
    </row>
    <row r="33" ht="12.75">
      <c r="D33" s="208"/>
    </row>
    <row r="34" ht="12.75">
      <c r="D34" s="208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4">
    <tabColor theme="9" tint="0.7999799847602844"/>
  </sheetPr>
  <dimension ref="A1:AG48"/>
  <sheetViews>
    <sheetView showGridLines="0" zoomScalePageLayoutView="0" workbookViewId="0" topLeftCell="A1">
      <selection activeCell="L31" sqref="L31"/>
    </sheetView>
  </sheetViews>
  <sheetFormatPr defaultColWidth="11.421875" defaultRowHeight="15"/>
  <cols>
    <col min="1" max="1" width="16.00390625" style="1" customWidth="1"/>
    <col min="2" max="2" width="50.8515625" style="1" customWidth="1"/>
    <col min="3" max="3" width="9.421875" style="1" bestFit="1" customWidth="1"/>
    <col min="4" max="4" width="9.28125" style="1" bestFit="1" customWidth="1"/>
    <col min="5" max="5" width="9.421875" style="1" bestFit="1" customWidth="1"/>
    <col min="6" max="6" width="17.28125" style="1" bestFit="1" customWidth="1"/>
    <col min="7" max="7" width="9.421875" style="1" bestFit="1" customWidth="1"/>
    <col min="8" max="8" width="7.57421875" style="1" bestFit="1" customWidth="1"/>
    <col min="9" max="9" width="7.8515625" style="1" bestFit="1" customWidth="1"/>
    <col min="10" max="10" width="17.28125" style="1" bestFit="1" customWidth="1"/>
    <col min="11" max="11" width="9.7109375" style="1" bestFit="1" customWidth="1"/>
    <col min="12" max="13" width="8.140625" style="1" bestFit="1" customWidth="1"/>
    <col min="14" max="14" width="17.28125" style="1" bestFit="1" customWidth="1"/>
    <col min="15" max="16" width="7.28125" style="1" bestFit="1" customWidth="1"/>
    <col min="17" max="17" width="7.421875" style="1" bestFit="1" customWidth="1"/>
    <col min="18" max="18" width="17.28125" style="1" bestFit="1" customWidth="1"/>
    <col min="19" max="19" width="8.140625" style="1" bestFit="1" customWidth="1"/>
    <col min="20" max="20" width="7.28125" style="1" bestFit="1" customWidth="1"/>
    <col min="21" max="21" width="8.7109375" style="1" bestFit="1" customWidth="1"/>
    <col min="22" max="22" width="17.28125" style="1" bestFit="1" customWidth="1"/>
    <col min="23" max="23" width="7.28125" style="1" bestFit="1" customWidth="1"/>
    <col min="24" max="24" width="7.421875" style="1" bestFit="1" customWidth="1"/>
    <col min="25" max="25" width="17.28125" style="1" bestFit="1" customWidth="1"/>
    <col min="26" max="26" width="10.7109375" style="1" bestFit="1" customWidth="1"/>
    <col min="27" max="27" width="10.57421875" style="1" bestFit="1" customWidth="1"/>
    <col min="28" max="28" width="8.140625" style="1" bestFit="1" customWidth="1"/>
    <col min="29" max="29" width="17.28125" style="1" bestFit="1" customWidth="1"/>
    <col min="30" max="30" width="10.7109375" style="1" bestFit="1" customWidth="1"/>
    <col min="31" max="31" width="10.421875" style="1" bestFit="1" customWidth="1"/>
    <col min="32" max="32" width="10.7109375" style="1" bestFit="1" customWidth="1"/>
    <col min="33" max="33" width="17.28125" style="1" bestFit="1" customWidth="1"/>
    <col min="34" max="16384" width="11.421875" style="1" customWidth="1"/>
  </cols>
  <sheetData>
    <row r="1" ht="12.75">
      <c r="B1" s="90" t="s">
        <v>162</v>
      </c>
    </row>
    <row r="2" ht="12.75">
      <c r="B2" s="90"/>
    </row>
    <row r="3" ht="13.5" thickBot="1">
      <c r="B3" s="91" t="s">
        <v>163</v>
      </c>
    </row>
    <row r="4" spans="2:33" ht="12.75">
      <c r="B4" s="516" t="s">
        <v>38</v>
      </c>
      <c r="C4" s="513" t="s">
        <v>95</v>
      </c>
      <c r="D4" s="514"/>
      <c r="E4" s="514"/>
      <c r="F4" s="515"/>
      <c r="G4" s="519" t="s">
        <v>95</v>
      </c>
      <c r="H4" s="519"/>
      <c r="I4" s="519"/>
      <c r="J4" s="519"/>
      <c r="K4" s="504" t="s">
        <v>95</v>
      </c>
      <c r="L4" s="505"/>
      <c r="M4" s="505"/>
      <c r="N4" s="506"/>
      <c r="O4" s="504" t="s">
        <v>95</v>
      </c>
      <c r="P4" s="505"/>
      <c r="Q4" s="505"/>
      <c r="R4" s="506"/>
      <c r="S4" s="504" t="s">
        <v>95</v>
      </c>
      <c r="T4" s="505"/>
      <c r="U4" s="505"/>
      <c r="V4" s="506"/>
      <c r="W4" s="504" t="s">
        <v>95</v>
      </c>
      <c r="X4" s="505"/>
      <c r="Y4" s="523"/>
      <c r="Z4" s="504" t="s">
        <v>20</v>
      </c>
      <c r="AA4" s="505"/>
      <c r="AB4" s="505"/>
      <c r="AC4" s="506"/>
      <c r="AD4" s="522" t="s">
        <v>142</v>
      </c>
      <c r="AE4" s="505"/>
      <c r="AF4" s="505"/>
      <c r="AG4" s="506"/>
    </row>
    <row r="5" spans="2:33" ht="12.75">
      <c r="B5" s="517"/>
      <c r="C5" s="510" t="s">
        <v>105</v>
      </c>
      <c r="D5" s="511"/>
      <c r="E5" s="511"/>
      <c r="F5" s="512"/>
      <c r="G5" s="520" t="s">
        <v>110</v>
      </c>
      <c r="H5" s="508"/>
      <c r="I5" s="508"/>
      <c r="J5" s="521"/>
      <c r="K5" s="507" t="s">
        <v>111</v>
      </c>
      <c r="L5" s="508"/>
      <c r="M5" s="508"/>
      <c r="N5" s="509"/>
      <c r="O5" s="507" t="s">
        <v>112</v>
      </c>
      <c r="P5" s="508"/>
      <c r="Q5" s="508"/>
      <c r="R5" s="509"/>
      <c r="S5" s="507" t="s">
        <v>113</v>
      </c>
      <c r="T5" s="508"/>
      <c r="U5" s="508"/>
      <c r="V5" s="509"/>
      <c r="W5" s="507" t="s">
        <v>94</v>
      </c>
      <c r="X5" s="508"/>
      <c r="Y5" s="521"/>
      <c r="Z5" s="507" t="s">
        <v>114</v>
      </c>
      <c r="AA5" s="508"/>
      <c r="AB5" s="508"/>
      <c r="AC5" s="509"/>
      <c r="AD5" s="520" t="s">
        <v>114</v>
      </c>
      <c r="AE5" s="508"/>
      <c r="AF5" s="508"/>
      <c r="AG5" s="509"/>
    </row>
    <row r="6" spans="1:33" ht="12.75">
      <c r="A6" s="7"/>
      <c r="B6" s="518"/>
      <c r="C6" s="431" t="s">
        <v>26</v>
      </c>
      <c r="D6" s="427" t="s">
        <v>27</v>
      </c>
      <c r="E6" s="427" t="s">
        <v>28</v>
      </c>
      <c r="F6" s="432" t="s">
        <v>109</v>
      </c>
      <c r="G6" s="95" t="s">
        <v>26</v>
      </c>
      <c r="H6" s="92" t="s">
        <v>27</v>
      </c>
      <c r="I6" s="92" t="s">
        <v>28</v>
      </c>
      <c r="J6" s="94" t="s">
        <v>109</v>
      </c>
      <c r="K6" s="457" t="s">
        <v>26</v>
      </c>
      <c r="L6" s="458" t="s">
        <v>27</v>
      </c>
      <c r="M6" s="458" t="s">
        <v>28</v>
      </c>
      <c r="N6" s="93" t="s">
        <v>109</v>
      </c>
      <c r="O6" s="457" t="s">
        <v>26</v>
      </c>
      <c r="P6" s="458" t="s">
        <v>27</v>
      </c>
      <c r="Q6" s="458" t="s">
        <v>28</v>
      </c>
      <c r="R6" s="93" t="s">
        <v>109</v>
      </c>
      <c r="S6" s="457" t="s">
        <v>26</v>
      </c>
      <c r="T6" s="458" t="s">
        <v>27</v>
      </c>
      <c r="U6" s="458" t="s">
        <v>28</v>
      </c>
      <c r="V6" s="93" t="s">
        <v>109</v>
      </c>
      <c r="W6" s="457" t="s">
        <v>27</v>
      </c>
      <c r="X6" s="458" t="s">
        <v>28</v>
      </c>
      <c r="Y6" s="459" t="s">
        <v>109</v>
      </c>
      <c r="Z6" s="457" t="s">
        <v>26</v>
      </c>
      <c r="AA6" s="458" t="s">
        <v>27</v>
      </c>
      <c r="AB6" s="458" t="s">
        <v>28</v>
      </c>
      <c r="AC6" s="93" t="s">
        <v>109</v>
      </c>
      <c r="AD6" s="460" t="s">
        <v>26</v>
      </c>
      <c r="AE6" s="92" t="s">
        <v>27</v>
      </c>
      <c r="AF6" s="92" t="s">
        <v>28</v>
      </c>
      <c r="AG6" s="93" t="s">
        <v>109</v>
      </c>
    </row>
    <row r="7" spans="1:33" ht="12.75">
      <c r="A7" s="96"/>
      <c r="B7" s="424" t="s">
        <v>106</v>
      </c>
      <c r="C7" s="433">
        <v>228668.36950944978</v>
      </c>
      <c r="D7" s="428">
        <v>58419.18</v>
      </c>
      <c r="E7" s="428">
        <v>180119.57</v>
      </c>
      <c r="F7" s="434">
        <f aca="true" t="shared" si="0" ref="F7:F12">+AVERAGE(C7:E7)</f>
        <v>155735.70650314994</v>
      </c>
      <c r="G7" s="101">
        <v>0</v>
      </c>
      <c r="H7" s="97">
        <v>0</v>
      </c>
      <c r="I7" s="97">
        <v>0</v>
      </c>
      <c r="J7" s="99">
        <f aca="true" t="shared" si="1" ref="J7:J12">+AVERAGE(G7:I7)</f>
        <v>0</v>
      </c>
      <c r="K7" s="473">
        <v>242588.2340038492</v>
      </c>
      <c r="L7" s="97">
        <v>3427.61</v>
      </c>
      <c r="M7" s="97">
        <v>4023.49</v>
      </c>
      <c r="N7" s="98">
        <f aca="true" t="shared" si="2" ref="N7:N12">+AVERAGE(K7:M7)</f>
        <v>83346.44466794973</v>
      </c>
      <c r="O7" s="473">
        <v>0</v>
      </c>
      <c r="P7" s="97">
        <v>14.17</v>
      </c>
      <c r="Q7" s="97">
        <v>0</v>
      </c>
      <c r="R7" s="98">
        <f>+AVERAGE(O7:Q7)</f>
        <v>4.723333333333334</v>
      </c>
      <c r="S7" s="473">
        <v>291.22110087837194</v>
      </c>
      <c r="T7" s="97">
        <v>32.55</v>
      </c>
      <c r="U7" s="97">
        <v>51.93</v>
      </c>
      <c r="V7" s="98">
        <f aca="true" t="shared" si="3" ref="V7:V12">+AVERAGE(S7:U7)</f>
        <v>125.23370029279066</v>
      </c>
      <c r="W7" s="473">
        <v>0</v>
      </c>
      <c r="X7" s="97">
        <v>0</v>
      </c>
      <c r="Y7" s="99">
        <v>0</v>
      </c>
      <c r="Z7" s="102">
        <v>29662.775846799257</v>
      </c>
      <c r="AA7" s="100">
        <v>776.89</v>
      </c>
      <c r="AB7" s="97">
        <v>860.99</v>
      </c>
      <c r="AC7" s="98">
        <f aca="true" t="shared" si="4" ref="AC7:AC12">+AVERAGE(Z7:AB7)</f>
        <v>10433.551948933085</v>
      </c>
      <c r="AD7" s="477">
        <v>108042.54</v>
      </c>
      <c r="AE7" s="100">
        <v>109375.86</v>
      </c>
      <c r="AF7" s="97">
        <v>124580.44</v>
      </c>
      <c r="AG7" s="98"/>
    </row>
    <row r="8" spans="1:33" ht="12.75">
      <c r="A8" s="96"/>
      <c r="B8" s="424" t="s">
        <v>107</v>
      </c>
      <c r="C8" s="433">
        <v>275343.3188170073</v>
      </c>
      <c r="D8" s="428">
        <v>253544.44</v>
      </c>
      <c r="E8" s="428">
        <v>548996.1</v>
      </c>
      <c r="F8" s="434">
        <f t="shared" si="0"/>
        <v>359294.6196056691</v>
      </c>
      <c r="G8" s="101">
        <v>0</v>
      </c>
      <c r="H8" s="97">
        <v>0</v>
      </c>
      <c r="I8" s="97">
        <v>0</v>
      </c>
      <c r="J8" s="99">
        <f t="shared" si="1"/>
        <v>0</v>
      </c>
      <c r="K8" s="473">
        <v>661345.6237579652</v>
      </c>
      <c r="L8" s="97">
        <v>74683.94</v>
      </c>
      <c r="M8" s="97">
        <v>101406.53</v>
      </c>
      <c r="N8" s="98">
        <f t="shared" si="2"/>
        <v>279145.3645859884</v>
      </c>
      <c r="O8" s="473">
        <v>0</v>
      </c>
      <c r="P8" s="97">
        <v>77.55</v>
      </c>
      <c r="Q8" s="97">
        <v>0</v>
      </c>
      <c r="R8" s="98">
        <f>+AVERAGE(O8:Q8)</f>
        <v>25.849999999999998</v>
      </c>
      <c r="S8" s="473">
        <v>590.361017849908</v>
      </c>
      <c r="T8" s="97">
        <v>1990.18</v>
      </c>
      <c r="U8" s="97">
        <v>4260.11</v>
      </c>
      <c r="V8" s="98">
        <f t="shared" si="3"/>
        <v>2280.217005949969</v>
      </c>
      <c r="W8" s="473">
        <v>0</v>
      </c>
      <c r="X8" s="97">
        <v>0</v>
      </c>
      <c r="Y8" s="99">
        <v>0</v>
      </c>
      <c r="Z8" s="102">
        <v>200435.963290935</v>
      </c>
      <c r="AA8" s="100">
        <v>187827.29</v>
      </c>
      <c r="AB8" s="97">
        <v>171734.97</v>
      </c>
      <c r="AC8" s="98">
        <f t="shared" si="4"/>
        <v>186666.07443031168</v>
      </c>
      <c r="AD8" s="477">
        <v>91295.62587211259</v>
      </c>
      <c r="AE8" s="100">
        <v>53437.1</v>
      </c>
      <c r="AF8" s="97">
        <v>55005.59</v>
      </c>
      <c r="AG8" s="98"/>
    </row>
    <row r="9" spans="1:33" ht="12.75">
      <c r="A9" s="96"/>
      <c r="B9" s="424" t="s">
        <v>108</v>
      </c>
      <c r="C9" s="433">
        <v>147828.8829854167</v>
      </c>
      <c r="D9" s="428">
        <v>79629.21</v>
      </c>
      <c r="E9" s="428">
        <v>343365.2</v>
      </c>
      <c r="F9" s="434">
        <f t="shared" si="0"/>
        <v>190274.43099513892</v>
      </c>
      <c r="G9" s="101">
        <v>0</v>
      </c>
      <c r="H9" s="97">
        <v>0</v>
      </c>
      <c r="I9" s="97">
        <v>0</v>
      </c>
      <c r="J9" s="99">
        <f t="shared" si="1"/>
        <v>0</v>
      </c>
      <c r="K9" s="473">
        <v>1030153.7984703988</v>
      </c>
      <c r="L9" s="97">
        <v>68815.14</v>
      </c>
      <c r="M9" s="97">
        <v>165556.92</v>
      </c>
      <c r="N9" s="98">
        <f t="shared" si="2"/>
        <v>421508.6194901329</v>
      </c>
      <c r="O9" s="473">
        <v>0</v>
      </c>
      <c r="P9" s="97">
        <v>120.54</v>
      </c>
      <c r="Q9" s="97">
        <v>0</v>
      </c>
      <c r="R9" s="98">
        <f>+AVERAGE(O9:Q9)</f>
        <v>40.18</v>
      </c>
      <c r="S9" s="473">
        <v>2629.3226102809504</v>
      </c>
      <c r="T9" s="97">
        <v>2928.59</v>
      </c>
      <c r="U9" s="97">
        <v>8333.47</v>
      </c>
      <c r="V9" s="98">
        <f t="shared" si="3"/>
        <v>4630.460870093651</v>
      </c>
      <c r="W9" s="473">
        <v>0</v>
      </c>
      <c r="X9" s="97">
        <v>0</v>
      </c>
      <c r="Y9" s="99">
        <v>0</v>
      </c>
      <c r="Z9" s="102">
        <v>209987.8725882849</v>
      </c>
      <c r="AA9" s="100">
        <v>112812.52</v>
      </c>
      <c r="AB9" s="97">
        <v>199380.91</v>
      </c>
      <c r="AC9" s="98">
        <f t="shared" si="4"/>
        <v>174060.43419609498</v>
      </c>
      <c r="AD9" s="477">
        <v>225884.35021198922</v>
      </c>
      <c r="AE9" s="100">
        <v>130399.25</v>
      </c>
      <c r="AF9" s="97">
        <v>260600.18</v>
      </c>
      <c r="AG9" s="98"/>
    </row>
    <row r="10" spans="1:33" ht="12.75">
      <c r="A10" s="96"/>
      <c r="B10" s="425" t="s">
        <v>25</v>
      </c>
      <c r="C10" s="435">
        <f>SUM(C7:C9)</f>
        <v>651840.5713118737</v>
      </c>
      <c r="D10" s="429">
        <f>SUM(D7:D9)</f>
        <v>391592.83</v>
      </c>
      <c r="E10" s="429">
        <f>SUM(E7:E9)</f>
        <v>1072480.8699999999</v>
      </c>
      <c r="F10" s="436">
        <f t="shared" si="0"/>
        <v>705304.7571039578</v>
      </c>
      <c r="G10" s="101">
        <f>SUM(G7:G9)</f>
        <v>0</v>
      </c>
      <c r="H10" s="104">
        <f>SUM(I7:I9)</f>
        <v>0</v>
      </c>
      <c r="I10" s="104">
        <f>SUM(I7:I9)</f>
        <v>0</v>
      </c>
      <c r="J10" s="106">
        <f t="shared" si="1"/>
        <v>0</v>
      </c>
      <c r="K10" s="103">
        <f>SUM(K7:K9)</f>
        <v>1934087.6562322131</v>
      </c>
      <c r="L10" s="104">
        <f>SUM(L7:L9)</f>
        <v>146926.69</v>
      </c>
      <c r="M10" s="104">
        <f>SUM(M7:M9)</f>
        <v>270986.94</v>
      </c>
      <c r="N10" s="105">
        <f t="shared" si="2"/>
        <v>784000.428744071</v>
      </c>
      <c r="O10" s="103">
        <f>SUM(O7:O9)</f>
        <v>0</v>
      </c>
      <c r="P10" s="104">
        <f>SUM(P7:P9)</f>
        <v>212.26</v>
      </c>
      <c r="Q10" s="104">
        <f>SUM(Q7:Q9)</f>
        <v>0</v>
      </c>
      <c r="R10" s="105">
        <f>+AVERAGE(O10:Q10)</f>
        <v>70.75333333333333</v>
      </c>
      <c r="S10" s="103">
        <f>SUM(S7:S9)</f>
        <v>3510.9047290092303</v>
      </c>
      <c r="T10" s="104">
        <f>SUM(T7:T9)</f>
        <v>4951.32</v>
      </c>
      <c r="U10" s="104">
        <f>SUM(U7:U9)</f>
        <v>12645.509999999998</v>
      </c>
      <c r="V10" s="105">
        <f t="shared" si="3"/>
        <v>7035.91157633641</v>
      </c>
      <c r="W10" s="103">
        <v>0</v>
      </c>
      <c r="X10" s="104">
        <v>0</v>
      </c>
      <c r="Y10" s="106">
        <v>0</v>
      </c>
      <c r="Z10" s="103">
        <f>SUM(Z7:Z9)</f>
        <v>440086.6117260192</v>
      </c>
      <c r="AA10" s="104">
        <f>SUM(AA7:AA9)</f>
        <v>301416.7</v>
      </c>
      <c r="AB10" s="104">
        <f>SUM(AB7:AB9)</f>
        <v>371976.87</v>
      </c>
      <c r="AC10" s="105">
        <f t="shared" si="4"/>
        <v>371160.06057533977</v>
      </c>
      <c r="AD10" s="479">
        <f>SUM(AD7:AD9)</f>
        <v>425222.5160841018</v>
      </c>
      <c r="AE10" s="107">
        <f>SUM(AE7:AE9)</f>
        <v>293212.20999999996</v>
      </c>
      <c r="AF10" s="107">
        <f>SUM(AF7:AF9)</f>
        <v>440186.20999999996</v>
      </c>
      <c r="AG10" s="105">
        <f>+AVERAGE(AD10:AF10)</f>
        <v>386206.9786947006</v>
      </c>
    </row>
    <row r="11" spans="1:33" ht="13.5" thickBot="1">
      <c r="A11" s="7"/>
      <c r="B11" s="426" t="s">
        <v>115</v>
      </c>
      <c r="C11" s="467">
        <f>+'3.1 Demanda'!Q3</f>
        <v>371268.53</v>
      </c>
      <c r="D11" s="468">
        <f>+'3.1 Demanda'!R3</f>
        <v>211166</v>
      </c>
      <c r="E11" s="468">
        <f>+'3.1 Demanda'!S3</f>
        <v>313211</v>
      </c>
      <c r="F11" s="469">
        <f t="shared" si="0"/>
        <v>298548.51</v>
      </c>
      <c r="G11" s="111">
        <f>+'3.1 Demanda'!Q6</f>
        <v>79</v>
      </c>
      <c r="H11" s="108">
        <f>+'3.1 Demanda'!R6</f>
        <v>164</v>
      </c>
      <c r="I11" s="108">
        <f>+'3.1 Demanda'!S6</f>
        <v>1094</v>
      </c>
      <c r="J11" s="106">
        <f t="shared" si="1"/>
        <v>445.6666666666667</v>
      </c>
      <c r="K11" s="474">
        <f>+'3.1 Demanda'!Q9</f>
        <v>169404.66999999998</v>
      </c>
      <c r="L11" s="475">
        <f>+'3.1 Demanda'!R9</f>
        <v>177987</v>
      </c>
      <c r="M11" s="475">
        <f>+'3.1 Demanda'!S9</f>
        <v>88416</v>
      </c>
      <c r="N11" s="476">
        <f t="shared" si="2"/>
        <v>145269.22333333333</v>
      </c>
      <c r="O11" s="474">
        <f>+'3.1 Demanda'!Q12</f>
        <v>0</v>
      </c>
      <c r="P11" s="475">
        <f>+'3.1 Demanda'!R12</f>
        <v>0</v>
      </c>
      <c r="Q11" s="475">
        <f>+'3.1 Demanda'!S12</f>
        <v>0</v>
      </c>
      <c r="R11" s="476">
        <f>+AVERAGE(O11:Q11)</f>
        <v>0</v>
      </c>
      <c r="S11" s="474">
        <f>+'3.1 Demanda'!Q15</f>
        <v>2587</v>
      </c>
      <c r="T11" s="475">
        <f>+'3.1 Demanda'!R15</f>
        <v>1498</v>
      </c>
      <c r="U11" s="475">
        <f>+'3.1 Demanda'!S15</f>
        <v>2016</v>
      </c>
      <c r="V11" s="476">
        <f t="shared" si="3"/>
        <v>2033.6666666666667</v>
      </c>
      <c r="W11" s="474">
        <f>+'3.1 Demanda'!R20</f>
        <v>0</v>
      </c>
      <c r="X11" s="475">
        <f>+'3.1 Demanda'!S20</f>
        <v>0</v>
      </c>
      <c r="Y11" s="478">
        <f>+AVERAGE(W11:X11)</f>
        <v>0</v>
      </c>
      <c r="Z11" s="482">
        <f>+'3.1 Demanda'!F54*'3.1 Demanda'!F55*'3.1 Demanda'!Q23</f>
        <v>460735.97864406777</v>
      </c>
      <c r="AA11" s="483">
        <f>+'3.1 Demanda'!G54*'3.1 Demanda'!G55*'3.1 Demanda'!R23</f>
        <v>391967.3974319729</v>
      </c>
      <c r="AB11" s="483">
        <f>+'3.1 Demanda'!H54*'3.1 Demanda'!H55*'3.1 Demanda'!S23</f>
        <v>426642.7919982699</v>
      </c>
      <c r="AC11" s="476">
        <f t="shared" si="4"/>
        <v>426448.7226914368</v>
      </c>
      <c r="AD11" s="111">
        <f>+'3.1 Demanda'!Q23*2</f>
        <v>118</v>
      </c>
      <c r="AE11" s="110">
        <f>+'3.1 Demanda'!R23*2</f>
        <v>82</v>
      </c>
      <c r="AF11" s="110">
        <f>+'3.1 Demanda'!S23*2</f>
        <v>70</v>
      </c>
      <c r="AG11" s="109">
        <f>+AVERAGE(AD11:AF11)</f>
        <v>90</v>
      </c>
    </row>
    <row r="12" spans="1:33" ht="13.5" thickBot="1">
      <c r="A12" s="7"/>
      <c r="B12" s="430" t="s">
        <v>266</v>
      </c>
      <c r="C12" s="112">
        <f>+C10/C11</f>
        <v>1.7557118867895258</v>
      </c>
      <c r="D12" s="113">
        <f>+D10/D11</f>
        <v>1.8544312531373424</v>
      </c>
      <c r="E12" s="113">
        <f>+E10/E11</f>
        <v>3.424148162101586</v>
      </c>
      <c r="F12" s="114">
        <f t="shared" si="0"/>
        <v>2.344763767342818</v>
      </c>
      <c r="G12" s="115">
        <f>+G10/G11</f>
        <v>0</v>
      </c>
      <c r="H12" s="113">
        <f>+H10/H11</f>
        <v>0</v>
      </c>
      <c r="I12" s="113">
        <f>+I10/I11</f>
        <v>0</v>
      </c>
      <c r="J12" s="114">
        <f t="shared" si="1"/>
        <v>0</v>
      </c>
      <c r="K12" s="470">
        <f>+K10/K11</f>
        <v>11.416967762649126</v>
      </c>
      <c r="L12" s="471">
        <f>+L10/L11</f>
        <v>0.8254911313747634</v>
      </c>
      <c r="M12" s="471">
        <f>+M10/M11</f>
        <v>3.06490838762215</v>
      </c>
      <c r="N12" s="472">
        <f t="shared" si="2"/>
        <v>5.10245576054868</v>
      </c>
      <c r="O12" s="470">
        <v>0</v>
      </c>
      <c r="P12" s="471">
        <v>0</v>
      </c>
      <c r="Q12" s="471">
        <v>0</v>
      </c>
      <c r="R12" s="472">
        <v>0</v>
      </c>
      <c r="S12" s="470">
        <f>+S10/S11</f>
        <v>1.3571336409003596</v>
      </c>
      <c r="T12" s="471">
        <f>+T10/T11</f>
        <v>3.305287049399199</v>
      </c>
      <c r="U12" s="471">
        <f>+U10/U11</f>
        <v>6.272574404761904</v>
      </c>
      <c r="V12" s="472">
        <f t="shared" si="3"/>
        <v>3.644998365020488</v>
      </c>
      <c r="W12" s="470">
        <v>0</v>
      </c>
      <c r="X12" s="471">
        <v>0</v>
      </c>
      <c r="Y12" s="472">
        <v>0</v>
      </c>
      <c r="Z12" s="480">
        <f>+Z10/Z11</f>
        <v>0.9551817789901734</v>
      </c>
      <c r="AA12" s="471">
        <f>+AA10/AA11</f>
        <v>0.7689841093284085</v>
      </c>
      <c r="AB12" s="471">
        <f>+AB10/AB11</f>
        <v>0.871869575617976</v>
      </c>
      <c r="AC12" s="481">
        <f t="shared" si="4"/>
        <v>0.8653451546455194</v>
      </c>
      <c r="AD12" s="112">
        <f>+AD10/AD11</f>
        <v>3603.580644780524</v>
      </c>
      <c r="AE12" s="113">
        <f>+AE10/AE11</f>
        <v>3575.758658536585</v>
      </c>
      <c r="AF12" s="113">
        <f>+AF10/AF11</f>
        <v>6288.374428571428</v>
      </c>
      <c r="AG12" s="114">
        <f>+AVERAGE(AD12:AF12)</f>
        <v>4489.237910629512</v>
      </c>
    </row>
    <row r="13" spans="1:33" ht="12.75">
      <c r="A13" s="7"/>
      <c r="B13" s="134" t="s">
        <v>164</v>
      </c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</row>
    <row r="14" spans="1:33" ht="12.75">
      <c r="A14" s="7"/>
      <c r="B14" s="89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</row>
    <row r="15" spans="1:33" ht="12.75">
      <c r="A15" s="7"/>
      <c r="B15" s="91" t="s">
        <v>165</v>
      </c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</row>
    <row r="16" spans="2:10" ht="12.75">
      <c r="B16" s="34" t="s">
        <v>24</v>
      </c>
      <c r="C16" s="34">
        <v>2012</v>
      </c>
      <c r="D16" s="34">
        <f aca="true" t="shared" si="5" ref="D16:J16">C16+1</f>
        <v>2013</v>
      </c>
      <c r="E16" s="34">
        <f t="shared" si="5"/>
        <v>2014</v>
      </c>
      <c r="F16" s="34">
        <f>E16+1</f>
        <v>2015</v>
      </c>
      <c r="G16" s="34">
        <f t="shared" si="5"/>
        <v>2016</v>
      </c>
      <c r="H16" s="34">
        <f t="shared" si="5"/>
        <v>2017</v>
      </c>
      <c r="I16" s="34">
        <f t="shared" si="5"/>
        <v>2018</v>
      </c>
      <c r="J16" s="34">
        <f t="shared" si="5"/>
        <v>2019</v>
      </c>
    </row>
    <row r="17" ht="3.75" customHeight="1"/>
    <row r="18" spans="2:10" ht="12.75">
      <c r="B18" s="31" t="s">
        <v>166</v>
      </c>
      <c r="C18" s="32">
        <v>0.026</v>
      </c>
      <c r="D18" s="32">
        <v>0.029</v>
      </c>
      <c r="E18" s="32">
        <v>0.032</v>
      </c>
      <c r="F18" s="66">
        <v>0.027</v>
      </c>
      <c r="G18" s="66">
        <v>0.025</v>
      </c>
      <c r="H18" s="66">
        <v>0.025</v>
      </c>
      <c r="I18" s="66">
        <v>0.02</v>
      </c>
      <c r="J18" s="66">
        <v>0.02</v>
      </c>
    </row>
    <row r="19" spans="2:11" ht="12.75">
      <c r="B19" s="21" t="s">
        <v>167</v>
      </c>
      <c r="C19" s="117"/>
      <c r="D19" s="117"/>
      <c r="E19" s="117"/>
      <c r="F19" s="117"/>
      <c r="G19" s="117"/>
      <c r="H19" s="117"/>
      <c r="I19" s="117"/>
      <c r="J19" s="117"/>
      <c r="K19" s="117"/>
    </row>
    <row r="20" spans="2:11" ht="12.75">
      <c r="B20" s="21"/>
      <c r="C20" s="117"/>
      <c r="D20" s="117"/>
      <c r="E20" s="117"/>
      <c r="F20" s="117"/>
      <c r="G20" s="117"/>
      <c r="H20" s="117"/>
      <c r="I20" s="117"/>
      <c r="J20" s="117"/>
      <c r="K20" s="117"/>
    </row>
    <row r="21" spans="2:11" ht="12.75">
      <c r="B21" s="91" t="s">
        <v>168</v>
      </c>
      <c r="C21" s="117"/>
      <c r="D21" s="117"/>
      <c r="E21" s="117"/>
      <c r="F21" s="117"/>
      <c r="G21" s="117"/>
      <c r="H21" s="117"/>
      <c r="I21" s="117"/>
      <c r="J21" s="117"/>
      <c r="K21" s="117"/>
    </row>
    <row r="22" spans="2:11" ht="12.75">
      <c r="B22" s="135" t="s">
        <v>169</v>
      </c>
      <c r="C22" s="34">
        <v>2012</v>
      </c>
      <c r="D22" s="34">
        <f>C22+1</f>
        <v>2013</v>
      </c>
      <c r="E22" s="34">
        <f>D22+1</f>
        <v>2014</v>
      </c>
      <c r="F22" s="67" t="s">
        <v>109</v>
      </c>
      <c r="G22" s="34">
        <f>E22+1</f>
        <v>2015</v>
      </c>
      <c r="H22" s="34">
        <f>G22+1</f>
        <v>2016</v>
      </c>
      <c r="I22" s="34">
        <f>H22+1</f>
        <v>2017</v>
      </c>
      <c r="J22" s="34">
        <f>I22+1</f>
        <v>2018</v>
      </c>
      <c r="K22" s="136">
        <f>J22+1</f>
        <v>2019</v>
      </c>
    </row>
    <row r="23" spans="2:11" ht="12.75">
      <c r="B23" s="137" t="s">
        <v>246</v>
      </c>
      <c r="C23" s="118">
        <f>+C12</f>
        <v>1.7557118867895258</v>
      </c>
      <c r="D23" s="118">
        <f>+D12</f>
        <v>1.8544312531373424</v>
      </c>
      <c r="E23" s="118">
        <f>+E12</f>
        <v>3.424148162101586</v>
      </c>
      <c r="F23" s="118">
        <f>+AVERAGE(C23:E23)</f>
        <v>2.344763767342818</v>
      </c>
      <c r="G23" s="119">
        <f aca="true" t="shared" si="6" ref="G23:K30">+F23*(1+F$18)</f>
        <v>2.408072389061074</v>
      </c>
      <c r="H23" s="119">
        <f t="shared" si="6"/>
        <v>2.4682741987876002</v>
      </c>
      <c r="I23" s="119">
        <f t="shared" si="6"/>
        <v>2.52998105375729</v>
      </c>
      <c r="J23" s="119">
        <f t="shared" si="6"/>
        <v>2.580580674832436</v>
      </c>
      <c r="K23" s="138">
        <f t="shared" si="6"/>
        <v>2.632192288329085</v>
      </c>
    </row>
    <row r="24" spans="2:11" ht="12.75">
      <c r="B24" s="137" t="s">
        <v>247</v>
      </c>
      <c r="C24" s="118">
        <f>+G12</f>
        <v>0</v>
      </c>
      <c r="D24" s="118">
        <f>+H12</f>
        <v>0</v>
      </c>
      <c r="E24" s="118">
        <f>+I12</f>
        <v>0</v>
      </c>
      <c r="F24" s="118">
        <f aca="true" t="shared" si="7" ref="F24:F30">+AVERAGE(C24:E24)</f>
        <v>0</v>
      </c>
      <c r="G24" s="119">
        <f t="shared" si="6"/>
        <v>0</v>
      </c>
      <c r="H24" s="119">
        <f t="shared" si="6"/>
        <v>0</v>
      </c>
      <c r="I24" s="119">
        <f t="shared" si="6"/>
        <v>0</v>
      </c>
      <c r="J24" s="119">
        <f t="shared" si="6"/>
        <v>0</v>
      </c>
      <c r="K24" s="138">
        <f t="shared" si="6"/>
        <v>0</v>
      </c>
    </row>
    <row r="25" spans="2:11" ht="12.75">
      <c r="B25" s="137" t="s">
        <v>248</v>
      </c>
      <c r="C25" s="118">
        <f>+K12</f>
        <v>11.416967762649126</v>
      </c>
      <c r="D25" s="118">
        <f>+L12</f>
        <v>0.8254911313747634</v>
      </c>
      <c r="E25" s="118">
        <f>+M12</f>
        <v>3.06490838762215</v>
      </c>
      <c r="F25" s="118">
        <f t="shared" si="7"/>
        <v>5.10245576054868</v>
      </c>
      <c r="G25" s="119">
        <f t="shared" si="6"/>
        <v>5.2402220660834935</v>
      </c>
      <c r="H25" s="119">
        <f t="shared" si="6"/>
        <v>5.37122761773558</v>
      </c>
      <c r="I25" s="119">
        <f t="shared" si="6"/>
        <v>5.505508308178969</v>
      </c>
      <c r="J25" s="119">
        <f t="shared" si="6"/>
        <v>5.615618474342549</v>
      </c>
      <c r="K25" s="138">
        <f t="shared" si="6"/>
        <v>5.7279308438294</v>
      </c>
    </row>
    <row r="26" spans="2:11" ht="12.75">
      <c r="B26" s="137" t="s">
        <v>249</v>
      </c>
      <c r="C26" s="118">
        <f>+O12</f>
        <v>0</v>
      </c>
      <c r="D26" s="118">
        <f>+P12</f>
        <v>0</v>
      </c>
      <c r="E26" s="118">
        <f>+Q12</f>
        <v>0</v>
      </c>
      <c r="F26" s="118">
        <f t="shared" si="7"/>
        <v>0</v>
      </c>
      <c r="G26" s="119">
        <f t="shared" si="6"/>
        <v>0</v>
      </c>
      <c r="H26" s="119">
        <f t="shared" si="6"/>
        <v>0</v>
      </c>
      <c r="I26" s="119">
        <f t="shared" si="6"/>
        <v>0</v>
      </c>
      <c r="J26" s="119">
        <f t="shared" si="6"/>
        <v>0</v>
      </c>
      <c r="K26" s="138">
        <f t="shared" si="6"/>
        <v>0</v>
      </c>
    </row>
    <row r="27" spans="2:11" ht="12.75">
      <c r="B27" s="137" t="s">
        <v>250</v>
      </c>
      <c r="C27" s="118">
        <f>+S12</f>
        <v>1.3571336409003596</v>
      </c>
      <c r="D27" s="118">
        <f>+T12</f>
        <v>3.305287049399199</v>
      </c>
      <c r="E27" s="118">
        <f>+U12</f>
        <v>6.272574404761904</v>
      </c>
      <c r="F27" s="118">
        <f t="shared" si="7"/>
        <v>3.644998365020488</v>
      </c>
      <c r="G27" s="119">
        <f t="shared" si="6"/>
        <v>3.7434133208760407</v>
      </c>
      <c r="H27" s="119">
        <f t="shared" si="6"/>
        <v>3.8369986538979415</v>
      </c>
      <c r="I27" s="119">
        <f t="shared" si="6"/>
        <v>3.93292362024539</v>
      </c>
      <c r="J27" s="119">
        <f t="shared" si="6"/>
        <v>4.011582092650298</v>
      </c>
      <c r="K27" s="138">
        <f t="shared" si="6"/>
        <v>4.091813734503304</v>
      </c>
    </row>
    <row r="28" spans="2:11" ht="12.75">
      <c r="B28" s="137" t="s">
        <v>251</v>
      </c>
      <c r="C28" s="120"/>
      <c r="D28" s="118">
        <f>+W12</f>
        <v>0</v>
      </c>
      <c r="E28" s="118">
        <f>+X12</f>
        <v>0</v>
      </c>
      <c r="F28" s="118">
        <f t="shared" si="7"/>
        <v>0</v>
      </c>
      <c r="G28" s="119">
        <f t="shared" si="6"/>
        <v>0</v>
      </c>
      <c r="H28" s="119">
        <f t="shared" si="6"/>
        <v>0</v>
      </c>
      <c r="I28" s="119">
        <f t="shared" si="6"/>
        <v>0</v>
      </c>
      <c r="J28" s="119">
        <f t="shared" si="6"/>
        <v>0</v>
      </c>
      <c r="K28" s="138">
        <f t="shared" si="6"/>
        <v>0</v>
      </c>
    </row>
    <row r="29" spans="2:11" ht="12.75">
      <c r="B29" s="137" t="s">
        <v>252</v>
      </c>
      <c r="C29" s="118">
        <f>+Z12</f>
        <v>0.9551817789901734</v>
      </c>
      <c r="D29" s="118">
        <f>+AA12</f>
        <v>0.7689841093284085</v>
      </c>
      <c r="E29" s="121">
        <f>+AB12</f>
        <v>0.871869575617976</v>
      </c>
      <c r="F29" s="118">
        <f t="shared" si="7"/>
        <v>0.8653451546455194</v>
      </c>
      <c r="G29" s="119">
        <f t="shared" si="6"/>
        <v>0.8887094738209483</v>
      </c>
      <c r="H29" s="119">
        <f t="shared" si="6"/>
        <v>0.910927210666472</v>
      </c>
      <c r="I29" s="119">
        <f t="shared" si="6"/>
        <v>0.9337003909331337</v>
      </c>
      <c r="J29" s="119">
        <f t="shared" si="6"/>
        <v>0.9523743987517964</v>
      </c>
      <c r="K29" s="138">
        <f t="shared" si="6"/>
        <v>0.9714218867268324</v>
      </c>
    </row>
    <row r="30" spans="2:16" s="72" customFormat="1" ht="12.75">
      <c r="B30" s="143" t="s">
        <v>253</v>
      </c>
      <c r="C30" s="139">
        <f>+AD12</f>
        <v>3603.580644780524</v>
      </c>
      <c r="D30" s="139">
        <f>+AE12</f>
        <v>3575.758658536585</v>
      </c>
      <c r="E30" s="139">
        <f>+AF12</f>
        <v>6288.374428571428</v>
      </c>
      <c r="F30" s="140">
        <f t="shared" si="7"/>
        <v>4489.237910629512</v>
      </c>
      <c r="G30" s="141">
        <f t="shared" si="6"/>
        <v>4610.447334216508</v>
      </c>
      <c r="H30" s="141">
        <f t="shared" si="6"/>
        <v>4725.70851757192</v>
      </c>
      <c r="I30" s="141">
        <f t="shared" si="6"/>
        <v>4843.851230511218</v>
      </c>
      <c r="J30" s="141">
        <f t="shared" si="6"/>
        <v>4940.728255121442</v>
      </c>
      <c r="K30" s="142">
        <f t="shared" si="6"/>
        <v>5039.542820223871</v>
      </c>
      <c r="L30" s="122"/>
      <c r="M30" s="122"/>
      <c r="N30" s="122"/>
      <c r="O30" s="122"/>
      <c r="P30" s="122"/>
    </row>
    <row r="31" ht="12.75">
      <c r="B31" s="21" t="s">
        <v>170</v>
      </c>
    </row>
    <row r="33" spans="2:7" ht="12.75">
      <c r="B33" s="90" t="s">
        <v>171</v>
      </c>
      <c r="E33" s="123"/>
      <c r="F33" s="123"/>
      <c r="G33" s="123"/>
    </row>
    <row r="34" spans="1:8" ht="12.75">
      <c r="A34" s="125"/>
      <c r="B34" s="67" t="s">
        <v>0</v>
      </c>
      <c r="C34" s="67">
        <v>2015</v>
      </c>
      <c r="D34" s="67">
        <v>2016</v>
      </c>
      <c r="E34" s="67">
        <f>D34+1</f>
        <v>2017</v>
      </c>
      <c r="F34" s="67">
        <f>E34+1</f>
        <v>2018</v>
      </c>
      <c r="G34" s="67">
        <f>F34+1</f>
        <v>2019</v>
      </c>
      <c r="H34" s="72"/>
    </row>
    <row r="35" spans="1:7" s="72" customFormat="1" ht="12.75">
      <c r="A35" s="125"/>
      <c r="B35" s="126" t="s">
        <v>90</v>
      </c>
      <c r="C35" s="68"/>
      <c r="D35" s="68"/>
      <c r="E35" s="68"/>
      <c r="F35" s="68"/>
      <c r="G35" s="68"/>
    </row>
    <row r="36" spans="1:8" ht="12.75">
      <c r="A36" s="127"/>
      <c r="B36" s="128" t="s">
        <v>254</v>
      </c>
      <c r="C36" s="129">
        <f>+G23*'3.1 Demanda'!C60</f>
        <v>608784.9412166893</v>
      </c>
      <c r="D36" s="129">
        <f>+H23*'3.1 Demanda'!D60</f>
        <v>628883.6846316564</v>
      </c>
      <c r="E36" s="129">
        <f>+I23*'3.1 Demanda'!E60</f>
        <v>644605.7767474478</v>
      </c>
      <c r="F36" s="129">
        <f>+J23*'3.1 Demanda'!F60</f>
        <v>657497.8922823968</v>
      </c>
      <c r="G36" s="129">
        <f>+K23*'3.1 Demanda'!G60</f>
        <v>670647.8501280448</v>
      </c>
      <c r="H36" s="72"/>
    </row>
    <row r="37" spans="1:8" ht="12.75">
      <c r="A37" s="127"/>
      <c r="B37" s="128" t="s">
        <v>255</v>
      </c>
      <c r="C37" s="129">
        <f>+G24*'3.1 Demanda'!C61</f>
        <v>0</v>
      </c>
      <c r="D37" s="129">
        <f>+H24*'3.1 Demanda'!D61</f>
        <v>0</v>
      </c>
      <c r="E37" s="129">
        <f>+I24*'3.1 Demanda'!E61</f>
        <v>0</v>
      </c>
      <c r="F37" s="129">
        <f>+J24*'3.1 Demanda'!F61</f>
        <v>0</v>
      </c>
      <c r="G37" s="129">
        <f>+K24*'3.1 Demanda'!G61</f>
        <v>0</v>
      </c>
      <c r="H37" s="72"/>
    </row>
    <row r="38" spans="1:8" ht="12.75">
      <c r="A38" s="127"/>
      <c r="B38" s="128" t="s">
        <v>256</v>
      </c>
      <c r="C38" s="129">
        <f>+G25*'3.1 Demanda'!C62</f>
        <v>474842.8753947029</v>
      </c>
      <c r="D38" s="129">
        <f>+H25*'3.1 Demanda'!D62</f>
        <v>500453.86820155056</v>
      </c>
      <c r="E38" s="129">
        <f>+I25*'3.1 Demanda'!E62</f>
        <v>512965.21490658924</v>
      </c>
      <c r="F38" s="129">
        <f>+J25*'3.1 Demanda'!F62</f>
        <v>523224.5192047211</v>
      </c>
      <c r="G38" s="129">
        <f>+K25*'3.1 Demanda'!G62</f>
        <v>533689.0095888155</v>
      </c>
      <c r="H38" s="72"/>
    </row>
    <row r="39" spans="1:8" ht="12.75">
      <c r="A39" s="127"/>
      <c r="B39" s="128" t="s">
        <v>257</v>
      </c>
      <c r="C39" s="129">
        <f>+G26*'3.1 Demanda'!C63</f>
        <v>0</v>
      </c>
      <c r="D39" s="129">
        <f>+H26*'3.1 Demanda'!D63</f>
        <v>0</v>
      </c>
      <c r="E39" s="129">
        <f>+I26*'3.1 Demanda'!E63</f>
        <v>0</v>
      </c>
      <c r="F39" s="129">
        <f>+J26*'3.1 Demanda'!F63</f>
        <v>0</v>
      </c>
      <c r="G39" s="129">
        <f>+K26*'3.1 Demanda'!G63</f>
        <v>0</v>
      </c>
      <c r="H39" s="72"/>
    </row>
    <row r="40" spans="1:8" ht="12.75">
      <c r="A40" s="127"/>
      <c r="B40" s="128" t="s">
        <v>258</v>
      </c>
      <c r="C40" s="129">
        <f>+G27*'3.1 Demanda'!C64</f>
        <v>9988.445193710946</v>
      </c>
      <c r="D40" s="129">
        <f>+H27*'3.1 Demanda'!D64</f>
        <v>10238.156184027166</v>
      </c>
      <c r="E40" s="129">
        <f>+I27*'3.1 Demanda'!E64</f>
        <v>10494.109945613129</v>
      </c>
      <c r="F40" s="129">
        <f>+J27*'3.1 Demanda'!F64</f>
        <v>10703.991998650381</v>
      </c>
      <c r="G40" s="129">
        <f>+K27*'3.1 Demanda'!G64</f>
        <v>10918.071689830876</v>
      </c>
      <c r="H40" s="72"/>
    </row>
    <row r="41" spans="1:8" ht="12.75">
      <c r="A41" s="127"/>
      <c r="B41" s="128" t="s">
        <v>259</v>
      </c>
      <c r="C41" s="129">
        <f>+G27*'3.1 Demanda'!C65</f>
        <v>1418.7536486116</v>
      </c>
      <c r="D41" s="129">
        <f>+H27*'3.1 Demanda'!D65</f>
        <v>1454.2224898268898</v>
      </c>
      <c r="E41" s="129">
        <f>+I27*'3.1 Demanda'!E65</f>
        <v>1490.578052072562</v>
      </c>
      <c r="F41" s="129">
        <f>+J27*'3.1 Demanda'!F65</f>
        <v>1520.3896131140134</v>
      </c>
      <c r="G41" s="129">
        <f>+K27*'3.1 Demanda'!G65</f>
        <v>1550.7974053762937</v>
      </c>
      <c r="H41" s="72"/>
    </row>
    <row r="42" spans="1:8" ht="12.75">
      <c r="A42" s="127"/>
      <c r="B42" s="128" t="s">
        <v>264</v>
      </c>
      <c r="C42" s="129">
        <f>+G$27*'3.1 Demanda'!C66</f>
        <v>7087.2023963002</v>
      </c>
      <c r="D42" s="129">
        <f>+H$27*'3.1 Demanda'!D66</f>
        <v>7264.38250340964</v>
      </c>
      <c r="E42" s="129">
        <f>+I$27*'3.1 Demanda'!E66</f>
        <v>7445.992114376864</v>
      </c>
      <c r="F42" s="129">
        <f>+J$27*'3.1 Demanda'!F66</f>
        <v>7594.912006014024</v>
      </c>
      <c r="G42" s="129">
        <f>+K$27*'3.1 Demanda'!G66</f>
        <v>7746.81029647092</v>
      </c>
      <c r="H42" s="72"/>
    </row>
    <row r="43" spans="1:8" ht="12.75">
      <c r="A43" s="127"/>
      <c r="B43" s="128" t="s">
        <v>265</v>
      </c>
      <c r="C43" s="129">
        <f>+G$27*'3.1 Demanda'!C67</f>
        <v>1516.2802053347455</v>
      </c>
      <c r="D43" s="129">
        <f>+H$27*'3.1 Demanda'!D67</f>
        <v>1554.187210468114</v>
      </c>
      <c r="E43" s="129">
        <f>+I$27*'3.1 Demanda'!E67</f>
        <v>1593.0418907298167</v>
      </c>
      <c r="F43" s="129">
        <f>+J$27*'3.1 Demanda'!F67</f>
        <v>1624.902728544413</v>
      </c>
      <c r="G43" s="129">
        <f>+K$27*'3.1 Demanda'!G67</f>
        <v>1657.4007831153012</v>
      </c>
      <c r="H43" s="72"/>
    </row>
    <row r="44" spans="1:8" ht="12.75">
      <c r="A44" s="127"/>
      <c r="B44" s="128" t="s">
        <v>260</v>
      </c>
      <c r="C44" s="129">
        <f>+G28*'3.1 Demanda'!C68</f>
        <v>0</v>
      </c>
      <c r="D44" s="129">
        <f>+H28*'3.1 Demanda'!D68</f>
        <v>0</v>
      </c>
      <c r="E44" s="129">
        <f>+I28*'3.1 Demanda'!E68</f>
        <v>0</v>
      </c>
      <c r="F44" s="129">
        <f>+J28*'3.1 Demanda'!F68</f>
        <v>0</v>
      </c>
      <c r="G44" s="129">
        <f>+K28*'3.1 Demanda'!G68</f>
        <v>0</v>
      </c>
      <c r="H44" s="72"/>
    </row>
    <row r="45" spans="1:8" ht="12.75">
      <c r="A45" s="127"/>
      <c r="B45" s="130" t="s">
        <v>20</v>
      </c>
      <c r="C45" s="129">
        <f>+G29*'3.1 Demanda'!C70</f>
        <v>344071.72274128126</v>
      </c>
      <c r="D45" s="129">
        <f>+H29*'3.1 Demanda'!D70</f>
        <v>360875.22547980887</v>
      </c>
      <c r="E45" s="129">
        <f>+I29*'3.1 Demanda'!E70</f>
        <v>369897.1061168041</v>
      </c>
      <c r="F45" s="129">
        <f>+J29*'3.1 Demanda'!F70</f>
        <v>377295.0482391402</v>
      </c>
      <c r="G45" s="129">
        <f>+K29*'3.1 Demanda'!G70</f>
        <v>384840.949203923</v>
      </c>
      <c r="H45" s="72"/>
    </row>
    <row r="46" spans="1:8" ht="12.75">
      <c r="A46" s="127"/>
      <c r="B46" s="131" t="s">
        <v>140</v>
      </c>
      <c r="C46" s="132">
        <f>+G30*'3.1 Demanda'!C71</f>
        <v>396498.4707426197</v>
      </c>
      <c r="D46" s="132">
        <f>+H30*'3.1 Demanda'!D71</f>
        <v>415862.349546329</v>
      </c>
      <c r="E46" s="132">
        <f>+I30*'3.1 Demanda'!E71</f>
        <v>426258.9082849872</v>
      </c>
      <c r="F46" s="132">
        <f>+J30*'3.1 Demanda'!F71</f>
        <v>434784.0864506869</v>
      </c>
      <c r="G46" s="132">
        <f>+K30*'3.1 Demanda'!G71</f>
        <v>443479.76817970065</v>
      </c>
      <c r="H46" s="72"/>
    </row>
    <row r="47" spans="2:8" ht="13.5" thickBot="1">
      <c r="B47" s="144" t="s">
        <v>172</v>
      </c>
      <c r="C47" s="133">
        <f>SUM(C36:C46)</f>
        <v>1844208.6915392503</v>
      </c>
      <c r="D47" s="133">
        <f>SUM(D36:D46)</f>
        <v>1926586.0762470765</v>
      </c>
      <c r="E47" s="133">
        <f>SUM(E36:E46)</f>
        <v>1974750.7280586208</v>
      </c>
      <c r="F47" s="133">
        <f>SUM(F36:F46)</f>
        <v>2014245.7425232676</v>
      </c>
      <c r="G47" s="133">
        <f>SUM(G36:G46)</f>
        <v>2054530.6572752777</v>
      </c>
      <c r="H47" s="72"/>
    </row>
    <row r="48" spans="2:8" ht="13.5" thickTop="1">
      <c r="B48" s="21" t="s">
        <v>170</v>
      </c>
      <c r="H48" s="72"/>
    </row>
  </sheetData>
  <sheetProtection/>
  <mergeCells count="17">
    <mergeCell ref="O4:R4"/>
    <mergeCell ref="O5:R5"/>
    <mergeCell ref="S4:V4"/>
    <mergeCell ref="S5:V5"/>
    <mergeCell ref="AD4:AG4"/>
    <mergeCell ref="AD5:AG5"/>
    <mergeCell ref="W5:Y5"/>
    <mergeCell ref="W4:Y4"/>
    <mergeCell ref="Z4:AC4"/>
    <mergeCell ref="Z5:AC5"/>
    <mergeCell ref="K4:N4"/>
    <mergeCell ref="K5:N5"/>
    <mergeCell ref="C5:F5"/>
    <mergeCell ref="C4:F4"/>
    <mergeCell ref="B4:B6"/>
    <mergeCell ref="G4:J4"/>
    <mergeCell ref="G5:J5"/>
  </mergeCells>
  <printOptions/>
  <pageMargins left="0.7" right="0.7" top="0.75" bottom="0.75" header="0.3" footer="0.3"/>
  <pageSetup horizontalDpi="1200" verticalDpi="1200" orientation="portrait" r:id="rId1"/>
  <ignoredErrors>
    <ignoredError sqref="F10:F12 H10:J10 J9:N9 J11:N12 K10:N10 R12:AG12 R10:AB11 AD10:AG11" formula="1"/>
    <ignoredError sqref="AC10:AC11" formula="1" formulaRange="1"/>
    <ignoredError sqref="AC7:AC9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3">
    <tabColor theme="9" tint="0.7999799847602844"/>
  </sheetPr>
  <dimension ref="A1:AD99"/>
  <sheetViews>
    <sheetView showGridLines="0" zoomScalePageLayoutView="0" workbookViewId="0" topLeftCell="A37">
      <selection activeCell="F107" sqref="F107"/>
    </sheetView>
  </sheetViews>
  <sheetFormatPr defaultColWidth="11.421875" defaultRowHeight="15"/>
  <cols>
    <col min="1" max="1" width="3.57421875" style="30" customWidth="1"/>
    <col min="2" max="2" width="33.57421875" style="30" customWidth="1"/>
    <col min="3" max="3" width="22.00390625" style="30" bestFit="1" customWidth="1"/>
    <col min="4" max="4" width="20.28125" style="30" customWidth="1"/>
    <col min="5" max="5" width="20.00390625" style="30" bestFit="1" customWidth="1"/>
    <col min="6" max="6" width="16.28125" style="30" customWidth="1"/>
    <col min="7" max="7" width="15.57421875" style="30" bestFit="1" customWidth="1"/>
    <col min="8" max="8" width="15.57421875" style="30" customWidth="1"/>
    <col min="9" max="9" width="14.7109375" style="30" bestFit="1" customWidth="1"/>
    <col min="10" max="10" width="18.57421875" style="30" customWidth="1"/>
    <col min="11" max="16384" width="11.421875" style="30" customWidth="1"/>
  </cols>
  <sheetData>
    <row r="1" ht="15">
      <c r="B1" s="90" t="s">
        <v>173</v>
      </c>
    </row>
    <row r="2" ht="15">
      <c r="B2" s="90"/>
    </row>
    <row r="3" spans="2:4" ht="15">
      <c r="B3" s="90" t="s">
        <v>179</v>
      </c>
      <c r="D3" s="33"/>
    </row>
    <row r="4" spans="2:4" ht="15">
      <c r="B4" s="465"/>
      <c r="C4" s="466" t="s">
        <v>174</v>
      </c>
      <c r="D4" s="466" t="s">
        <v>178</v>
      </c>
    </row>
    <row r="5" spans="1:4" ht="15">
      <c r="A5" s="33"/>
      <c r="B5" s="148" t="s">
        <v>175</v>
      </c>
      <c r="C5" s="147" t="s">
        <v>176</v>
      </c>
      <c r="D5" s="203">
        <v>0.03333333333333333</v>
      </c>
    </row>
    <row r="6" spans="1:4" ht="15">
      <c r="A6" s="33"/>
      <c r="B6" s="148" t="s">
        <v>269</v>
      </c>
      <c r="C6" s="147" t="s">
        <v>177</v>
      </c>
      <c r="D6" s="146">
        <v>0.1</v>
      </c>
    </row>
    <row r="7" spans="1:4" ht="15">
      <c r="A7" s="33"/>
      <c r="B7" s="148" t="s">
        <v>270</v>
      </c>
      <c r="C7" s="147" t="s">
        <v>177</v>
      </c>
      <c r="D7" s="146">
        <v>0.1</v>
      </c>
    </row>
    <row r="8" spans="1:3" ht="15">
      <c r="A8" s="33"/>
      <c r="B8" s="37"/>
      <c r="C8" s="64"/>
    </row>
    <row r="9" spans="1:3" ht="15">
      <c r="A9" s="33"/>
      <c r="C9" s="46"/>
    </row>
    <row r="10" spans="1:9" ht="15">
      <c r="A10" s="33"/>
      <c r="B10" s="524" t="s">
        <v>180</v>
      </c>
      <c r="C10" s="524"/>
      <c r="D10" s="524"/>
      <c r="E10" s="524"/>
      <c r="F10" s="524"/>
      <c r="G10" s="524"/>
      <c r="H10" s="524"/>
      <c r="I10" s="524"/>
    </row>
    <row r="11" spans="1:9" ht="15">
      <c r="A11" s="33"/>
      <c r="B11" s="525" t="s">
        <v>39</v>
      </c>
      <c r="C11" s="525"/>
      <c r="D11" s="525"/>
      <c r="E11" s="525"/>
      <c r="F11" s="525"/>
      <c r="G11" s="525"/>
      <c r="H11" s="525"/>
      <c r="I11" s="525"/>
    </row>
    <row r="12" spans="1:9" ht="15">
      <c r="A12" s="33"/>
      <c r="B12" s="525" t="s">
        <v>40</v>
      </c>
      <c r="C12" s="525"/>
      <c r="D12" s="525"/>
      <c r="E12" s="525"/>
      <c r="F12" s="525"/>
      <c r="G12" s="525"/>
      <c r="H12" s="525"/>
      <c r="I12" s="525"/>
    </row>
    <row r="13" spans="1:3" ht="15">
      <c r="A13" s="33"/>
      <c r="C13" s="46"/>
    </row>
    <row r="14" spans="1:9" ht="27.75" customHeight="1">
      <c r="A14" s="33"/>
      <c r="B14" s="463" t="s">
        <v>38</v>
      </c>
      <c r="C14" s="462" t="s">
        <v>41</v>
      </c>
      <c r="D14" s="464" t="s">
        <v>42</v>
      </c>
      <c r="E14" s="464" t="s">
        <v>43</v>
      </c>
      <c r="F14" s="464" t="s">
        <v>44</v>
      </c>
      <c r="G14" s="464" t="s">
        <v>45</v>
      </c>
      <c r="H14" s="464" t="s">
        <v>46</v>
      </c>
      <c r="I14" s="464" t="s">
        <v>47</v>
      </c>
    </row>
    <row r="15" spans="1:9" ht="15">
      <c r="A15" s="33"/>
      <c r="B15" s="145" t="s">
        <v>37</v>
      </c>
      <c r="C15" s="149"/>
      <c r="D15" s="81"/>
      <c r="E15" s="81"/>
      <c r="F15" s="81"/>
      <c r="G15" s="81"/>
      <c r="H15" s="81"/>
      <c r="I15" s="81"/>
    </row>
    <row r="16" spans="1:9" ht="15">
      <c r="A16" s="33"/>
      <c r="B16" s="81" t="s">
        <v>48</v>
      </c>
      <c r="C16" s="150">
        <v>1919322.18</v>
      </c>
      <c r="D16" s="151"/>
      <c r="E16" s="151"/>
      <c r="F16" s="152">
        <v>-38312.28</v>
      </c>
      <c r="G16" s="151"/>
      <c r="H16" s="150"/>
      <c r="I16" s="152">
        <f>SUM(C16:H16)</f>
        <v>1881009.9</v>
      </c>
    </row>
    <row r="17" spans="1:9" ht="15">
      <c r="A17" s="33"/>
      <c r="B17" s="81" t="s">
        <v>49</v>
      </c>
      <c r="C17" s="150">
        <v>51597164.82</v>
      </c>
      <c r="D17" s="150"/>
      <c r="E17" s="151"/>
      <c r="F17" s="152">
        <v>-246820.68</v>
      </c>
      <c r="G17" s="151"/>
      <c r="H17" s="150"/>
      <c r="I17" s="152">
        <f>SUM(C17:H17)</f>
        <v>51350344.14</v>
      </c>
    </row>
    <row r="18" spans="1:9" ht="15">
      <c r="A18" s="33"/>
      <c r="B18" s="145" t="s">
        <v>33</v>
      </c>
      <c r="C18" s="150">
        <v>-43591885.91</v>
      </c>
      <c r="D18" s="153"/>
      <c r="E18" s="151"/>
      <c r="F18" s="152">
        <v>20129322.79</v>
      </c>
      <c r="G18" s="151"/>
      <c r="H18" s="150">
        <v>-423402.05</v>
      </c>
      <c r="I18" s="152">
        <f aca="true" t="shared" si="0" ref="I18:I25">SUM(C18:H18)</f>
        <v>-23885965.169999998</v>
      </c>
    </row>
    <row r="19" spans="1:9" ht="15">
      <c r="A19" s="33"/>
      <c r="B19" s="81" t="s">
        <v>50</v>
      </c>
      <c r="C19" s="150">
        <v>5848180.66</v>
      </c>
      <c r="D19" s="153"/>
      <c r="E19" s="152">
        <v>-1654.65</v>
      </c>
      <c r="F19" s="151"/>
      <c r="G19" s="151"/>
      <c r="H19" s="150"/>
      <c r="I19" s="152">
        <f t="shared" si="0"/>
        <v>5846526.01</v>
      </c>
    </row>
    <row r="20" spans="1:9" ht="15">
      <c r="A20" s="33"/>
      <c r="B20" s="81" t="s">
        <v>33</v>
      </c>
      <c r="C20" s="150">
        <v>-4830401.5</v>
      </c>
      <c r="D20" s="153"/>
      <c r="E20" s="152">
        <v>165.49</v>
      </c>
      <c r="F20" s="151"/>
      <c r="G20" s="151"/>
      <c r="H20" s="150">
        <v>-420558.48</v>
      </c>
      <c r="I20" s="152">
        <f t="shared" si="0"/>
        <v>-5250794.49</v>
      </c>
    </row>
    <row r="21" spans="1:9" ht="15">
      <c r="A21" s="33"/>
      <c r="B21" s="81" t="s">
        <v>51</v>
      </c>
      <c r="C21" s="150">
        <v>1568716.31</v>
      </c>
      <c r="D21" s="153">
        <v>12159.45</v>
      </c>
      <c r="E21" s="154">
        <v>-57281.55</v>
      </c>
      <c r="F21" s="152">
        <v>47120.37</v>
      </c>
      <c r="G21" s="151"/>
      <c r="H21" s="150"/>
      <c r="I21" s="152">
        <f t="shared" si="0"/>
        <v>1570714.58</v>
      </c>
    </row>
    <row r="22" spans="1:9" ht="15">
      <c r="A22" s="33"/>
      <c r="B22" s="81" t="s">
        <v>33</v>
      </c>
      <c r="C22" s="155">
        <v>-1296939.49</v>
      </c>
      <c r="D22" s="156"/>
      <c r="E22" s="155">
        <v>56714.37</v>
      </c>
      <c r="F22" s="157">
        <v>-47120.37</v>
      </c>
      <c r="G22" s="156"/>
      <c r="H22" s="155">
        <v>-59381.09</v>
      </c>
      <c r="I22" s="157">
        <f t="shared" si="0"/>
        <v>-1346726.58</v>
      </c>
    </row>
    <row r="23" spans="1:9" ht="15">
      <c r="A23" s="33"/>
      <c r="B23" s="81" t="s">
        <v>52</v>
      </c>
      <c r="C23" s="158">
        <v>-14044.61</v>
      </c>
      <c r="D23" s="156"/>
      <c r="E23" s="156"/>
      <c r="F23" s="156"/>
      <c r="G23" s="156"/>
      <c r="H23" s="156"/>
      <c r="I23" s="157">
        <f t="shared" si="0"/>
        <v>-14044.61</v>
      </c>
    </row>
    <row r="24" spans="1:9" ht="15">
      <c r="A24" s="33"/>
      <c r="B24" s="145" t="s">
        <v>53</v>
      </c>
      <c r="C24" s="149"/>
      <c r="D24" s="81"/>
      <c r="E24" s="81"/>
      <c r="F24" s="81"/>
      <c r="G24" s="81"/>
      <c r="H24" s="81"/>
      <c r="I24" s="159">
        <f t="shared" si="0"/>
        <v>0</v>
      </c>
    </row>
    <row r="25" spans="1:9" ht="15">
      <c r="A25" s="33"/>
      <c r="B25" s="81" t="s">
        <v>54</v>
      </c>
      <c r="C25" s="149"/>
      <c r="D25" s="81"/>
      <c r="E25" s="81"/>
      <c r="F25" s="81"/>
      <c r="G25" s="81"/>
      <c r="H25" s="81"/>
      <c r="I25" s="159">
        <f t="shared" si="0"/>
        <v>0</v>
      </c>
    </row>
    <row r="26" spans="1:9" ht="15">
      <c r="A26" s="33"/>
      <c r="B26" s="134" t="s">
        <v>181</v>
      </c>
      <c r="I26" s="53"/>
    </row>
    <row r="27" spans="2:15" ht="15">
      <c r="B27" s="325"/>
      <c r="C27" s="326"/>
      <c r="D27" s="326"/>
      <c r="E27" s="326"/>
      <c r="F27" s="327"/>
      <c r="G27" s="327"/>
      <c r="H27" s="327"/>
      <c r="I27" s="327"/>
      <c r="J27" s="327"/>
      <c r="K27" s="326"/>
      <c r="L27" s="326"/>
      <c r="M27" s="326"/>
      <c r="N27" s="326"/>
      <c r="O27" s="326"/>
    </row>
    <row r="28" spans="2:6" ht="15">
      <c r="B28" s="90" t="s">
        <v>182</v>
      </c>
      <c r="E28" s="37"/>
      <c r="F28" s="37"/>
    </row>
    <row r="29" spans="2:6" ht="15">
      <c r="B29" s="526" t="s">
        <v>30</v>
      </c>
      <c r="C29" s="527"/>
      <c r="D29" s="528"/>
      <c r="E29" s="461" t="s">
        <v>271</v>
      </c>
      <c r="F29" s="461" t="s">
        <v>31</v>
      </c>
    </row>
    <row r="30" spans="2:5" ht="4.5" customHeight="1">
      <c r="B30" s="48"/>
      <c r="C30" s="48"/>
      <c r="D30" s="37"/>
      <c r="E30" s="37"/>
    </row>
    <row r="31" spans="2:6" ht="34.5" customHeight="1">
      <c r="B31" s="328" t="s">
        <v>56</v>
      </c>
      <c r="C31" s="329"/>
      <c r="D31" s="330"/>
      <c r="E31" s="331">
        <v>1103076.43</v>
      </c>
      <c r="F31" s="50">
        <f>+E31/$E$31</f>
        <v>1</v>
      </c>
    </row>
    <row r="32" spans="2:6" ht="3" customHeight="1">
      <c r="B32" s="47"/>
      <c r="C32" s="47"/>
      <c r="D32" s="47"/>
      <c r="E32" s="88"/>
      <c r="F32" s="50"/>
    </row>
    <row r="33" spans="2:6" ht="15" customHeight="1">
      <c r="B33" s="531" t="s">
        <v>57</v>
      </c>
      <c r="C33" s="88"/>
      <c r="D33" s="88" t="s">
        <v>60</v>
      </c>
      <c r="E33" s="82">
        <v>79981.4</v>
      </c>
      <c r="F33" s="51">
        <f aca="true" t="shared" si="1" ref="F33:F44">+E33/$E$31</f>
        <v>0.0725075777387429</v>
      </c>
    </row>
    <row r="34" spans="2:6" ht="15">
      <c r="B34" s="532"/>
      <c r="C34" s="88"/>
      <c r="D34" s="88" t="s">
        <v>61</v>
      </c>
      <c r="E34" s="82">
        <v>67587.83</v>
      </c>
      <c r="F34" s="51">
        <f t="shared" si="1"/>
        <v>0.06127211874158167</v>
      </c>
    </row>
    <row r="35" spans="2:6" ht="15" customHeight="1">
      <c r="B35" s="532"/>
      <c r="C35" s="531" t="s">
        <v>62</v>
      </c>
      <c r="D35" s="88" t="s">
        <v>15</v>
      </c>
      <c r="E35" s="82">
        <v>49238.06</v>
      </c>
      <c r="F35" s="51">
        <f t="shared" si="1"/>
        <v>0.0446370338998178</v>
      </c>
    </row>
    <row r="36" spans="2:6" ht="15">
      <c r="B36" s="532"/>
      <c r="C36" s="532"/>
      <c r="D36" s="88" t="s">
        <v>67</v>
      </c>
      <c r="E36" s="82"/>
      <c r="F36" s="51">
        <f t="shared" si="1"/>
        <v>0</v>
      </c>
    </row>
    <row r="37" spans="2:6" ht="15">
      <c r="B37" s="532"/>
      <c r="C37" s="532"/>
      <c r="D37" s="88" t="s">
        <v>68</v>
      </c>
      <c r="E37" s="82">
        <v>2297.68</v>
      </c>
      <c r="F37" s="51">
        <f t="shared" si="1"/>
        <v>0.002082974431789826</v>
      </c>
    </row>
    <row r="38" spans="2:6" ht="15">
      <c r="B38" s="532"/>
      <c r="C38" s="532"/>
      <c r="D38" s="88" t="s">
        <v>69</v>
      </c>
      <c r="E38" s="82">
        <v>194868.73</v>
      </c>
      <c r="F38" s="51">
        <f t="shared" si="1"/>
        <v>0.17665931815803554</v>
      </c>
    </row>
    <row r="39" spans="2:6" ht="15">
      <c r="B39" s="532"/>
      <c r="C39" s="532"/>
      <c r="D39" s="88" t="s">
        <v>70</v>
      </c>
      <c r="E39" s="82"/>
      <c r="F39" s="51">
        <f t="shared" si="1"/>
        <v>0</v>
      </c>
    </row>
    <row r="40" spans="2:6" ht="15">
      <c r="B40" s="533"/>
      <c r="C40" s="533"/>
      <c r="D40" s="88" t="s">
        <v>63</v>
      </c>
      <c r="E40" s="82"/>
      <c r="F40" s="51">
        <f t="shared" si="1"/>
        <v>0</v>
      </c>
    </row>
    <row r="41" spans="2:6" ht="46.5" customHeight="1">
      <c r="B41" s="529" t="s">
        <v>58</v>
      </c>
      <c r="C41" s="534" t="s">
        <v>64</v>
      </c>
      <c r="D41" s="535"/>
      <c r="E41" s="82">
        <v>11424.99</v>
      </c>
      <c r="F41" s="51">
        <f t="shared" si="1"/>
        <v>0.010357387474954932</v>
      </c>
    </row>
    <row r="42" spans="2:6" ht="46.5" customHeight="1">
      <c r="B42" s="530"/>
      <c r="C42" s="534" t="s">
        <v>65</v>
      </c>
      <c r="D42" s="535"/>
      <c r="E42" s="82">
        <v>167198.12</v>
      </c>
      <c r="F42" s="51">
        <f t="shared" si="1"/>
        <v>0.15157437458798753</v>
      </c>
    </row>
    <row r="43" spans="2:6" ht="30.75" customHeight="1">
      <c r="B43" s="529" t="s">
        <v>59</v>
      </c>
      <c r="C43" s="536" t="s">
        <v>66</v>
      </c>
      <c r="D43" s="537"/>
      <c r="E43" s="82">
        <v>263680.87</v>
      </c>
      <c r="F43" s="51">
        <f t="shared" si="1"/>
        <v>0.2390413418587867</v>
      </c>
    </row>
    <row r="44" spans="2:6" ht="30.75" customHeight="1">
      <c r="B44" s="530"/>
      <c r="C44" s="536" t="s">
        <v>51</v>
      </c>
      <c r="D44" s="537"/>
      <c r="E44" s="82">
        <v>266798.75</v>
      </c>
      <c r="F44" s="51">
        <f t="shared" si="1"/>
        <v>0.24186787310830313</v>
      </c>
    </row>
    <row r="45" spans="2:6" ht="15">
      <c r="B45" s="160" t="s">
        <v>267</v>
      </c>
      <c r="E45" s="37"/>
      <c r="F45" s="49"/>
    </row>
    <row r="46" spans="2:6" ht="15">
      <c r="B46" s="134" t="s">
        <v>181</v>
      </c>
      <c r="E46" s="37"/>
      <c r="F46" s="37"/>
    </row>
    <row r="47" spans="2:6" ht="15">
      <c r="B47" s="1"/>
      <c r="E47" s="37"/>
      <c r="F47" s="37"/>
    </row>
    <row r="48" spans="5:6" ht="15">
      <c r="E48" s="37"/>
      <c r="F48" s="37"/>
    </row>
    <row r="49" ht="15">
      <c r="B49" s="90" t="s">
        <v>183</v>
      </c>
    </row>
    <row r="51" ht="15">
      <c r="B51" s="90" t="s">
        <v>184</v>
      </c>
    </row>
    <row r="52" spans="2:3" ht="15">
      <c r="B52" s="52" t="s">
        <v>0</v>
      </c>
      <c r="C52" s="52">
        <v>2014</v>
      </c>
    </row>
    <row r="53" spans="2:3" ht="15">
      <c r="B53" s="54" t="s">
        <v>72</v>
      </c>
      <c r="C53" s="191">
        <f>SUM(C54:C57)</f>
        <v>21661192.802552424</v>
      </c>
    </row>
    <row r="54" spans="2:3" ht="15">
      <c r="B54" s="37" t="s">
        <v>48</v>
      </c>
      <c r="C54" s="165">
        <f>+I16*(F34+F35+F36+F37+F38+F39+F33)</f>
        <v>671819.6580808366</v>
      </c>
    </row>
    <row r="55" spans="2:3" ht="15">
      <c r="B55" s="37" t="s">
        <v>49</v>
      </c>
      <c r="C55" s="165">
        <f>+I17*(F34+F35+F36+F37+F38+F39+F33)</f>
        <v>18340238.742214005</v>
      </c>
    </row>
    <row r="56" spans="2:3" ht="15">
      <c r="B56" s="37" t="s">
        <v>50</v>
      </c>
      <c r="C56" s="165">
        <f>+I19*(F34+F35+F36+F37+F38+F39+F33)</f>
        <v>2088139.5175001037</v>
      </c>
    </row>
    <row r="57" spans="2:3" ht="15">
      <c r="B57" s="37" t="s">
        <v>51</v>
      </c>
      <c r="C57" s="165">
        <f>+I21*(F34+F35+F36+F37+F38+F39+F33)</f>
        <v>560994.8847574833</v>
      </c>
    </row>
    <row r="58" spans="2:3" ht="15">
      <c r="B58" s="45" t="s">
        <v>268</v>
      </c>
      <c r="C58" s="165">
        <f>SUM(C59:C62)</f>
        <v>10887452.162196854</v>
      </c>
    </row>
    <row r="59" spans="2:3" ht="15">
      <c r="B59" s="37" t="s">
        <v>48</v>
      </c>
      <c r="C59" s="165">
        <v>0</v>
      </c>
    </row>
    <row r="60" spans="2:3" ht="15">
      <c r="B60" s="37" t="s">
        <v>49</v>
      </c>
      <c r="C60" s="165">
        <f>-I18*(F34+F35+F36+F37+F38+F39+F33)</f>
        <v>8531087.982811878</v>
      </c>
    </row>
    <row r="61" spans="2:3" ht="15">
      <c r="B61" s="37" t="s">
        <v>50</v>
      </c>
      <c r="C61" s="165">
        <f>-I20*(F34+F35+F36+F37+F38+F39+F33)</f>
        <v>1875368.62986449</v>
      </c>
    </row>
    <row r="62" spans="2:3" ht="15">
      <c r="B62" s="37" t="s">
        <v>51</v>
      </c>
      <c r="C62" s="165">
        <f>-I22*(F34+F35+F36+F37+F38+F39+F33)</f>
        <v>480995.5495204861</v>
      </c>
    </row>
    <row r="63" spans="2:3" ht="15">
      <c r="B63" s="65" t="s">
        <v>29</v>
      </c>
      <c r="C63" s="165">
        <v>0</v>
      </c>
    </row>
    <row r="64" spans="2:3" ht="15">
      <c r="B64" s="55" t="s">
        <v>73</v>
      </c>
      <c r="C64" s="192">
        <v>0</v>
      </c>
    </row>
    <row r="65" spans="2:8" ht="15">
      <c r="B65" s="134" t="s">
        <v>181</v>
      </c>
      <c r="C65" s="87"/>
      <c r="D65" s="87"/>
      <c r="E65" s="87"/>
      <c r="F65" s="42"/>
      <c r="G65" s="42"/>
      <c r="H65" s="42"/>
    </row>
    <row r="66" spans="2:8" ht="15">
      <c r="B66" s="134"/>
      <c r="C66" s="87"/>
      <c r="D66" s="87"/>
      <c r="E66" s="87"/>
      <c r="F66" s="42"/>
      <c r="G66" s="42"/>
      <c r="H66" s="42"/>
    </row>
    <row r="67" spans="2:8" ht="15">
      <c r="B67" s="90" t="s">
        <v>185</v>
      </c>
      <c r="C67" s="87"/>
      <c r="D67" s="87"/>
      <c r="E67" s="87"/>
      <c r="F67" s="42"/>
      <c r="G67" s="42"/>
      <c r="H67" s="42"/>
    </row>
    <row r="68" spans="2:8" ht="15">
      <c r="B68" s="161"/>
      <c r="C68" s="162">
        <v>2014</v>
      </c>
      <c r="D68" s="162">
        <v>2015</v>
      </c>
      <c r="E68" s="162">
        <v>2016</v>
      </c>
      <c r="F68" s="162">
        <v>2017</v>
      </c>
      <c r="G68" s="162">
        <v>2018</v>
      </c>
      <c r="H68" s="163">
        <v>2019</v>
      </c>
    </row>
    <row r="69" spans="2:8" ht="15">
      <c r="B69" s="173" t="s">
        <v>49</v>
      </c>
      <c r="C69" s="165">
        <v>0</v>
      </c>
      <c r="D69" s="169">
        <f>+IF(C75+(C55*$D$5)&gt;C55,C55-C75,C55*$D$5)</f>
        <v>611341.2914071335</v>
      </c>
      <c r="E69" s="169">
        <f>IF((D69+D75)&gt;$C$55,$C$55-D75,D69)</f>
        <v>611341.2914071335</v>
      </c>
      <c r="F69" s="170">
        <f>IF((E69+E75)&gt;$C$55,$C$55-E75,E69)</f>
        <v>611341.2914071335</v>
      </c>
      <c r="G69" s="170">
        <f>IF((F69+F75)&gt;$C$55,$C$55-F75,F69)</f>
        <v>611341.2914071335</v>
      </c>
      <c r="H69" s="174">
        <f>IF((G69+G75)&gt;$C$55,$C$55-G75,G69)</f>
        <v>611341.2914071335</v>
      </c>
    </row>
    <row r="70" spans="2:15" ht="15">
      <c r="B70" s="173" t="s">
        <v>50</v>
      </c>
      <c r="C70" s="165">
        <v>0</v>
      </c>
      <c r="D70" s="169">
        <f>+IF(C76+(C56*$D$6)&gt;C56,C56-C76,C56*$D$6)</f>
        <v>208813.95175001037</v>
      </c>
      <c r="E70" s="169">
        <f>IF((D70+D76)&gt;$C$56,$C$56-D76,D70)</f>
        <v>3956.935885603307</v>
      </c>
      <c r="F70" s="172">
        <f>IF((E70+E76)&gt;$C$56,$C$56-E76,E70)</f>
        <v>0</v>
      </c>
      <c r="G70" s="172">
        <f>IF((F70+F76)&gt;$C$56,$C$56-F76,F70)</f>
        <v>0</v>
      </c>
      <c r="H70" s="175">
        <f>IF((G70+G76)&gt;$C$56,$C$56-G76,G70)</f>
        <v>0</v>
      </c>
      <c r="O70" s="53"/>
    </row>
    <row r="71" spans="2:8" ht="15">
      <c r="B71" s="173" t="s">
        <v>51</v>
      </c>
      <c r="C71" s="165">
        <v>0</v>
      </c>
      <c r="D71" s="169">
        <f>+IF(C77+(C57*$D$7)&gt;C57,C57-C77,C57*$D$7)</f>
        <v>56099.48847574833</v>
      </c>
      <c r="E71" s="169">
        <f>IF((D71+D77)&gt;$C$57,$C$57-D77,D71)</f>
        <v>23899.84676124889</v>
      </c>
      <c r="F71" s="172">
        <f>IF((E71+E77)&gt;$C$57,$C$57-E77,E71)</f>
        <v>0</v>
      </c>
      <c r="G71" s="172">
        <f>IF((F71+F77)&gt;$C$57,$C$57-F77,F71)</f>
        <v>0</v>
      </c>
      <c r="H71" s="175">
        <f>IF((G71+G77)&gt;$C$57,$C$57-G77,G71)</f>
        <v>0</v>
      </c>
    </row>
    <row r="72" spans="2:8" ht="15">
      <c r="B72" s="173" t="s">
        <v>75</v>
      </c>
      <c r="C72" s="165">
        <v>0</v>
      </c>
      <c r="D72" s="172">
        <v>0</v>
      </c>
      <c r="E72" s="172">
        <v>0</v>
      </c>
      <c r="F72" s="172">
        <v>0</v>
      </c>
      <c r="G72" s="172">
        <v>0</v>
      </c>
      <c r="H72" s="175">
        <v>0</v>
      </c>
    </row>
    <row r="73" spans="2:8" ht="15.75" thickBot="1">
      <c r="B73" s="176" t="s">
        <v>186</v>
      </c>
      <c r="C73" s="167"/>
      <c r="D73" s="171">
        <f>SUM(D69:D72)</f>
        <v>876254.7316328922</v>
      </c>
      <c r="E73" s="171">
        <f>SUM(E69:E72)</f>
        <v>639198.0740539856</v>
      </c>
      <c r="F73" s="171">
        <f>SUM(F69:F72)</f>
        <v>611341.2914071335</v>
      </c>
      <c r="G73" s="171">
        <f>SUM(G69:G72)</f>
        <v>611341.2914071335</v>
      </c>
      <c r="H73" s="177">
        <f>SUM(H69:H72)</f>
        <v>611341.2914071335</v>
      </c>
    </row>
    <row r="74" spans="2:8" ht="15.75" thickTop="1">
      <c r="B74" s="173"/>
      <c r="C74" s="166"/>
      <c r="D74" s="166"/>
      <c r="E74" s="166"/>
      <c r="F74" s="166"/>
      <c r="G74" s="166"/>
      <c r="H74" s="178"/>
    </row>
    <row r="75" spans="2:8" ht="15">
      <c r="B75" s="179" t="s">
        <v>76</v>
      </c>
      <c r="C75" s="168">
        <f>C60</f>
        <v>8531087.982811878</v>
      </c>
      <c r="D75" s="168">
        <f>C75+D69</f>
        <v>9142429.27421901</v>
      </c>
      <c r="E75" s="168">
        <f>D75+E69</f>
        <v>9753770.565626144</v>
      </c>
      <c r="F75" s="168">
        <f>E75+F69</f>
        <v>10365111.857033279</v>
      </c>
      <c r="G75" s="168">
        <f>F75+G69</f>
        <v>10976453.148440413</v>
      </c>
      <c r="H75" s="180">
        <f>G75+H69</f>
        <v>11587794.439847548</v>
      </c>
    </row>
    <row r="76" spans="2:8" ht="15">
      <c r="B76" s="181" t="s">
        <v>77</v>
      </c>
      <c r="C76" s="166">
        <f>+C61</f>
        <v>1875368.62986449</v>
      </c>
      <c r="D76" s="166">
        <f aca="true" t="shared" si="2" ref="D76:H77">C76+D70</f>
        <v>2084182.5816145004</v>
      </c>
      <c r="E76" s="166">
        <f t="shared" si="2"/>
        <v>2088139.5175001037</v>
      </c>
      <c r="F76" s="166">
        <f t="shared" si="2"/>
        <v>2088139.5175001037</v>
      </c>
      <c r="G76" s="166">
        <f t="shared" si="2"/>
        <v>2088139.5175001037</v>
      </c>
      <c r="H76" s="178">
        <f t="shared" si="2"/>
        <v>2088139.5175001037</v>
      </c>
    </row>
    <row r="77" spans="2:8" ht="15">
      <c r="B77" s="181" t="s">
        <v>78</v>
      </c>
      <c r="C77" s="166">
        <f>+C62</f>
        <v>480995.5495204861</v>
      </c>
      <c r="D77" s="166">
        <f t="shared" si="2"/>
        <v>537095.0379962344</v>
      </c>
      <c r="E77" s="166">
        <f t="shared" si="2"/>
        <v>560994.8847574833</v>
      </c>
      <c r="F77" s="166">
        <f t="shared" si="2"/>
        <v>560994.8847574833</v>
      </c>
      <c r="G77" s="166">
        <f t="shared" si="2"/>
        <v>560994.8847574833</v>
      </c>
      <c r="H77" s="178">
        <f t="shared" si="2"/>
        <v>560994.8847574833</v>
      </c>
    </row>
    <row r="78" spans="2:8" ht="15">
      <c r="B78" s="182" t="s">
        <v>74</v>
      </c>
      <c r="C78" s="183">
        <f>C64</f>
        <v>0</v>
      </c>
      <c r="D78" s="183">
        <f>C78+D72</f>
        <v>0</v>
      </c>
      <c r="E78" s="183">
        <f>D78+E72</f>
        <v>0</v>
      </c>
      <c r="F78" s="183">
        <f>E78+F72</f>
        <v>0</v>
      </c>
      <c r="G78" s="183">
        <f>F78+G72</f>
        <v>0</v>
      </c>
      <c r="H78" s="184">
        <f>G78+H72</f>
        <v>0</v>
      </c>
    </row>
    <row r="80" ht="15">
      <c r="B80" s="90" t="s">
        <v>187</v>
      </c>
    </row>
    <row r="81" ht="15">
      <c r="B81" s="90"/>
    </row>
    <row r="82" spans="2:30" ht="15">
      <c r="B82" s="90"/>
      <c r="I82" s="164"/>
      <c r="J82" s="164"/>
      <c r="K82" s="164"/>
      <c r="L82" s="164"/>
      <c r="M82" s="164"/>
      <c r="N82" s="164"/>
      <c r="O82" s="164"/>
      <c r="P82" s="164"/>
      <c r="Q82" s="164"/>
      <c r="R82" s="164"/>
      <c r="S82" s="164"/>
      <c r="T82" s="164"/>
      <c r="U82" s="164"/>
      <c r="V82" s="164"/>
      <c r="W82" s="164"/>
      <c r="X82" s="164"/>
      <c r="Y82" s="164"/>
      <c r="Z82" s="164"/>
      <c r="AA82" s="164"/>
      <c r="AB82" s="164"/>
      <c r="AC82" s="164"/>
      <c r="AD82" s="164"/>
    </row>
    <row r="83" spans="9:30" ht="15">
      <c r="I83" s="164"/>
      <c r="J83" s="164"/>
      <c r="K83" s="164"/>
      <c r="L83" s="164"/>
      <c r="M83" s="164"/>
      <c r="N83" s="164"/>
      <c r="O83" s="164"/>
      <c r="P83" s="164"/>
      <c r="Q83" s="164"/>
      <c r="R83" s="164"/>
      <c r="S83" s="164"/>
      <c r="T83" s="164"/>
      <c r="U83" s="164"/>
      <c r="V83" s="164"/>
      <c r="W83" s="164"/>
      <c r="X83" s="164"/>
      <c r="Y83" s="164"/>
      <c r="Z83" s="164"/>
      <c r="AA83" s="164"/>
      <c r="AB83" s="164"/>
      <c r="AC83" s="164"/>
      <c r="AD83" s="164"/>
    </row>
    <row r="84" spans="2:30" ht="15.75">
      <c r="B84" s="90" t="s">
        <v>188</v>
      </c>
      <c r="I84" s="164"/>
      <c r="J84" s="187"/>
      <c r="K84" s="164"/>
      <c r="L84" s="164"/>
      <c r="M84" s="164"/>
      <c r="N84" s="164"/>
      <c r="O84" s="164"/>
      <c r="P84" s="164"/>
      <c r="Q84" s="164"/>
      <c r="R84" s="187"/>
      <c r="S84" s="164"/>
      <c r="T84" s="164"/>
      <c r="U84" s="164"/>
      <c r="V84" s="164"/>
      <c r="W84" s="164"/>
      <c r="X84" s="164"/>
      <c r="Y84" s="164"/>
      <c r="Z84" s="164"/>
      <c r="AA84" s="164"/>
      <c r="AB84" s="164"/>
      <c r="AC84" s="164"/>
      <c r="AD84" s="164"/>
    </row>
    <row r="85" spans="2:30" ht="15.75">
      <c r="B85" s="38"/>
      <c r="I85" s="164"/>
      <c r="J85" s="187"/>
      <c r="K85" s="164"/>
      <c r="L85" s="164"/>
      <c r="M85" s="164"/>
      <c r="N85" s="164"/>
      <c r="O85" s="164"/>
      <c r="P85" s="164"/>
      <c r="Q85" s="164"/>
      <c r="R85" s="187"/>
      <c r="S85" s="164"/>
      <c r="T85" s="164"/>
      <c r="U85" s="164"/>
      <c r="V85" s="164"/>
      <c r="W85" s="164"/>
      <c r="X85" s="164"/>
      <c r="Y85" s="164"/>
      <c r="Z85" s="164"/>
      <c r="AA85" s="164"/>
      <c r="AB85" s="164"/>
      <c r="AC85" s="164"/>
      <c r="AD85" s="164"/>
    </row>
    <row r="86" spans="2:30" ht="15.75">
      <c r="B86" s="43"/>
      <c r="C86" s="44"/>
      <c r="D86" s="44"/>
      <c r="E86" s="44"/>
      <c r="F86" s="44"/>
      <c r="G86" s="44"/>
      <c r="H86" s="44"/>
      <c r="I86" s="164"/>
      <c r="J86" s="164"/>
      <c r="K86" s="164"/>
      <c r="L86" s="164"/>
      <c r="M86" s="164"/>
      <c r="N86" s="164"/>
      <c r="O86" s="164"/>
      <c r="P86" s="164"/>
      <c r="Q86" s="164"/>
      <c r="R86" s="164"/>
      <c r="S86" s="164"/>
      <c r="T86" s="164"/>
      <c r="U86" s="164"/>
      <c r="V86" s="164"/>
      <c r="W86" s="164"/>
      <c r="X86" s="164"/>
      <c r="Y86" s="164"/>
      <c r="Z86" s="164"/>
      <c r="AA86" s="164"/>
      <c r="AB86" s="164"/>
      <c r="AC86" s="164"/>
      <c r="AD86" s="164"/>
    </row>
    <row r="87" spans="1:30" ht="15">
      <c r="A87" s="44"/>
      <c r="B87" s="52" t="s">
        <v>0</v>
      </c>
      <c r="C87" s="52">
        <f>C52</f>
        <v>2014</v>
      </c>
      <c r="D87" s="52">
        <f>C87+1</f>
        <v>2015</v>
      </c>
      <c r="E87" s="52">
        <f>D87+1</f>
        <v>2016</v>
      </c>
      <c r="F87" s="52">
        <f>E87+1</f>
        <v>2017</v>
      </c>
      <c r="G87" s="52">
        <f>F87+1</f>
        <v>2018</v>
      </c>
      <c r="H87" s="52">
        <f>G87+1</f>
        <v>2019</v>
      </c>
      <c r="I87" s="164"/>
      <c r="J87" s="188"/>
      <c r="K87" s="188"/>
      <c r="L87" s="188"/>
      <c r="M87" s="188"/>
      <c r="N87" s="188"/>
      <c r="O87" s="188"/>
      <c r="P87" s="188"/>
      <c r="Q87" s="164"/>
      <c r="R87" s="188"/>
      <c r="S87" s="188"/>
      <c r="T87" s="188"/>
      <c r="U87" s="188"/>
      <c r="V87" s="188"/>
      <c r="W87" s="188"/>
      <c r="X87" s="188"/>
      <c r="Y87" s="164"/>
      <c r="Z87" s="164"/>
      <c r="AA87" s="164"/>
      <c r="AB87" s="164"/>
      <c r="AC87" s="164"/>
      <c r="AD87" s="164"/>
    </row>
    <row r="88" spans="2:30" ht="15">
      <c r="B88" s="40"/>
      <c r="C88" s="166"/>
      <c r="D88" s="166"/>
      <c r="E88" s="166"/>
      <c r="F88" s="166"/>
      <c r="G88" s="166"/>
      <c r="H88" s="166"/>
      <c r="I88" s="164"/>
      <c r="J88" s="164"/>
      <c r="K88" s="166"/>
      <c r="L88" s="166"/>
      <c r="M88" s="166"/>
      <c r="N88" s="166"/>
      <c r="O88" s="166"/>
      <c r="P88" s="166"/>
      <c r="Q88" s="164"/>
      <c r="R88" s="164"/>
      <c r="S88" s="166"/>
      <c r="T88" s="166"/>
      <c r="U88" s="166"/>
      <c r="V88" s="166"/>
      <c r="W88" s="166"/>
      <c r="X88" s="166"/>
      <c r="Y88" s="164"/>
      <c r="Z88" s="164"/>
      <c r="AA88" s="164"/>
      <c r="AB88" s="164"/>
      <c r="AC88" s="164"/>
      <c r="AD88" s="164"/>
    </row>
    <row r="89" spans="2:30" ht="15">
      <c r="B89" s="189" t="s">
        <v>189</v>
      </c>
      <c r="C89" s="185">
        <f>+C73</f>
        <v>0</v>
      </c>
      <c r="D89" s="185">
        <f>+D73</f>
        <v>876254.7316328922</v>
      </c>
      <c r="E89" s="185">
        <f>+E73</f>
        <v>639198.0740539856</v>
      </c>
      <c r="F89" s="185">
        <f>+F73</f>
        <v>611341.2914071335</v>
      </c>
      <c r="G89" s="185">
        <f>+G73</f>
        <v>611341.2914071335</v>
      </c>
      <c r="H89" s="185">
        <f>+H73</f>
        <v>611341.2914071335</v>
      </c>
      <c r="I89" s="164"/>
      <c r="J89" s="164"/>
      <c r="K89" s="166"/>
      <c r="L89" s="166"/>
      <c r="M89" s="166"/>
      <c r="N89" s="166"/>
      <c r="O89" s="166"/>
      <c r="P89" s="166"/>
      <c r="Q89" s="164"/>
      <c r="R89" s="164"/>
      <c r="S89" s="166"/>
      <c r="T89" s="166"/>
      <c r="U89" s="166"/>
      <c r="V89" s="166"/>
      <c r="W89" s="166"/>
      <c r="X89" s="166"/>
      <c r="Y89" s="164"/>
      <c r="Z89" s="164"/>
      <c r="AA89" s="164"/>
      <c r="AB89" s="164"/>
      <c r="AC89" s="164"/>
      <c r="AD89" s="164"/>
    </row>
    <row r="90" spans="3:30" ht="15">
      <c r="C90" s="166"/>
      <c r="D90" s="166"/>
      <c r="E90" s="166"/>
      <c r="F90" s="166"/>
      <c r="G90" s="166"/>
      <c r="H90" s="166"/>
      <c r="I90" s="164"/>
      <c r="J90" s="164"/>
      <c r="K90" s="166"/>
      <c r="L90" s="166"/>
      <c r="M90" s="166"/>
      <c r="N90" s="166"/>
      <c r="O90" s="166"/>
      <c r="P90" s="166"/>
      <c r="Q90" s="164"/>
      <c r="R90" s="164"/>
      <c r="S90" s="166"/>
      <c r="T90" s="166"/>
      <c r="U90" s="166"/>
      <c r="V90" s="166"/>
      <c r="W90" s="166"/>
      <c r="X90" s="166"/>
      <c r="Y90" s="164"/>
      <c r="Z90" s="164"/>
      <c r="AA90" s="164"/>
      <c r="AB90" s="164"/>
      <c r="AC90" s="164"/>
      <c r="AD90" s="164"/>
    </row>
    <row r="91" spans="2:30" ht="15">
      <c r="B91" s="190" t="s">
        <v>32</v>
      </c>
      <c r="C91" s="168">
        <f>C53+C63</f>
        <v>21661192.802552424</v>
      </c>
      <c r="D91" s="168">
        <f>+C91</f>
        <v>21661192.802552424</v>
      </c>
      <c r="E91" s="168">
        <f>+D91</f>
        <v>21661192.802552424</v>
      </c>
      <c r="F91" s="168">
        <f>+E91</f>
        <v>21661192.802552424</v>
      </c>
      <c r="G91" s="168">
        <f>+F91</f>
        <v>21661192.802552424</v>
      </c>
      <c r="H91" s="168">
        <f>+G91</f>
        <v>21661192.802552424</v>
      </c>
      <c r="I91" s="164"/>
      <c r="J91" s="164"/>
      <c r="K91" s="166"/>
      <c r="L91" s="166"/>
      <c r="M91" s="166"/>
      <c r="N91" s="166"/>
      <c r="O91" s="166"/>
      <c r="P91" s="166"/>
      <c r="Q91" s="164"/>
      <c r="R91" s="164"/>
      <c r="S91" s="166"/>
      <c r="T91" s="166"/>
      <c r="U91" s="166"/>
      <c r="V91" s="166"/>
      <c r="W91" s="166"/>
      <c r="X91" s="166"/>
      <c r="Y91" s="164"/>
      <c r="Z91" s="164"/>
      <c r="AA91" s="164"/>
      <c r="AB91" s="164"/>
      <c r="AC91" s="164"/>
      <c r="AD91" s="164"/>
    </row>
    <row r="92" spans="2:30" ht="15">
      <c r="B92" s="124" t="s">
        <v>33</v>
      </c>
      <c r="C92" s="166">
        <f>+C58</f>
        <v>10887452.162196854</v>
      </c>
      <c r="D92" s="166">
        <f>C92+D89</f>
        <v>11763706.893829746</v>
      </c>
      <c r="E92" s="166">
        <f>D92+E89</f>
        <v>12402904.967883732</v>
      </c>
      <c r="F92" s="166">
        <f>E92+F89</f>
        <v>13014246.259290867</v>
      </c>
      <c r="G92" s="166">
        <f>F92+G89</f>
        <v>13625587.550698001</v>
      </c>
      <c r="H92" s="166">
        <f>G92+H89</f>
        <v>14236928.842105135</v>
      </c>
      <c r="I92" s="164"/>
      <c r="J92" s="164"/>
      <c r="K92" s="166"/>
      <c r="L92" s="166"/>
      <c r="M92" s="166"/>
      <c r="N92" s="166"/>
      <c r="O92" s="166"/>
      <c r="P92" s="166"/>
      <c r="Q92" s="164"/>
      <c r="R92" s="164"/>
      <c r="S92" s="166"/>
      <c r="T92" s="166"/>
      <c r="U92" s="166"/>
      <c r="V92" s="166"/>
      <c r="W92" s="166"/>
      <c r="X92" s="166"/>
      <c r="Y92" s="164"/>
      <c r="Z92" s="164"/>
      <c r="AA92" s="164"/>
      <c r="AB92" s="164"/>
      <c r="AC92" s="164"/>
      <c r="AD92" s="164"/>
    </row>
    <row r="93" spans="2:30" ht="15">
      <c r="B93" s="189" t="s">
        <v>34</v>
      </c>
      <c r="C93" s="185">
        <f aca="true" t="shared" si="3" ref="C93:H93">C91-C92</f>
        <v>10773740.64035557</v>
      </c>
      <c r="D93" s="185">
        <f t="shared" si="3"/>
        <v>9897485.908722678</v>
      </c>
      <c r="E93" s="185">
        <f t="shared" si="3"/>
        <v>9258287.834668692</v>
      </c>
      <c r="F93" s="185">
        <f t="shared" si="3"/>
        <v>8646946.543261558</v>
      </c>
      <c r="G93" s="185">
        <f t="shared" si="3"/>
        <v>8035605.251854423</v>
      </c>
      <c r="H93" s="185">
        <f t="shared" si="3"/>
        <v>7424263.960447289</v>
      </c>
      <c r="I93" s="164"/>
      <c r="J93" s="164"/>
      <c r="K93" s="166"/>
      <c r="L93" s="166"/>
      <c r="M93" s="166"/>
      <c r="N93" s="166"/>
      <c r="O93" s="166"/>
      <c r="P93" s="166"/>
      <c r="Q93" s="164"/>
      <c r="R93" s="164"/>
      <c r="S93" s="166"/>
      <c r="T93" s="166"/>
      <c r="U93" s="166"/>
      <c r="V93" s="166"/>
      <c r="W93" s="166"/>
      <c r="X93" s="166"/>
      <c r="Y93" s="164"/>
      <c r="Z93" s="164"/>
      <c r="AA93" s="164"/>
      <c r="AB93" s="164"/>
      <c r="AC93" s="164"/>
      <c r="AD93" s="164"/>
    </row>
    <row r="94" spans="3:30" ht="15">
      <c r="C94" s="166"/>
      <c r="D94" s="166"/>
      <c r="E94" s="166"/>
      <c r="F94" s="166"/>
      <c r="G94" s="166"/>
      <c r="H94" s="166"/>
      <c r="I94" s="164"/>
      <c r="J94" s="164"/>
      <c r="K94" s="166"/>
      <c r="L94" s="166"/>
      <c r="M94" s="166"/>
      <c r="N94" s="166"/>
      <c r="O94" s="166"/>
      <c r="P94" s="166"/>
      <c r="Q94" s="164"/>
      <c r="R94" s="164"/>
      <c r="S94" s="166"/>
      <c r="T94" s="166"/>
      <c r="U94" s="166"/>
      <c r="V94" s="166"/>
      <c r="W94" s="166"/>
      <c r="X94" s="166"/>
      <c r="Y94" s="164"/>
      <c r="Z94" s="164"/>
      <c r="AA94" s="164"/>
      <c r="AB94" s="164"/>
      <c r="AC94" s="164"/>
      <c r="AD94" s="164"/>
    </row>
    <row r="95" spans="2:30" ht="15">
      <c r="B95" s="39" t="s">
        <v>35</v>
      </c>
      <c r="C95" s="168">
        <f>C93</f>
        <v>10773740.64035557</v>
      </c>
      <c r="D95" s="168">
        <v>0</v>
      </c>
      <c r="E95" s="168">
        <v>0</v>
      </c>
      <c r="F95" s="168">
        <v>0</v>
      </c>
      <c r="G95" s="168">
        <v>0</v>
      </c>
      <c r="H95" s="168">
        <v>0</v>
      </c>
      <c r="I95" s="164"/>
      <c r="J95" s="164"/>
      <c r="K95" s="166"/>
      <c r="L95" s="166"/>
      <c r="M95" s="166"/>
      <c r="N95" s="166"/>
      <c r="O95" s="166"/>
      <c r="P95" s="166"/>
      <c r="Q95" s="164"/>
      <c r="R95" s="164"/>
      <c r="S95" s="166"/>
      <c r="T95" s="166"/>
      <c r="U95" s="166"/>
      <c r="V95" s="166"/>
      <c r="W95" s="166"/>
      <c r="X95" s="166"/>
      <c r="Y95" s="164"/>
      <c r="Z95" s="164"/>
      <c r="AA95" s="164"/>
      <c r="AB95" s="164"/>
      <c r="AC95" s="164"/>
      <c r="AD95" s="164"/>
    </row>
    <row r="96" spans="2:30" ht="15">
      <c r="B96" s="40" t="s">
        <v>7</v>
      </c>
      <c r="C96" s="166">
        <v>0</v>
      </c>
      <c r="D96" s="166">
        <v>0</v>
      </c>
      <c r="E96" s="166">
        <v>0</v>
      </c>
      <c r="F96" s="166">
        <v>0</v>
      </c>
      <c r="G96" s="166">
        <v>0</v>
      </c>
      <c r="H96" s="166">
        <v>0</v>
      </c>
      <c r="I96" s="164"/>
      <c r="J96" s="186"/>
      <c r="K96" s="166"/>
      <c r="L96" s="166"/>
      <c r="M96" s="166"/>
      <c r="N96" s="166"/>
      <c r="O96" s="166"/>
      <c r="P96" s="166"/>
      <c r="Q96" s="164"/>
      <c r="R96" s="186"/>
      <c r="S96" s="166"/>
      <c r="T96" s="166"/>
      <c r="U96" s="166"/>
      <c r="V96" s="166"/>
      <c r="W96" s="166"/>
      <c r="X96" s="166"/>
      <c r="Y96" s="164"/>
      <c r="Z96" s="164"/>
      <c r="AA96" s="164"/>
      <c r="AB96" s="164"/>
      <c r="AC96" s="164"/>
      <c r="AD96" s="164"/>
    </row>
    <row r="97" spans="2:30" ht="15">
      <c r="B97" s="41" t="s">
        <v>36</v>
      </c>
      <c r="C97" s="183">
        <v>0</v>
      </c>
      <c r="D97" s="183">
        <v>0</v>
      </c>
      <c r="E97" s="183">
        <v>0</v>
      </c>
      <c r="F97" s="183">
        <v>0</v>
      </c>
      <c r="G97" s="183">
        <v>0</v>
      </c>
      <c r="H97" s="183">
        <f>+H93</f>
        <v>7424263.960447289</v>
      </c>
      <c r="I97" s="164"/>
      <c r="J97" s="164"/>
      <c r="K97" s="166"/>
      <c r="L97" s="166"/>
      <c r="M97" s="166"/>
      <c r="N97" s="166"/>
      <c r="O97" s="166"/>
      <c r="P97" s="166"/>
      <c r="Q97" s="164"/>
      <c r="R97" s="164"/>
      <c r="S97" s="166"/>
      <c r="T97" s="166"/>
      <c r="U97" s="166"/>
      <c r="V97" s="166"/>
      <c r="W97" s="166"/>
      <c r="X97" s="166"/>
      <c r="Y97" s="164"/>
      <c r="Z97" s="164"/>
      <c r="AA97" s="164"/>
      <c r="AB97" s="164"/>
      <c r="AC97" s="164"/>
      <c r="AD97" s="164"/>
    </row>
    <row r="98" spans="9:30" ht="15">
      <c r="I98" s="164"/>
      <c r="J98" s="164"/>
      <c r="K98" s="164"/>
      <c r="L98" s="164"/>
      <c r="M98" s="164"/>
      <c r="N98" s="164"/>
      <c r="O98" s="164"/>
      <c r="P98" s="164"/>
      <c r="Q98" s="164"/>
      <c r="R98" s="164"/>
      <c r="S98" s="164"/>
      <c r="T98" s="164"/>
      <c r="U98" s="164"/>
      <c r="V98" s="164"/>
      <c r="W98" s="164"/>
      <c r="X98" s="164"/>
      <c r="Y98" s="164"/>
      <c r="Z98" s="164"/>
      <c r="AA98" s="164"/>
      <c r="AB98" s="164"/>
      <c r="AC98" s="164"/>
      <c r="AD98" s="164"/>
    </row>
    <row r="99" spans="9:30" ht="15">
      <c r="I99" s="164"/>
      <c r="J99" s="164"/>
      <c r="K99" s="164"/>
      <c r="L99" s="164"/>
      <c r="M99" s="164"/>
      <c r="N99" s="164"/>
      <c r="O99" s="164"/>
      <c r="P99" s="164"/>
      <c r="Q99" s="164"/>
      <c r="R99" s="164"/>
      <c r="S99" s="164"/>
      <c r="T99" s="164"/>
      <c r="U99" s="164"/>
      <c r="V99" s="164"/>
      <c r="W99" s="164"/>
      <c r="X99" s="164"/>
      <c r="Y99" s="164"/>
      <c r="Z99" s="164"/>
      <c r="AA99" s="164"/>
      <c r="AB99" s="164"/>
      <c r="AC99" s="164"/>
      <c r="AD99" s="164"/>
    </row>
  </sheetData>
  <sheetProtection/>
  <mergeCells count="12">
    <mergeCell ref="B10:I10"/>
    <mergeCell ref="B11:I11"/>
    <mergeCell ref="B12:I12"/>
    <mergeCell ref="B29:D29"/>
    <mergeCell ref="B43:B44"/>
    <mergeCell ref="B41:B42"/>
    <mergeCell ref="B33:B40"/>
    <mergeCell ref="C35:C40"/>
    <mergeCell ref="C41:D41"/>
    <mergeCell ref="C42:D42"/>
    <mergeCell ref="C43:D43"/>
    <mergeCell ref="C44:D44"/>
  </mergeCells>
  <printOptions/>
  <pageMargins left="0.7" right="0.7" top="0.75" bottom="0.75" header="0.3" footer="0.3"/>
  <pageSetup orientation="portrait" paperSize="9"/>
  <ignoredErrors>
    <ignoredError sqref="D89:H89 D92:H93 H97 D75:H75 D69:H73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Jerry Ruidias Román</dc:creator>
  <cp:keywords/>
  <dc:description/>
  <cp:lastModifiedBy>Oscar Hinojosa Vigil</cp:lastModifiedBy>
  <dcterms:created xsi:type="dcterms:W3CDTF">2015-06-01T14:57:15Z</dcterms:created>
  <dcterms:modified xsi:type="dcterms:W3CDTF">2015-12-18T16:25:21Z</dcterms:modified>
  <cp:category/>
  <cp:version/>
  <cp:contentType/>
  <cp:contentStatus/>
</cp:coreProperties>
</file>