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updateLinks="never" codeName="ThisWorkbook"/>
  <bookViews>
    <workbookView xWindow="-15" yWindow="-15" windowWidth="21660" windowHeight="4845" tabRatio="799"/>
  </bookViews>
  <sheets>
    <sheet name="Factor_de_Productividad" sheetId="76" r:id="rId1"/>
    <sheet name="Indice" sheetId="43" r:id="rId2"/>
    <sheet name="Indice de Cantidades " sheetId="40" r:id="rId3"/>
    <sheet name="Indice de Precios" sheetId="41" r:id="rId4"/>
    <sheet name="IngresosBrutos" sheetId="4" r:id="rId5"/>
    <sheet name="PagoCorpac" sheetId="6" r:id="rId6"/>
    <sheet name="RetribucionEstado" sheetId="5" r:id="rId7"/>
    <sheet name="RetribucionOsitran" sheetId="7" r:id="rId8"/>
    <sheet name="IngresosNetos" sheetId="8" r:id="rId9"/>
    <sheet name="CantidadDeProducto" sheetId="2" r:id="rId10"/>
    <sheet name="PreciosImplicitos" sheetId="9" r:id="rId11"/>
    <sheet name="IndiceCantidadesServicios" sheetId="42" r:id="rId12"/>
    <sheet name="IndicePreciosServicios" sheetId="44" r:id="rId13"/>
    <sheet name="BaseCapital" sheetId="15" r:id="rId14"/>
    <sheet name="ValorContableBaseCapital" sheetId="17" r:id="rId15"/>
    <sheet name="Inversiones " sheetId="11" r:id="rId16"/>
    <sheet name="Depreciaciones" sheetId="13" r:id="rId17"/>
    <sheet name="ValorContableInversiones  " sheetId="14" r:id="rId18"/>
    <sheet name="StockCapital" sheetId="52" r:id="rId19"/>
    <sheet name="StockCapitalPromedio" sheetId="77" r:id="rId20"/>
    <sheet name="PreciosDeCapital" sheetId="55" r:id="rId21"/>
    <sheet name="CostoUnitarioCapital" sheetId="56" r:id="rId22"/>
    <sheet name="CantidadesdeCapital" sheetId="59" r:id="rId23"/>
    <sheet name="ValorNominalImplicito" sheetId="61" r:id="rId24"/>
    <sheet name="CostoCapital2001" sheetId="62" r:id="rId25"/>
    <sheet name="PrecioCapital2001" sheetId="60" r:id="rId26"/>
    <sheet name="IndiceCantidadesCapital" sheetId="18" r:id="rId27"/>
    <sheet name="IndicePreciosCapital" sheetId="39" r:id="rId28"/>
    <sheet name="CantidadDeTrabajo" sheetId="21" r:id="rId29"/>
    <sheet name="GastoEnSalarios" sheetId="23" r:id="rId30"/>
    <sheet name="GastoEnSalariosAPrecios2001" sheetId="22" r:id="rId31"/>
    <sheet name="PrecioImplicitoDelTrabajoAl2001" sheetId="54" r:id="rId32"/>
    <sheet name="IndiceCantidadesTrabajo" sheetId="26" r:id="rId33"/>
    <sheet name="IndicePreciosTrabajo" sheetId="28" r:id="rId34"/>
    <sheet name="GastoMateriales" sheetId="30" r:id="rId35"/>
    <sheet name="CantidadesMateralialesIndexados" sheetId="31" r:id="rId36"/>
    <sheet name="PreciosImplicitoDeMateriales" sheetId="36" r:id="rId37"/>
    <sheet name="IndiceCantidadesMateriales" sheetId="37" r:id="rId38"/>
    <sheet name="IndicePreciosMateriales" sheetId="38" r:id="rId39"/>
    <sheet name="IPC_Lima" sheetId="20" r:id="rId40"/>
    <sheet name="IPC_Ajustado" sheetId="24" r:id="rId41"/>
    <sheet name="IPMAjustado" sheetId="57" r:id="rId42"/>
    <sheet name="IPMajustadoUS" sheetId="48" r:id="rId43"/>
    <sheet name="Devaluacion" sheetId="45" r:id="rId44"/>
    <sheet name="WACC" sheetId="19" r:id="rId45"/>
    <sheet name="PTF Eco" sheetId="47" r:id="rId46"/>
  </sheets>
  <externalReferences>
    <externalReference r:id="rId47"/>
    <externalReference r:id="rId48"/>
  </externalReferences>
  <definedNames>
    <definedName name="____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f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_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f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f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Fill" localSheetId="22" hidden="1">#REF!</definedName>
    <definedName name="_Fill" localSheetId="24" hidden="1">#REF!</definedName>
    <definedName name="_Fill" localSheetId="21" hidden="1">#REF!</definedName>
    <definedName name="_Fill" localSheetId="29" hidden="1">#REF!</definedName>
    <definedName name="_Fill" localSheetId="3" hidden="1">#REF!</definedName>
    <definedName name="_Fill" localSheetId="11" hidden="1">#REF!</definedName>
    <definedName name="_Fill" localSheetId="32" hidden="1">#REF!</definedName>
    <definedName name="_Fill" localSheetId="27" hidden="1">#REF!</definedName>
    <definedName name="_Fill" localSheetId="38" hidden="1">#REF!</definedName>
    <definedName name="_Fill" localSheetId="12" hidden="1">#REF!</definedName>
    <definedName name="_Fill" localSheetId="33" hidden="1">#REF!</definedName>
    <definedName name="_Fill" localSheetId="41" hidden="1">#REF!</definedName>
    <definedName name="_Fill" localSheetId="42" hidden="1">#REF!</definedName>
    <definedName name="_Fill" localSheetId="25" hidden="1">#REF!</definedName>
    <definedName name="_Fill" localSheetId="31" hidden="1">#REF!</definedName>
    <definedName name="_Fill" localSheetId="20" hidden="1">#REF!</definedName>
    <definedName name="_Fill" localSheetId="36" hidden="1">#REF!</definedName>
    <definedName name="_Fill" localSheetId="45" hidden="1">#REF!</definedName>
    <definedName name="_Fill" localSheetId="18" hidden="1">#REF!</definedName>
    <definedName name="_Fill" localSheetId="19" hidden="1">#REF!</definedName>
    <definedName name="_Fill" localSheetId="23" hidden="1">#REF!</definedName>
    <definedName name="_Fill" localSheetId="44" hidden="1">#REF!</definedName>
    <definedName name="_Fill" hidden="1">#REF!</definedName>
    <definedName name="_Key1" localSheetId="22" hidden="1">'[1]Pax ,ATM and seats'!#REF!</definedName>
    <definedName name="_Key1" localSheetId="24" hidden="1">'[1]Pax ,ATM and seats'!#REF!</definedName>
    <definedName name="_Key1" localSheetId="21" hidden="1">'[1]Pax ,ATM and seats'!#REF!</definedName>
    <definedName name="_Key1" localSheetId="43" hidden="1">'[1]Pax ,ATM and seats'!#REF!</definedName>
    <definedName name="_Key1" localSheetId="29" hidden="1">'[1]Pax ,ATM and seats'!#REF!</definedName>
    <definedName name="_Key1" localSheetId="3" hidden="1">'[1]Pax ,ATM and seats'!#REF!</definedName>
    <definedName name="_Key1" localSheetId="11" hidden="1">'[1]Pax ,ATM and seats'!#REF!</definedName>
    <definedName name="_Key1" localSheetId="32" hidden="1">'[1]Pax ,ATM and seats'!#REF!</definedName>
    <definedName name="_Key1" localSheetId="27" hidden="1">'[1]Pax ,ATM and seats'!#REF!</definedName>
    <definedName name="_Key1" localSheetId="38" hidden="1">'[1]Pax ,ATM and seats'!#REF!</definedName>
    <definedName name="_Key1" localSheetId="12" hidden="1">'[1]Pax ,ATM and seats'!#REF!</definedName>
    <definedName name="_Key1" localSheetId="33" hidden="1">'[1]Pax ,ATM and seats'!#REF!</definedName>
    <definedName name="_Key1" localSheetId="41" hidden="1">'[1]Pax ,ATM and seats'!#REF!</definedName>
    <definedName name="_Key1" localSheetId="42" hidden="1">'[1]Pax ,ATM and seats'!#REF!</definedName>
    <definedName name="_Key1" localSheetId="25" hidden="1">'[1]Pax ,ATM and seats'!#REF!</definedName>
    <definedName name="_Key1" localSheetId="31" hidden="1">'[1]Pax ,ATM and seats'!#REF!</definedName>
    <definedName name="_Key1" localSheetId="20" hidden="1">'[1]Pax ,ATM and seats'!#REF!</definedName>
    <definedName name="_Key1" localSheetId="36" hidden="1">'[1]Pax ,ATM and seats'!#REF!</definedName>
    <definedName name="_Key1" localSheetId="45" hidden="1">'[1]Pax ,ATM and seats'!#REF!</definedName>
    <definedName name="_Key1" localSheetId="18" hidden="1">'[1]Pax ,ATM and seats'!#REF!</definedName>
    <definedName name="_Key1" localSheetId="19" hidden="1">'[1]Pax ,ATM and seats'!#REF!</definedName>
    <definedName name="_Key1" localSheetId="23" hidden="1">'[1]Pax ,ATM and seats'!#REF!</definedName>
    <definedName name="_Key1" localSheetId="44" hidden="1">'[1]Pax ,ATM and seats'!#REF!</definedName>
    <definedName name="_Key1" hidden="1">'[1]Pax ,ATM and seats'!#REF!</definedName>
    <definedName name="_Order1" hidden="1">255</definedName>
    <definedName name="_Order2" hidden="1">255</definedName>
    <definedName name="_Sort" localSheetId="22" hidden="1">'[2]Output Page'!#REF!</definedName>
    <definedName name="_Sort" localSheetId="24" hidden="1">'[2]Output Page'!#REF!</definedName>
    <definedName name="_Sort" localSheetId="21" hidden="1">'[2]Output Page'!#REF!</definedName>
    <definedName name="_Sort" localSheetId="43" hidden="1">'[2]Output Page'!#REF!</definedName>
    <definedName name="_Sort" localSheetId="29" hidden="1">'[2]Output Page'!#REF!</definedName>
    <definedName name="_Sort" localSheetId="3" hidden="1">'[2]Output Page'!#REF!</definedName>
    <definedName name="_Sort" localSheetId="11" hidden="1">'[2]Output Page'!#REF!</definedName>
    <definedName name="_Sort" localSheetId="32" hidden="1">'[2]Output Page'!#REF!</definedName>
    <definedName name="_Sort" localSheetId="27" hidden="1">'[2]Output Page'!#REF!</definedName>
    <definedName name="_Sort" localSheetId="38" hidden="1">'[2]Output Page'!#REF!</definedName>
    <definedName name="_Sort" localSheetId="12" hidden="1">'[2]Output Page'!#REF!</definedName>
    <definedName name="_Sort" localSheetId="33" hidden="1">'[2]Output Page'!#REF!</definedName>
    <definedName name="_Sort" localSheetId="41" hidden="1">'[2]Output Page'!#REF!</definedName>
    <definedName name="_Sort" localSheetId="42" hidden="1">'[2]Output Page'!#REF!</definedName>
    <definedName name="_Sort" localSheetId="25" hidden="1">'[2]Output Page'!#REF!</definedName>
    <definedName name="_Sort" localSheetId="31" hidden="1">'[2]Output Page'!#REF!</definedName>
    <definedName name="_Sort" localSheetId="20" hidden="1">'[2]Output Page'!#REF!</definedName>
    <definedName name="_Sort" localSheetId="36" hidden="1">'[2]Output Page'!#REF!</definedName>
    <definedName name="_Sort" localSheetId="45" hidden="1">'[2]Output Page'!#REF!</definedName>
    <definedName name="_Sort" localSheetId="18" hidden="1">'[2]Output Page'!#REF!</definedName>
    <definedName name="_Sort" localSheetId="19" hidden="1">'[2]Output Page'!#REF!</definedName>
    <definedName name="_Sort" localSheetId="23" hidden="1">'[2]Output Page'!#REF!</definedName>
    <definedName name="_Sort" localSheetId="44" hidden="1">'[2]Output Page'!#REF!</definedName>
    <definedName name="_Sort" hidden="1">'[2]Output Page'!#REF!</definedName>
    <definedName name="aaaaa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aaaa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aaaa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bril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bril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bril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s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s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B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B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B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bbbb" localSheetId="4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bbb" localSheetId="44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bbb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bbbb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bbbbb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bbbbb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bbbbbbb" localSheetId="4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bbbbbb" localSheetId="44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bbbbbb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bbbbbbbb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bbbbbbbbb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bbbbbbbbb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bbbbbbbbbb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bbbbbbbbbb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bbbbbbbbbb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bbbbbbbbbbb" localSheetId="4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bbbbbbbbbb" localSheetId="44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bbbbbbbbbb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bbbbbbbbbbbbb" localSheetId="4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bbbbbbbbbbbbb" localSheetId="44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bbbbbbbbbbbbb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bbbbbbbbbbbbbbbbbbb" localSheetId="4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bbbbbbbbbbbbbbbbbbb" localSheetId="44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bbbbbbbbbbbbbbbbbbb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cc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cc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cc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ccc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ccc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ccc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ccccc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ccccc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ccccc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cccccccccccc" localSheetId="4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cccccccccccc" localSheetId="44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cccccccccccc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ccccccccccccccc" localSheetId="43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ccccccccccccccc" localSheetId="44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ccccccccccccccc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dddd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dd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d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ddd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ddd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ddd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f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f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fff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fff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ff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fffff" localSheetId="4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ffff" localSheetId="44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ff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d" localSheetId="4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d" localSheetId="44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d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vbgf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bgf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bg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ee" localSheetId="4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e" localSheetId="44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eee" localSheetId="4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eee" localSheetId="44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ee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r" localSheetId="4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r" localSheetId="44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er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" localSheetId="4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" localSheetId="44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fff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fff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ff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ffffffffffffffff" localSheetId="22" hidden="1">'[1]Pax ,ATM and seats'!#REF!</definedName>
    <definedName name="fffffffffffffffff" localSheetId="24" hidden="1">'[1]Pax ,ATM and seats'!#REF!</definedName>
    <definedName name="fffffffffffffffff" localSheetId="21" hidden="1">'[1]Pax ,ATM and seats'!#REF!</definedName>
    <definedName name="fffffffffffffffff" localSheetId="41" hidden="1">'[1]Pax ,ATM and seats'!#REF!</definedName>
    <definedName name="fffffffffffffffff" localSheetId="42" hidden="1">'[1]Pax ,ATM and seats'!#REF!</definedName>
    <definedName name="fffffffffffffffff" localSheetId="25" hidden="1">'[1]Pax ,ATM and seats'!#REF!</definedName>
    <definedName name="fffffffffffffffff" localSheetId="31" hidden="1">'[1]Pax ,ATM and seats'!#REF!</definedName>
    <definedName name="fffffffffffffffff" localSheetId="20" hidden="1">'[1]Pax ,ATM and seats'!#REF!</definedName>
    <definedName name="fffffffffffffffff" localSheetId="45" hidden="1">'[1]Pax ,ATM and seats'!#REF!</definedName>
    <definedName name="fffffffffffffffff" localSheetId="18" hidden="1">'[1]Pax ,ATM and seats'!#REF!</definedName>
    <definedName name="fffffffffffffffff" localSheetId="19" hidden="1">'[1]Pax ,ATM and seats'!#REF!</definedName>
    <definedName name="fffffffffffffffff" localSheetId="23" hidden="1">'[1]Pax ,ATM and seats'!#REF!</definedName>
    <definedName name="fffffffffffffffff" hidden="1">'[1]Pax ,ATM and seats'!#REF!</definedName>
    <definedName name="fg" localSheetId="4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" localSheetId="44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dfg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dfg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d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 localSheetId="4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dg" localSheetId="44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d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hfg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fg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ill" localSheetId="22" hidden="1">#REF!</definedName>
    <definedName name="fill" localSheetId="24" hidden="1">#REF!</definedName>
    <definedName name="fill" localSheetId="21" hidden="1">#REF!</definedName>
    <definedName name="fill" localSheetId="3" hidden="1">#REF!</definedName>
    <definedName name="fill" localSheetId="11" hidden="1">#REF!</definedName>
    <definedName name="fill" localSheetId="27" hidden="1">#REF!</definedName>
    <definedName name="fill" localSheetId="38" hidden="1">#REF!</definedName>
    <definedName name="fill" localSheetId="12" hidden="1">#REF!</definedName>
    <definedName name="fill" localSheetId="33" hidden="1">#REF!</definedName>
    <definedName name="fill" localSheetId="41" hidden="1">#REF!</definedName>
    <definedName name="fill" localSheetId="42" hidden="1">#REF!</definedName>
    <definedName name="fill" localSheetId="25" hidden="1">#REF!</definedName>
    <definedName name="fill" localSheetId="31" hidden="1">#REF!</definedName>
    <definedName name="fill" localSheetId="20" hidden="1">#REF!</definedName>
    <definedName name="fill" localSheetId="36" hidden="1">#REF!</definedName>
    <definedName name="fill" localSheetId="45" hidden="1">#REF!</definedName>
    <definedName name="fill" localSheetId="18" hidden="1">#REF!</definedName>
    <definedName name="fill" localSheetId="19" hidden="1">#REF!</definedName>
    <definedName name="fill" localSheetId="23" hidden="1">#REF!</definedName>
    <definedName name="fill" hidden="1">#REF!</definedName>
    <definedName name="fssdf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ssdf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ssd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dgfdg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dgfdg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dgfd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fg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fg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f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 localSheetId="4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fgfgfgss" localSheetId="44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fgfgfgss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 localSheetId="4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 localSheetId="44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gg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ggg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ggg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hggg" localSheetId="4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ggg" localSheetId="44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ggg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Inte" localSheetId="4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Inte" localSheetId="44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Int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Intereses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Intereses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Interese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J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J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J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jh" localSheetId="4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h" localSheetId="44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jhkj" localSheetId="4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hkj" localSheetId="44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hkj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k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LKL" localSheetId="4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KL" localSheetId="44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KL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 localSheetId="4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 localSheetId="44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Marzo04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Marzo04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Marzo0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P" localSheetId="4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P" localSheetId="44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P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rr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rr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rr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d" localSheetId="4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d" localSheetId="44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d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dfs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dfs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df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ervices2" localSheetId="43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rvices2" localSheetId="44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ervices2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fff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fff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fff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s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s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sshhh" localSheetId="4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hhh" localSheetId="44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hhh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s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ssss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ssss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test" localSheetId="43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test" localSheetId="44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test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uj" localSheetId="4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uj" localSheetId="44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uj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eq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eq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eq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all." localSheetId="43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" localSheetId="44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all." hidden="1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wrn.COST_SHEETS." localSheetId="43" hidden="1">{#N/A,#N/A,FALSE,"WBS 1.06";#N/A,#N/A,FALSE,"WBS 1.14";#N/A,#N/A,FALSE,"WBS 1.17";#N/A,#N/A,FALSE,"WBS 1.18"}</definedName>
    <definedName name="wrn.COST_SHEETS." localSheetId="44" hidden="1">{#N/A,#N/A,FALSE,"WBS 1.06";#N/A,#N/A,FALSE,"WBS 1.14";#N/A,#N/A,FALSE,"WBS 1.17";#N/A,#N/A,FALSE,"WBS 1.18"}</definedName>
    <definedName name="wrn.COST_SHEETS." hidden="1">{#N/A,#N/A,FALSE,"WBS 1.06";#N/A,#N/A,FALSE,"WBS 1.14";#N/A,#N/A,FALSE,"WBS 1.17";#N/A,#N/A,FALSE,"WBS 1.18"}</definedName>
    <definedName name="wrn.Print_all_sections." localSheetId="43" hidden="1">{#N/A,#N/A,TRUE,"Title";#N/A,#N/A,TRUE,"CC-Summary";#N/A,#N/A,TRUE,"CapitalCost";#N/A,#N/A,TRUE,"Revenue and cost analysis";#N/A,#N/A,TRUE,"DCF";#N/A,#N/A,TRUE,"DCF-APV";#N/A,#N/A,TRUE,"DCF-WACC"}</definedName>
    <definedName name="wrn.Print_all_sections." localSheetId="44" hidden="1">{#N/A,#N/A,TRUE,"Title";#N/A,#N/A,TRUE,"CC-Summary";#N/A,#N/A,TRUE,"CapitalCost";#N/A,#N/A,TRUE,"Revenue and cost analysis";#N/A,#N/A,TRUE,"DCF";#N/A,#N/A,TRUE,"DCF-APV";#N/A,#N/A,TRUE,"DCF-WACC"}</definedName>
    <definedName name="wrn.Print_all_sections." hidden="1">{#N/A,#N/A,TRUE,"Title";#N/A,#N/A,TRUE,"CC-Summary";#N/A,#N/A,TRUE,"CapitalCost";#N/A,#N/A,TRUE,"Revenue and cost analysis";#N/A,#N/A,TRUE,"DCF";#N/A,#N/A,TRUE,"DCF-APV";#N/A,#N/A,TRUE,"DCF-WACC"}</definedName>
    <definedName name="wrn.Print_all_sheets." localSheetId="43" hidden="1">{#N/A,#N/A,TRUE,"Traffic";#N/A,#N/A,TRUE,"Capex";#N/A,#N/A,TRUE,"P_and_L"}</definedName>
    <definedName name="wrn.Print_all_sheets." localSheetId="44" hidden="1">{#N/A,#N/A,TRUE,"Traffic";#N/A,#N/A,TRUE,"Capex";#N/A,#N/A,TRUE,"P_and_L"}</definedName>
    <definedName name="wrn.Print_all_sheets." hidden="1">{#N/A,#N/A,TRUE,"Traffic";#N/A,#N/A,TRUE,"Capex";#N/A,#N/A,TRUE,"P_and_L"}</definedName>
    <definedName name="wrn.PrintallD.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D.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D.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 localSheetId="4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PrintallG." localSheetId="44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PrintallG.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x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c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c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c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x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x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x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YU" localSheetId="4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YU" localSheetId="44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YU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" localSheetId="4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" localSheetId="44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se" localSheetId="43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se" localSheetId="44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se" hidden="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z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zzzz" localSheetId="43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zzzz" localSheetId="44" hidden="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zzzz" hidden="1">{#N/A,#N/A,FALSE,"SumD";#N/A,#N/A,FALSE,"ElecD";#N/A,#N/A,FALSE,"MechD";#N/A,#N/A,FALSE,"GeotD";#N/A,#N/A,FALSE,"PrcsD";#N/A,#N/A,FALSE,"TunnD";#N/A,#N/A,FALSE,"CivlD";#N/A,#N/A,FALSE,"NtwkD";#N/A,#N/A,FALSE,"EstgD";#N/A,#N/A,FALSE,"PEngD"}</definedName>
  </definedNames>
  <calcPr calcId="125725"/>
</workbook>
</file>

<file path=xl/calcChain.xml><?xml version="1.0" encoding="utf-8"?>
<calcChain xmlns="http://schemas.openxmlformats.org/spreadsheetml/2006/main">
  <c r="K18" i="45"/>
  <c r="I4" i="55"/>
  <c r="B19" i="57"/>
  <c r="H36" i="15"/>
  <c r="C27" i="36" l="1"/>
  <c r="D27"/>
  <c r="E27"/>
  <c r="F27"/>
  <c r="G27"/>
  <c r="H27"/>
  <c r="I27"/>
  <c r="J27"/>
  <c r="K27"/>
  <c r="L27"/>
  <c r="M27"/>
  <c r="N27"/>
  <c r="O27"/>
  <c r="B18" i="45"/>
  <c r="D18" i="20"/>
  <c r="E18"/>
  <c r="F18"/>
  <c r="G18"/>
  <c r="H18"/>
  <c r="I18"/>
  <c r="J18"/>
  <c r="K18"/>
  <c r="L18"/>
  <c r="M18"/>
  <c r="N18"/>
  <c r="C18"/>
  <c r="O18" s="1"/>
  <c r="B23" i="61" l="1"/>
  <c r="B24"/>
  <c r="B25"/>
  <c r="B26"/>
  <c r="B27"/>
  <c r="B28"/>
  <c r="B29"/>
  <c r="B22"/>
  <c r="C13" i="23" l="1"/>
  <c r="A2" i="77" l="1"/>
  <c r="C154" i="13" l="1"/>
  <c r="C122"/>
  <c r="C90"/>
  <c r="Q90"/>
  <c r="O30" i="21"/>
  <c r="N30"/>
  <c r="M30"/>
  <c r="L30"/>
  <c r="K30"/>
  <c r="J30"/>
  <c r="I30"/>
  <c r="H30"/>
  <c r="G30"/>
  <c r="F30"/>
  <c r="E30"/>
  <c r="D30"/>
  <c r="B30"/>
  <c r="D29"/>
  <c r="E29"/>
  <c r="F29"/>
  <c r="G29"/>
  <c r="H29"/>
  <c r="I29"/>
  <c r="J29"/>
  <c r="K29"/>
  <c r="L29"/>
  <c r="M29"/>
  <c r="N29"/>
  <c r="O29"/>
  <c r="B29"/>
  <c r="B28" s="1"/>
  <c r="M28"/>
  <c r="I28"/>
  <c r="E28"/>
  <c r="C18" i="14"/>
  <c r="F16" i="48"/>
  <c r="D28" i="21" l="1"/>
  <c r="H28"/>
  <c r="F28"/>
  <c r="K28"/>
  <c r="G28"/>
  <c r="J28"/>
  <c r="L28"/>
  <c r="N28"/>
  <c r="O28"/>
  <c r="R47" i="13" l="1"/>
  <c r="R58" s="1"/>
  <c r="C10" i="11" l="1"/>
  <c r="C9"/>
  <c r="C8"/>
  <c r="C7"/>
  <c r="C19"/>
  <c r="C18"/>
  <c r="C16"/>
  <c r="C17" i="14" s="1"/>
  <c r="C19" l="1"/>
  <c r="N18" i="24" l="1"/>
  <c r="N19" s="1"/>
  <c r="M18"/>
  <c r="L18"/>
  <c r="K18"/>
  <c r="J18"/>
  <c r="J19" s="1"/>
  <c r="I18"/>
  <c r="H18"/>
  <c r="G18"/>
  <c r="F18"/>
  <c r="F19" s="1"/>
  <c r="E18"/>
  <c r="D18"/>
  <c r="C18"/>
  <c r="B18"/>
  <c r="O5" i="47"/>
  <c r="D11" i="76" s="1"/>
  <c r="D5" s="1"/>
  <c r="L19" i="24" l="1"/>
  <c r="D19"/>
  <c r="H19"/>
  <c r="C19"/>
  <c r="E19"/>
  <c r="G19"/>
  <c r="I19"/>
  <c r="K19"/>
  <c r="M19"/>
  <c r="C69" i="4" l="1"/>
  <c r="D69"/>
  <c r="E69"/>
  <c r="F69"/>
  <c r="G69"/>
  <c r="H69"/>
  <c r="I69"/>
  <c r="J69"/>
  <c r="K69"/>
  <c r="L69"/>
  <c r="M69"/>
  <c r="N69"/>
  <c r="O69"/>
  <c r="N19" i="57" l="1"/>
  <c r="N20" s="1"/>
  <c r="M19"/>
  <c r="L19"/>
  <c r="L20" s="1"/>
  <c r="K19"/>
  <c r="J19"/>
  <c r="J20" s="1"/>
  <c r="I19"/>
  <c r="H19"/>
  <c r="H20" s="1"/>
  <c r="G19"/>
  <c r="F19"/>
  <c r="F20" s="1"/>
  <c r="E19"/>
  <c r="D19"/>
  <c r="D20" s="1"/>
  <c r="C19"/>
  <c r="C4" i="55"/>
  <c r="C20" i="57" l="1"/>
  <c r="E20"/>
  <c r="G20"/>
  <c r="I20"/>
  <c r="K20"/>
  <c r="M20"/>
  <c r="C5" i="55"/>
  <c r="D4"/>
  <c r="D5" l="1"/>
  <c r="E5" s="1"/>
  <c r="F5" s="1"/>
  <c r="E4"/>
  <c r="H5" l="1"/>
  <c r="G5"/>
  <c r="I5" s="1"/>
  <c r="J5" s="1"/>
  <c r="K5" s="1"/>
  <c r="L5" s="1"/>
  <c r="M5" s="1"/>
  <c r="N5" s="1"/>
  <c r="O5" s="1"/>
  <c r="F4"/>
  <c r="A2" i="52"/>
  <c r="C6"/>
  <c r="C6" i="77" s="1"/>
  <c r="D15" i="19" l="1"/>
  <c r="M15"/>
  <c r="K15"/>
  <c r="I15"/>
  <c r="G15"/>
  <c r="E15"/>
  <c r="C15"/>
  <c r="N15"/>
  <c r="L15"/>
  <c r="J15"/>
  <c r="H15"/>
  <c r="F15"/>
  <c r="D16" i="48"/>
  <c r="E16"/>
  <c r="G16"/>
  <c r="H16"/>
  <c r="I16"/>
  <c r="J16"/>
  <c r="K16"/>
  <c r="L16"/>
  <c r="M16"/>
  <c r="N16"/>
  <c r="C16"/>
  <c r="B16"/>
  <c r="J3" i="37" l="1"/>
  <c r="K3" s="1"/>
  <c r="L3" s="1"/>
  <c r="M3" s="1"/>
  <c r="E15" i="13"/>
  <c r="J4" i="55" l="1"/>
  <c r="K4" l="1"/>
  <c r="L4" l="1"/>
  <c r="D18" i="48"/>
  <c r="F18"/>
  <c r="H18"/>
  <c r="L18"/>
  <c r="J18"/>
  <c r="N18"/>
  <c r="M18"/>
  <c r="K18"/>
  <c r="I18"/>
  <c r="G18"/>
  <c r="E18"/>
  <c r="C18"/>
  <c r="M4" i="55" l="1"/>
  <c r="N18" i="45"/>
  <c r="M18"/>
  <c r="L18"/>
  <c r="J18"/>
  <c r="I18"/>
  <c r="H18"/>
  <c r="G18"/>
  <c r="F18"/>
  <c r="E18"/>
  <c r="D18"/>
  <c r="C18"/>
  <c r="D69" i="5"/>
  <c r="E69"/>
  <c r="F69"/>
  <c r="G69"/>
  <c r="H69"/>
  <c r="I69"/>
  <c r="J69"/>
  <c r="K69"/>
  <c r="L69"/>
  <c r="M69"/>
  <c r="N69"/>
  <c r="O69"/>
  <c r="C69"/>
  <c r="D6"/>
  <c r="E6"/>
  <c r="F6"/>
  <c r="G6"/>
  <c r="H6"/>
  <c r="I6"/>
  <c r="J6"/>
  <c r="K6"/>
  <c r="L6"/>
  <c r="M6"/>
  <c r="N6"/>
  <c r="O6"/>
  <c r="C6"/>
  <c r="J19" i="45" l="1"/>
  <c r="C19"/>
  <c r="E19"/>
  <c r="E19" i="48" s="1"/>
  <c r="G19" i="45"/>
  <c r="G19" i="48" s="1"/>
  <c r="I19" i="45"/>
  <c r="I19" i="48" s="1"/>
  <c r="K19" i="45"/>
  <c r="K19" i="48" s="1"/>
  <c r="M19" i="45"/>
  <c r="M19" i="48" s="1"/>
  <c r="D19" i="45"/>
  <c r="D19" i="48" s="1"/>
  <c r="F19" i="45"/>
  <c r="F19" i="48" s="1"/>
  <c r="H19" i="45"/>
  <c r="H19" i="48" s="1"/>
  <c r="L19" i="45"/>
  <c r="L19" i="48" s="1"/>
  <c r="N19" i="45"/>
  <c r="N19" i="48" s="1"/>
  <c r="N4" i="55"/>
  <c r="J19" i="48"/>
  <c r="H26" i="41"/>
  <c r="I26" s="1"/>
  <c r="J26" s="1"/>
  <c r="K26" s="1"/>
  <c r="L26" s="1"/>
  <c r="M26" s="1"/>
  <c r="N26" s="1"/>
  <c r="C26"/>
  <c r="D26" s="1"/>
  <c r="E26" s="1"/>
  <c r="D35" i="40"/>
  <c r="H28"/>
  <c r="D28"/>
  <c r="H5"/>
  <c r="I5" s="1"/>
  <c r="J5" s="1"/>
  <c r="K5" s="1"/>
  <c r="L5" s="1"/>
  <c r="M5" s="1"/>
  <c r="N5" s="1"/>
  <c r="D5"/>
  <c r="E5" s="1"/>
  <c r="D3" i="37"/>
  <c r="E3" s="1"/>
  <c r="F3" s="1"/>
  <c r="C19" i="48" l="1"/>
  <c r="C20" s="1"/>
  <c r="D20" s="1"/>
  <c r="E20" s="1"/>
  <c r="F20" s="1"/>
  <c r="G20" s="1"/>
  <c r="H20" s="1"/>
  <c r="I20" s="1"/>
  <c r="J20" s="1"/>
  <c r="K20" s="1"/>
  <c r="L20" s="1"/>
  <c r="M20" s="1"/>
  <c r="N20" s="1"/>
  <c r="C6" i="55"/>
  <c r="D6" s="1"/>
  <c r="E6" s="1"/>
  <c r="F6" s="1"/>
  <c r="E28" i="40"/>
  <c r="I28"/>
  <c r="O4" i="55"/>
  <c r="C6" i="59"/>
  <c r="I17" i="30"/>
  <c r="J17"/>
  <c r="E35" i="40"/>
  <c r="L17" i="30"/>
  <c r="O17"/>
  <c r="N3" i="37"/>
  <c r="O3" s="1"/>
  <c r="B17" i="30"/>
  <c r="H17"/>
  <c r="N17"/>
  <c r="D17"/>
  <c r="F17"/>
  <c r="E17"/>
  <c r="K17"/>
  <c r="M17"/>
  <c r="H6" i="55" l="1"/>
  <c r="G6"/>
  <c r="I6" s="1"/>
  <c r="J6" s="1"/>
  <c r="K6" s="1"/>
  <c r="L6" s="1"/>
  <c r="M6" s="1"/>
  <c r="N6" s="1"/>
  <c r="O6" s="1"/>
  <c r="J28" i="40"/>
  <c r="H35"/>
  <c r="G17" i="30"/>
  <c r="C17"/>
  <c r="K28" i="40" l="1"/>
  <c r="C5" i="31"/>
  <c r="D8"/>
  <c r="I35" i="40"/>
  <c r="C4" i="31"/>
  <c r="C7"/>
  <c r="C12"/>
  <c r="C6"/>
  <c r="C11"/>
  <c r="C9"/>
  <c r="C14"/>
  <c r="C8"/>
  <c r="C13"/>
  <c r="D13"/>
  <c r="C7" i="36" l="1"/>
  <c r="C22" s="1"/>
  <c r="C16"/>
  <c r="C31" s="1"/>
  <c r="L28" i="40"/>
  <c r="C11" i="36"/>
  <c r="C26" s="1"/>
  <c r="C6"/>
  <c r="C21" s="1"/>
  <c r="C8"/>
  <c r="C23" s="1"/>
  <c r="C9"/>
  <c r="C24" s="1"/>
  <c r="E14" i="31"/>
  <c r="C15" i="36"/>
  <c r="C30" s="1"/>
  <c r="C13"/>
  <c r="C28" s="1"/>
  <c r="C14"/>
  <c r="C29" s="1"/>
  <c r="D14" i="31"/>
  <c r="C10" i="36"/>
  <c r="C25" s="1"/>
  <c r="D11" i="31"/>
  <c r="D5"/>
  <c r="D7"/>
  <c r="D4"/>
  <c r="D12"/>
  <c r="D9"/>
  <c r="D6"/>
  <c r="J35" i="40"/>
  <c r="E11" i="31"/>
  <c r="E7"/>
  <c r="E12"/>
  <c r="E8"/>
  <c r="E4"/>
  <c r="E13"/>
  <c r="E9"/>
  <c r="E5"/>
  <c r="E6"/>
  <c r="D15" i="36"/>
  <c r="D30" s="1"/>
  <c r="D10"/>
  <c r="D25" s="1"/>
  <c r="D8" l="1"/>
  <c r="D23" s="1"/>
  <c r="M28" i="40"/>
  <c r="D7" i="36"/>
  <c r="D22" s="1"/>
  <c r="D14"/>
  <c r="D29" s="1"/>
  <c r="D6" i="37"/>
  <c r="C13" i="40" s="1"/>
  <c r="D13" i="36"/>
  <c r="D28" s="1"/>
  <c r="D16"/>
  <c r="D31" s="1"/>
  <c r="D9"/>
  <c r="D24" s="1"/>
  <c r="D11"/>
  <c r="D26" s="1"/>
  <c r="D6"/>
  <c r="D21" s="1"/>
  <c r="F14" i="31"/>
  <c r="F12"/>
  <c r="F8"/>
  <c r="F6"/>
  <c r="F4"/>
  <c r="F13"/>
  <c r="F11"/>
  <c r="F9"/>
  <c r="F7"/>
  <c r="F5"/>
  <c r="K35" i="40"/>
  <c r="D7" i="38"/>
  <c r="C11" i="41" s="1"/>
  <c r="E15" i="36"/>
  <c r="E30" s="1"/>
  <c r="E11"/>
  <c r="E26" s="1"/>
  <c r="E7"/>
  <c r="E22" s="1"/>
  <c r="E14"/>
  <c r="E29" s="1"/>
  <c r="E10"/>
  <c r="E25" s="1"/>
  <c r="E6"/>
  <c r="E21" s="1"/>
  <c r="E13"/>
  <c r="E28" s="1"/>
  <c r="E9"/>
  <c r="E24" s="1"/>
  <c r="E16"/>
  <c r="E31" s="1"/>
  <c r="E8"/>
  <c r="E23" s="1"/>
  <c r="N28" i="40" l="1"/>
  <c r="D9" i="37"/>
  <c r="C23" i="40" s="1"/>
  <c r="D8" i="37"/>
  <c r="C19" i="40" s="1"/>
  <c r="E7" i="38"/>
  <c r="D11" i="41" s="1"/>
  <c r="D10" i="38"/>
  <c r="C18" i="41" s="1"/>
  <c r="D11" i="38"/>
  <c r="C22" i="41" s="1"/>
  <c r="E6" i="37"/>
  <c r="D13" i="40" s="1"/>
  <c r="D6" i="38"/>
  <c r="C7" i="41" s="1"/>
  <c r="D5" i="37"/>
  <c r="C9" i="40" s="1"/>
  <c r="L35"/>
  <c r="H14" i="31"/>
  <c r="G14"/>
  <c r="G13"/>
  <c r="G11"/>
  <c r="G9"/>
  <c r="G7"/>
  <c r="G5"/>
  <c r="H13"/>
  <c r="H11"/>
  <c r="H9"/>
  <c r="H7"/>
  <c r="H5"/>
  <c r="H12"/>
  <c r="H8"/>
  <c r="H6"/>
  <c r="H4"/>
  <c r="G12"/>
  <c r="G8"/>
  <c r="G6"/>
  <c r="G4"/>
  <c r="E5" i="37"/>
  <c r="D9" i="40" s="1"/>
  <c r="F6" i="37"/>
  <c r="E13" i="40" s="1"/>
  <c r="E11" i="38"/>
  <c r="D22" i="41" s="1"/>
  <c r="F16" i="36"/>
  <c r="F31" s="1"/>
  <c r="F8"/>
  <c r="F23" s="1"/>
  <c r="F15"/>
  <c r="F30" s="1"/>
  <c r="F11"/>
  <c r="F26" s="1"/>
  <c r="F7"/>
  <c r="F22" s="1"/>
  <c r="F14"/>
  <c r="F29" s="1"/>
  <c r="F10"/>
  <c r="F25" s="1"/>
  <c r="F6"/>
  <c r="F21" s="1"/>
  <c r="F13"/>
  <c r="F28" s="1"/>
  <c r="F9"/>
  <c r="F24" s="1"/>
  <c r="E8" i="37"/>
  <c r="D19" i="40" s="1"/>
  <c r="F7" i="38"/>
  <c r="E11" i="41" s="1"/>
  <c r="E9" i="37"/>
  <c r="D23" i="40" s="1"/>
  <c r="E10" i="38"/>
  <c r="E6"/>
  <c r="D4" i="37" l="1"/>
  <c r="D5" i="38"/>
  <c r="D7" i="37"/>
  <c r="D10" s="1"/>
  <c r="D11" s="1"/>
  <c r="D9" i="38"/>
  <c r="M35" i="40"/>
  <c r="I4" i="31"/>
  <c r="I8"/>
  <c r="I5"/>
  <c r="I12"/>
  <c r="I6"/>
  <c r="E4" i="37"/>
  <c r="F8"/>
  <c r="E19" i="40" s="1"/>
  <c r="F5" i="37"/>
  <c r="E9" i="40" s="1"/>
  <c r="F11" i="38"/>
  <c r="E22" i="41" s="1"/>
  <c r="G15" i="36"/>
  <c r="G30" s="1"/>
  <c r="G13"/>
  <c r="G28" s="1"/>
  <c r="G11"/>
  <c r="G26" s="1"/>
  <c r="G9"/>
  <c r="G24" s="1"/>
  <c r="G7"/>
  <c r="G22" s="1"/>
  <c r="G16"/>
  <c r="G31" s="1"/>
  <c r="G14"/>
  <c r="G29" s="1"/>
  <c r="G10"/>
  <c r="G25" s="1"/>
  <c r="G8"/>
  <c r="G23" s="1"/>
  <c r="G6"/>
  <c r="G21" s="1"/>
  <c r="H16"/>
  <c r="H31" s="1"/>
  <c r="H14"/>
  <c r="H29" s="1"/>
  <c r="H10"/>
  <c r="H25" s="1"/>
  <c r="H8"/>
  <c r="H23" s="1"/>
  <c r="H6"/>
  <c r="H21" s="1"/>
  <c r="H15"/>
  <c r="H30" s="1"/>
  <c r="H13"/>
  <c r="H28" s="1"/>
  <c r="H11"/>
  <c r="H26" s="1"/>
  <c r="H9"/>
  <c r="H24" s="1"/>
  <c r="H7"/>
  <c r="H22" s="1"/>
  <c r="G6" i="37"/>
  <c r="F13" i="40" s="1"/>
  <c r="D7" i="41"/>
  <c r="E5" i="38"/>
  <c r="F6"/>
  <c r="F10"/>
  <c r="G7"/>
  <c r="F11" i="41" s="1"/>
  <c r="F9" i="37"/>
  <c r="E23" i="40" s="1"/>
  <c r="D18" i="41"/>
  <c r="E9" i="38"/>
  <c r="E7" i="37"/>
  <c r="B12" i="23"/>
  <c r="B29" s="1"/>
  <c r="D13" i="38" l="1"/>
  <c r="D14" s="1"/>
  <c r="I9" i="31"/>
  <c r="I7"/>
  <c r="I14"/>
  <c r="I11"/>
  <c r="I13"/>
  <c r="B5" i="23"/>
  <c r="N35" i="40"/>
  <c r="J13" i="31"/>
  <c r="J4"/>
  <c r="J11"/>
  <c r="J5"/>
  <c r="J8"/>
  <c r="J7"/>
  <c r="J12"/>
  <c r="J9"/>
  <c r="J14"/>
  <c r="J6"/>
  <c r="E10" i="37"/>
  <c r="E11" s="1"/>
  <c r="F4"/>
  <c r="G11" i="38"/>
  <c r="F22" i="41" s="1"/>
  <c r="G5" i="37"/>
  <c r="G4" s="1"/>
  <c r="I11" i="36"/>
  <c r="I26" s="1"/>
  <c r="I7"/>
  <c r="I22" s="1"/>
  <c r="I14"/>
  <c r="I29" s="1"/>
  <c r="I10"/>
  <c r="I25" s="1"/>
  <c r="I6"/>
  <c r="I21" s="1"/>
  <c r="I8"/>
  <c r="I23" s="1"/>
  <c r="F7" i="37"/>
  <c r="E18" i="41"/>
  <c r="F9" i="38"/>
  <c r="E7" i="41"/>
  <c r="F5" i="38"/>
  <c r="E13"/>
  <c r="E14" s="1"/>
  <c r="G28" i="23"/>
  <c r="C28"/>
  <c r="O12"/>
  <c r="N12"/>
  <c r="M12"/>
  <c r="L12"/>
  <c r="K12"/>
  <c r="J12"/>
  <c r="I12"/>
  <c r="H12"/>
  <c r="F12"/>
  <c r="E12"/>
  <c r="D12"/>
  <c r="B30"/>
  <c r="G14"/>
  <c r="C14"/>
  <c r="G13"/>
  <c r="G12" s="1"/>
  <c r="C5" i="21"/>
  <c r="C30" s="1"/>
  <c r="C4"/>
  <c r="C29" s="1"/>
  <c r="O3"/>
  <c r="O13" s="1"/>
  <c r="O17" s="1"/>
  <c r="N3"/>
  <c r="N13" s="1"/>
  <c r="N17" s="1"/>
  <c r="M3"/>
  <c r="M13" s="1"/>
  <c r="M17" s="1"/>
  <c r="L3"/>
  <c r="L13" s="1"/>
  <c r="L17" s="1"/>
  <c r="K3"/>
  <c r="K13" s="1"/>
  <c r="K17" s="1"/>
  <c r="J3"/>
  <c r="J13" s="1"/>
  <c r="J17" s="1"/>
  <c r="I3"/>
  <c r="I13" s="1"/>
  <c r="I17" s="1"/>
  <c r="H3"/>
  <c r="H13" s="1"/>
  <c r="H17" s="1"/>
  <c r="G3"/>
  <c r="G13" s="1"/>
  <c r="G17" s="1"/>
  <c r="F3"/>
  <c r="F13" s="1"/>
  <c r="F17" s="1"/>
  <c r="E3"/>
  <c r="E13" s="1"/>
  <c r="E17" s="1"/>
  <c r="D3"/>
  <c r="D13" s="1"/>
  <c r="D17" s="1"/>
  <c r="C3"/>
  <c r="B3"/>
  <c r="B13" s="1"/>
  <c r="B17" s="1"/>
  <c r="I9" i="36" l="1"/>
  <c r="I24" s="1"/>
  <c r="I13"/>
  <c r="I28" s="1"/>
  <c r="I16"/>
  <c r="I31" s="1"/>
  <c r="I15"/>
  <c r="I30" s="1"/>
  <c r="B6" i="23"/>
  <c r="H30"/>
  <c r="D30"/>
  <c r="M30"/>
  <c r="E30"/>
  <c r="J30"/>
  <c r="N30"/>
  <c r="L30"/>
  <c r="I30"/>
  <c r="F30"/>
  <c r="K30"/>
  <c r="O30"/>
  <c r="C28" i="21"/>
  <c r="K14" i="31"/>
  <c r="K12"/>
  <c r="K4"/>
  <c r="F10" i="37"/>
  <c r="F11" s="1"/>
  <c r="I7" i="38"/>
  <c r="H11" i="41" s="1"/>
  <c r="I6" i="37"/>
  <c r="H13" i="40" s="1"/>
  <c r="F9"/>
  <c r="G8" i="37"/>
  <c r="F19" i="40" s="1"/>
  <c r="J16" i="36"/>
  <c r="J31" s="1"/>
  <c r="J8"/>
  <c r="J23" s="1"/>
  <c r="J15"/>
  <c r="J30" s="1"/>
  <c r="J11"/>
  <c r="J26" s="1"/>
  <c r="J7"/>
  <c r="J22" s="1"/>
  <c r="J14"/>
  <c r="J29" s="1"/>
  <c r="J10"/>
  <c r="J25" s="1"/>
  <c r="J6"/>
  <c r="J21" s="1"/>
  <c r="J13"/>
  <c r="J28" s="1"/>
  <c r="J9"/>
  <c r="J24" s="1"/>
  <c r="F13" i="38"/>
  <c r="F14" s="1"/>
  <c r="C12" i="23"/>
  <c r="E20"/>
  <c r="I20"/>
  <c r="K20"/>
  <c r="M20"/>
  <c r="O20"/>
  <c r="O24" s="1"/>
  <c r="E21"/>
  <c r="I21"/>
  <c r="K21"/>
  <c r="M21"/>
  <c r="O21"/>
  <c r="E29"/>
  <c r="I29"/>
  <c r="K29"/>
  <c r="M29"/>
  <c r="O29"/>
  <c r="B20"/>
  <c r="D20"/>
  <c r="F20"/>
  <c r="H20"/>
  <c r="J20"/>
  <c r="L20"/>
  <c r="N20"/>
  <c r="N24" s="1"/>
  <c r="B21"/>
  <c r="D21"/>
  <c r="F21"/>
  <c r="H21"/>
  <c r="J21"/>
  <c r="L21"/>
  <c r="N21"/>
  <c r="D29"/>
  <c r="D5" s="1"/>
  <c r="F29"/>
  <c r="H29"/>
  <c r="J29"/>
  <c r="L29"/>
  <c r="L5" s="1"/>
  <c r="N29"/>
  <c r="C13" i="21"/>
  <c r="C17" s="1"/>
  <c r="C12"/>
  <c r="C16" s="1"/>
  <c r="E12"/>
  <c r="E16" s="1"/>
  <c r="G12"/>
  <c r="G16" s="1"/>
  <c r="I12"/>
  <c r="I16" s="1"/>
  <c r="K12"/>
  <c r="K16" s="1"/>
  <c r="M12"/>
  <c r="M16" s="1"/>
  <c r="O12"/>
  <c r="O16" s="1"/>
  <c r="B12"/>
  <c r="B16" s="1"/>
  <c r="D12"/>
  <c r="D16" s="1"/>
  <c r="F12"/>
  <c r="F16" s="1"/>
  <c r="H12"/>
  <c r="H16" s="1"/>
  <c r="J12"/>
  <c r="J16" s="1"/>
  <c r="L12"/>
  <c r="L16" s="1"/>
  <c r="N12"/>
  <c r="N16" s="1"/>
  <c r="N25" i="23" l="1"/>
  <c r="O25"/>
  <c r="I6" i="38"/>
  <c r="H7" i="41" s="1"/>
  <c r="I11" i="38"/>
  <c r="H22" i="41" s="1"/>
  <c r="I10" i="38"/>
  <c r="H18" i="41" s="1"/>
  <c r="J7" i="38"/>
  <c r="I11" i="41" s="1"/>
  <c r="K6" i="31"/>
  <c r="K8"/>
  <c r="I9" i="37"/>
  <c r="H23" i="40" s="1"/>
  <c r="J6" i="37"/>
  <c r="I13" i="40" s="1"/>
  <c r="I5" i="37"/>
  <c r="H9" i="40" s="1"/>
  <c r="I8" i="37"/>
  <c r="H19" i="40" s="1"/>
  <c r="K11" i="31"/>
  <c r="K13"/>
  <c r="K9"/>
  <c r="K7"/>
  <c r="K5"/>
  <c r="H5" i="23"/>
  <c r="M5"/>
  <c r="I5"/>
  <c r="O6"/>
  <c r="F6"/>
  <c r="L6"/>
  <c r="J6"/>
  <c r="D6"/>
  <c r="N5"/>
  <c r="J5"/>
  <c r="F5"/>
  <c r="O5"/>
  <c r="K5"/>
  <c r="E5"/>
  <c r="K6"/>
  <c r="I6"/>
  <c r="N6"/>
  <c r="E6"/>
  <c r="M6"/>
  <c r="H6"/>
  <c r="C21"/>
  <c r="G30"/>
  <c r="L14" i="31"/>
  <c r="L4"/>
  <c r="L5"/>
  <c r="L7"/>
  <c r="L9"/>
  <c r="N26" i="23"/>
  <c r="O26"/>
  <c r="G6" i="38"/>
  <c r="G10"/>
  <c r="G9" i="37"/>
  <c r="J5"/>
  <c r="J8"/>
  <c r="I19" i="40" s="1"/>
  <c r="J11" i="38"/>
  <c r="I22" i="41" s="1"/>
  <c r="K14" i="36"/>
  <c r="K29" s="1"/>
  <c r="K6"/>
  <c r="K21" s="1"/>
  <c r="K16"/>
  <c r="K31" s="1"/>
  <c r="K6" i="37"/>
  <c r="J13" i="40" s="1"/>
  <c r="K7" i="38"/>
  <c r="J11" i="41" s="1"/>
  <c r="J10" i="38"/>
  <c r="J6"/>
  <c r="J9" i="37"/>
  <c r="I23" i="40" s="1"/>
  <c r="G29" i="23"/>
  <c r="G21"/>
  <c r="C29"/>
  <c r="G20"/>
  <c r="C20"/>
  <c r="C30"/>
  <c r="I5" i="38" l="1"/>
  <c r="K10" i="36"/>
  <c r="K25" s="1"/>
  <c r="K13"/>
  <c r="K28" s="1"/>
  <c r="K7"/>
  <c r="K22" s="1"/>
  <c r="K9"/>
  <c r="K24" s="1"/>
  <c r="J4" i="37"/>
  <c r="I9" i="38"/>
  <c r="I13" s="1"/>
  <c r="I14" s="1"/>
  <c r="I7" i="37"/>
  <c r="K8" i="36"/>
  <c r="K23" s="1"/>
  <c r="K11"/>
  <c r="K26" s="1"/>
  <c r="I4" i="37"/>
  <c r="K15" i="36"/>
  <c r="L6" i="31"/>
  <c r="L12"/>
  <c r="L8"/>
  <c r="L11"/>
  <c r="L13"/>
  <c r="C5" i="23"/>
  <c r="G5"/>
  <c r="C6"/>
  <c r="G6"/>
  <c r="D4"/>
  <c r="E4"/>
  <c r="K4"/>
  <c r="B4"/>
  <c r="J4"/>
  <c r="F4"/>
  <c r="M5" i="31"/>
  <c r="M7"/>
  <c r="M9"/>
  <c r="M13"/>
  <c r="M11"/>
  <c r="I9" i="40"/>
  <c r="F23"/>
  <c r="G7" i="37"/>
  <c r="G10" s="1"/>
  <c r="G11" s="1"/>
  <c r="G5" i="38"/>
  <c r="F7" i="41"/>
  <c r="G9" i="38"/>
  <c r="F18" i="41"/>
  <c r="L6" i="36"/>
  <c r="L21" s="1"/>
  <c r="L9"/>
  <c r="L24" s="1"/>
  <c r="L16"/>
  <c r="L31" s="1"/>
  <c r="L15"/>
  <c r="L30" s="1"/>
  <c r="L11"/>
  <c r="L26" s="1"/>
  <c r="L7"/>
  <c r="L22" s="1"/>
  <c r="J7" i="37"/>
  <c r="I7" i="41"/>
  <c r="J5" i="38"/>
  <c r="I18" i="41"/>
  <c r="J9" i="38"/>
  <c r="N4" i="23"/>
  <c r="K30" i="36" l="1"/>
  <c r="K10" i="38" s="1"/>
  <c r="J18" i="41" s="1"/>
  <c r="K5" i="37"/>
  <c r="J9" i="40" s="1"/>
  <c r="J10" i="37"/>
  <c r="J11" s="1"/>
  <c r="L8" i="36"/>
  <c r="L23" s="1"/>
  <c r="L10"/>
  <c r="L25" s="1"/>
  <c r="L13"/>
  <c r="L28" s="1"/>
  <c r="K11" i="38"/>
  <c r="J22" i="41" s="1"/>
  <c r="I10" i="37"/>
  <c r="I11" s="1"/>
  <c r="L14" i="36"/>
  <c r="L29" s="1"/>
  <c r="M4" i="31"/>
  <c r="M6"/>
  <c r="M12"/>
  <c r="M8"/>
  <c r="M14"/>
  <c r="N14"/>
  <c r="N13"/>
  <c r="N4"/>
  <c r="N11"/>
  <c r="N5"/>
  <c r="N8"/>
  <c r="N7"/>
  <c r="N12"/>
  <c r="N9"/>
  <c r="N6"/>
  <c r="I4" i="23"/>
  <c r="L4"/>
  <c r="M4"/>
  <c r="H4"/>
  <c r="G13" i="38"/>
  <c r="G14" s="1"/>
  <c r="M15" i="36"/>
  <c r="M30" s="1"/>
  <c r="M11"/>
  <c r="M26" s="1"/>
  <c r="M7"/>
  <c r="M22" s="1"/>
  <c r="M10"/>
  <c r="M25" s="1"/>
  <c r="M13"/>
  <c r="M28" s="1"/>
  <c r="M9"/>
  <c r="M24" s="1"/>
  <c r="J13" i="38"/>
  <c r="J14" s="1"/>
  <c r="D4" i="22"/>
  <c r="C4"/>
  <c r="O4" i="23"/>
  <c r="E5" i="22"/>
  <c r="E5" i="54" s="1"/>
  <c r="G5" i="22"/>
  <c r="I5"/>
  <c r="I5" i="54" s="1"/>
  <c r="K5" i="22"/>
  <c r="K5" i="54" s="1"/>
  <c r="M5" i="22"/>
  <c r="M5" i="54" s="1"/>
  <c r="O5" i="22"/>
  <c r="O5" i="54" s="1"/>
  <c r="D5" i="22"/>
  <c r="F5"/>
  <c r="F5" i="54" s="1"/>
  <c r="H5" i="22"/>
  <c r="H5" i="54" s="1"/>
  <c r="J5" i="22"/>
  <c r="J5" i="54" s="1"/>
  <c r="L5" i="22"/>
  <c r="L5" i="54" s="1"/>
  <c r="N5" i="22"/>
  <c r="N5" i="54" s="1"/>
  <c r="C5" i="22"/>
  <c r="C4" i="23"/>
  <c r="L7" i="38" l="1"/>
  <c r="K11" i="41" s="1"/>
  <c r="K6" i="38"/>
  <c r="K5" s="1"/>
  <c r="L6" i="37"/>
  <c r="K13" i="40" s="1"/>
  <c r="K9" i="37"/>
  <c r="J23" i="40" s="1"/>
  <c r="K8" i="37"/>
  <c r="J19" i="40" s="1"/>
  <c r="K4" i="37"/>
  <c r="K9" i="38"/>
  <c r="L10"/>
  <c r="K18" i="41" s="1"/>
  <c r="L6" i="38"/>
  <c r="L5" s="1"/>
  <c r="M6" i="36"/>
  <c r="M21" s="1"/>
  <c r="M14"/>
  <c r="M29" s="1"/>
  <c r="L8" i="37"/>
  <c r="K19" i="40" s="1"/>
  <c r="L9" i="37"/>
  <c r="K23" i="40" s="1"/>
  <c r="M6" i="37"/>
  <c r="L13" i="40" s="1"/>
  <c r="M7" i="38"/>
  <c r="L11" i="41" s="1"/>
  <c r="M16" i="36"/>
  <c r="M31" s="1"/>
  <c r="L5" i="37"/>
  <c r="K9" i="40" s="1"/>
  <c r="L11" i="38"/>
  <c r="K22" i="41" s="1"/>
  <c r="K7" i="37"/>
  <c r="K10" s="1"/>
  <c r="K11" s="1"/>
  <c r="M8" i="36"/>
  <c r="M23" s="1"/>
  <c r="D5" i="26"/>
  <c r="D9" i="28"/>
  <c r="C21" i="41" s="1"/>
  <c r="D6" i="28"/>
  <c r="C10" i="41" s="1"/>
  <c r="D6" i="26"/>
  <c r="C12" i="40" s="1"/>
  <c r="G5" i="54"/>
  <c r="N16" i="36"/>
  <c r="N31" s="1"/>
  <c r="N8"/>
  <c r="N23" s="1"/>
  <c r="N15"/>
  <c r="N30" s="1"/>
  <c r="N11"/>
  <c r="N26" s="1"/>
  <c r="N7"/>
  <c r="N22" s="1"/>
  <c r="N14"/>
  <c r="N29" s="1"/>
  <c r="N10"/>
  <c r="N25" s="1"/>
  <c r="N6"/>
  <c r="N21" s="1"/>
  <c r="N13"/>
  <c r="N28" s="1"/>
  <c r="N9"/>
  <c r="N24" s="1"/>
  <c r="G4" i="23"/>
  <c r="E4" i="22"/>
  <c r="E4" i="54" s="1"/>
  <c r="G4" i="22"/>
  <c r="G4" i="54" s="1"/>
  <c r="I4" i="22"/>
  <c r="I4" i="54" s="1"/>
  <c r="K4" i="22"/>
  <c r="K4" i="54" s="1"/>
  <c r="M4" i="22"/>
  <c r="M4" i="54" s="1"/>
  <c r="O4" i="22"/>
  <c r="O4" i="54" s="1"/>
  <c r="F4" i="22"/>
  <c r="F4" i="54" s="1"/>
  <c r="H4" i="22"/>
  <c r="H4" i="54" s="1"/>
  <c r="J4" i="22"/>
  <c r="J4" i="54" s="1"/>
  <c r="L4" i="22"/>
  <c r="L4" i="54" s="1"/>
  <c r="N4" i="22"/>
  <c r="N4" i="54" s="1"/>
  <c r="I27" i="11"/>
  <c r="H27"/>
  <c r="D173" i="13"/>
  <c r="D178" s="1"/>
  <c r="D4" i="17" s="1"/>
  <c r="E173" i="13"/>
  <c r="E178" s="1"/>
  <c r="E4" i="17" s="1"/>
  <c r="F173" i="13"/>
  <c r="F178" s="1"/>
  <c r="F4" i="17" s="1"/>
  <c r="G173" i="13"/>
  <c r="G178" s="1"/>
  <c r="G4" i="17" s="1"/>
  <c r="H173" i="13"/>
  <c r="H178" s="1"/>
  <c r="H4" i="17" s="1"/>
  <c r="I173" i="13"/>
  <c r="I178" s="1"/>
  <c r="I4" i="17" s="1"/>
  <c r="J173" i="13"/>
  <c r="J178" s="1"/>
  <c r="J4" i="17" s="1"/>
  <c r="K173" i="13"/>
  <c r="K178" s="1"/>
  <c r="K4" i="17" s="1"/>
  <c r="L173" i="13"/>
  <c r="L178" s="1"/>
  <c r="L4" i="17" s="1"/>
  <c r="M173" i="13"/>
  <c r="M178" s="1"/>
  <c r="M4" i="17" s="1"/>
  <c r="N173" i="13"/>
  <c r="N178" s="1"/>
  <c r="N4" i="17" s="1"/>
  <c r="C173" i="13"/>
  <c r="C178" s="1"/>
  <c r="C4" i="17" s="1"/>
  <c r="D45" i="15"/>
  <c r="C36"/>
  <c r="B176" i="13"/>
  <c r="B181" s="1"/>
  <c r="B175"/>
  <c r="B180" s="1"/>
  <c r="C50" i="15"/>
  <c r="B174" i="13"/>
  <c r="B179" s="1"/>
  <c r="F31" i="15"/>
  <c r="E31"/>
  <c r="D31"/>
  <c r="C31"/>
  <c r="F16"/>
  <c r="E16"/>
  <c r="D16"/>
  <c r="C16"/>
  <c r="G14"/>
  <c r="C44"/>
  <c r="G13"/>
  <c r="C43"/>
  <c r="G12"/>
  <c r="C42"/>
  <c r="G26"/>
  <c r="G11"/>
  <c r="C41"/>
  <c r="G25"/>
  <c r="G10"/>
  <c r="C40"/>
  <c r="G24"/>
  <c r="G9"/>
  <c r="C39"/>
  <c r="G23"/>
  <c r="G8"/>
  <c r="C38"/>
  <c r="G22"/>
  <c r="G7"/>
  <c r="C37"/>
  <c r="G6"/>
  <c r="W52" i="13"/>
  <c r="W66" s="1"/>
  <c r="C9" i="14"/>
  <c r="C8"/>
  <c r="C7"/>
  <c r="C6"/>
  <c r="C5" i="52"/>
  <c r="D20" i="11"/>
  <c r="E20"/>
  <c r="F20"/>
  <c r="G20"/>
  <c r="H20"/>
  <c r="I20"/>
  <c r="J20"/>
  <c r="K20"/>
  <c r="L20"/>
  <c r="M20"/>
  <c r="N20"/>
  <c r="C20"/>
  <c r="C10" i="14"/>
  <c r="B17"/>
  <c r="B18"/>
  <c r="B19"/>
  <c r="B20"/>
  <c r="B21"/>
  <c r="B6"/>
  <c r="B7"/>
  <c r="B8"/>
  <c r="B9"/>
  <c r="B10"/>
  <c r="B11"/>
  <c r="Q105" i="13"/>
  <c r="W84"/>
  <c r="W98" s="1"/>
  <c r="AB88"/>
  <c r="AA87"/>
  <c r="AB87"/>
  <c r="Z86"/>
  <c r="AA86"/>
  <c r="AB86"/>
  <c r="Y85"/>
  <c r="Z85"/>
  <c r="AA85"/>
  <c r="AB85"/>
  <c r="X84"/>
  <c r="Y84"/>
  <c r="Z84"/>
  <c r="AA84"/>
  <c r="AB84"/>
  <c r="W83"/>
  <c r="X83"/>
  <c r="Y83"/>
  <c r="Z83"/>
  <c r="AA83"/>
  <c r="AB83"/>
  <c r="V82"/>
  <c r="W82"/>
  <c r="X82"/>
  <c r="Y82"/>
  <c r="Z82"/>
  <c r="AA82"/>
  <c r="AB82"/>
  <c r="U81"/>
  <c r="V81"/>
  <c r="W81"/>
  <c r="X81"/>
  <c r="Y81"/>
  <c r="Z81"/>
  <c r="AA81"/>
  <c r="AB81"/>
  <c r="T80"/>
  <c r="U80"/>
  <c r="V80"/>
  <c r="W80"/>
  <c r="X80"/>
  <c r="Y80"/>
  <c r="Z80"/>
  <c r="AA80"/>
  <c r="AB80"/>
  <c r="AB89"/>
  <c r="AB103" s="1"/>
  <c r="AA88"/>
  <c r="AA102" s="1"/>
  <c r="Z87"/>
  <c r="Z101" s="1"/>
  <c r="Y86"/>
  <c r="Y100" s="1"/>
  <c r="X85"/>
  <c r="X99" s="1"/>
  <c r="V83"/>
  <c r="V97" s="1"/>
  <c r="U82"/>
  <c r="U96" s="1"/>
  <c r="T81"/>
  <c r="T95" s="1"/>
  <c r="U95" s="1"/>
  <c r="S80"/>
  <c r="S94" s="1"/>
  <c r="S79"/>
  <c r="T79"/>
  <c r="U79"/>
  <c r="V79"/>
  <c r="W79"/>
  <c r="X79"/>
  <c r="Y79"/>
  <c r="Z79"/>
  <c r="AA79"/>
  <c r="AB79"/>
  <c r="R79"/>
  <c r="R90" s="1"/>
  <c r="Q73"/>
  <c r="AB56"/>
  <c r="AA55"/>
  <c r="AB55"/>
  <c r="Z54"/>
  <c r="AA54"/>
  <c r="AB54"/>
  <c r="Y53"/>
  <c r="Z53"/>
  <c r="AA53"/>
  <c r="AB53"/>
  <c r="X52"/>
  <c r="Y52"/>
  <c r="Z52"/>
  <c r="AA52"/>
  <c r="AB52"/>
  <c r="W51"/>
  <c r="X51"/>
  <c r="Y51"/>
  <c r="Z51"/>
  <c r="AA51"/>
  <c r="AB51"/>
  <c r="V50"/>
  <c r="W50"/>
  <c r="X50"/>
  <c r="Y50"/>
  <c r="Z50"/>
  <c r="AA50"/>
  <c r="AB50"/>
  <c r="AB57"/>
  <c r="AB71" s="1"/>
  <c r="AA56"/>
  <c r="AA70" s="1"/>
  <c r="Z55"/>
  <c r="Z69" s="1"/>
  <c r="Y54"/>
  <c r="Y68" s="1"/>
  <c r="X53"/>
  <c r="X67" s="1"/>
  <c r="V51"/>
  <c r="V65" s="1"/>
  <c r="W65" s="1"/>
  <c r="U50"/>
  <c r="U64" s="1"/>
  <c r="T48"/>
  <c r="U48"/>
  <c r="V48"/>
  <c r="W48"/>
  <c r="X48"/>
  <c r="Y48"/>
  <c r="Z48"/>
  <c r="AA48"/>
  <c r="AB48"/>
  <c r="S48"/>
  <c r="S62" s="1"/>
  <c r="S47"/>
  <c r="T47"/>
  <c r="U47"/>
  <c r="V47"/>
  <c r="W47"/>
  <c r="X47"/>
  <c r="Y47"/>
  <c r="Z47"/>
  <c r="AA47"/>
  <c r="AB47"/>
  <c r="R61"/>
  <c r="C169"/>
  <c r="N152"/>
  <c r="M151"/>
  <c r="N151"/>
  <c r="L150"/>
  <c r="M150"/>
  <c r="N150"/>
  <c r="K149"/>
  <c r="L149"/>
  <c r="M149"/>
  <c r="N149"/>
  <c r="J148"/>
  <c r="K148"/>
  <c r="L148"/>
  <c r="M148"/>
  <c r="N148"/>
  <c r="I147"/>
  <c r="J147"/>
  <c r="K147"/>
  <c r="L147"/>
  <c r="M147"/>
  <c r="N147"/>
  <c r="H146"/>
  <c r="I146"/>
  <c r="J146"/>
  <c r="K146"/>
  <c r="L146"/>
  <c r="M146"/>
  <c r="N146"/>
  <c r="G145"/>
  <c r="H145"/>
  <c r="I145"/>
  <c r="J145"/>
  <c r="K145"/>
  <c r="L145"/>
  <c r="M145"/>
  <c r="N145"/>
  <c r="F144"/>
  <c r="G144"/>
  <c r="H144"/>
  <c r="I144"/>
  <c r="J144"/>
  <c r="K144"/>
  <c r="L144"/>
  <c r="M144"/>
  <c r="N144"/>
  <c r="N153"/>
  <c r="N167" s="1"/>
  <c r="M152"/>
  <c r="M166" s="1"/>
  <c r="L151"/>
  <c r="L165" s="1"/>
  <c r="K150"/>
  <c r="K164" s="1"/>
  <c r="J149"/>
  <c r="J163" s="1"/>
  <c r="I148"/>
  <c r="I162" s="1"/>
  <c r="H147"/>
  <c r="H161" s="1"/>
  <c r="I161" s="1"/>
  <c r="G146"/>
  <c r="G160" s="1"/>
  <c r="F145"/>
  <c r="F159" s="1"/>
  <c r="E144"/>
  <c r="E158" s="1"/>
  <c r="E143"/>
  <c r="F143"/>
  <c r="G143"/>
  <c r="H143"/>
  <c r="I143"/>
  <c r="J143"/>
  <c r="K143"/>
  <c r="L143"/>
  <c r="M143"/>
  <c r="N143"/>
  <c r="D143"/>
  <c r="C137"/>
  <c r="C105"/>
  <c r="N120"/>
  <c r="M119"/>
  <c r="N119"/>
  <c r="L118"/>
  <c r="M118"/>
  <c r="N118"/>
  <c r="K117"/>
  <c r="L117"/>
  <c r="M117"/>
  <c r="N117"/>
  <c r="J116"/>
  <c r="K116"/>
  <c r="L116"/>
  <c r="M116"/>
  <c r="I115"/>
  <c r="J115"/>
  <c r="K115"/>
  <c r="L115"/>
  <c r="H114"/>
  <c r="I114"/>
  <c r="J114"/>
  <c r="K114"/>
  <c r="G113"/>
  <c r="H113"/>
  <c r="I113"/>
  <c r="J113"/>
  <c r="F112"/>
  <c r="G112"/>
  <c r="H112"/>
  <c r="I112"/>
  <c r="N121"/>
  <c r="N135" s="1"/>
  <c r="M120"/>
  <c r="M134" s="1"/>
  <c r="L119"/>
  <c r="L133" s="1"/>
  <c r="K118"/>
  <c r="K132" s="1"/>
  <c r="L132" s="1"/>
  <c r="J117"/>
  <c r="J131" s="1"/>
  <c r="K131" s="1"/>
  <c r="I116"/>
  <c r="I130" s="1"/>
  <c r="H115"/>
  <c r="H129" s="1"/>
  <c r="I129" s="1"/>
  <c r="G114"/>
  <c r="G128" s="1"/>
  <c r="F113"/>
  <c r="F127" s="1"/>
  <c r="G127" s="1"/>
  <c r="E112"/>
  <c r="E126" s="1"/>
  <c r="E111"/>
  <c r="F111"/>
  <c r="G111"/>
  <c r="H111"/>
  <c r="D111"/>
  <c r="C73"/>
  <c r="C41"/>
  <c r="N88"/>
  <c r="M87"/>
  <c r="N87"/>
  <c r="L86"/>
  <c r="M86"/>
  <c r="N86"/>
  <c r="K85"/>
  <c r="L85"/>
  <c r="M85"/>
  <c r="N85"/>
  <c r="J84"/>
  <c r="K84"/>
  <c r="L84"/>
  <c r="M84"/>
  <c r="N84"/>
  <c r="I83"/>
  <c r="J83"/>
  <c r="K83"/>
  <c r="L83"/>
  <c r="M83"/>
  <c r="N83"/>
  <c r="H82"/>
  <c r="I82"/>
  <c r="J82"/>
  <c r="K82"/>
  <c r="L82"/>
  <c r="M82"/>
  <c r="N82"/>
  <c r="G81"/>
  <c r="H81"/>
  <c r="I81"/>
  <c r="J81"/>
  <c r="K81"/>
  <c r="L81"/>
  <c r="M81"/>
  <c r="N81"/>
  <c r="F80"/>
  <c r="G80"/>
  <c r="H80"/>
  <c r="I80"/>
  <c r="J80"/>
  <c r="K80"/>
  <c r="L80"/>
  <c r="M80"/>
  <c r="N80"/>
  <c r="N89"/>
  <c r="N103" s="1"/>
  <c r="M88"/>
  <c r="M102" s="1"/>
  <c r="L87"/>
  <c r="L101" s="1"/>
  <c r="K86"/>
  <c r="K100" s="1"/>
  <c r="J85"/>
  <c r="J99" s="1"/>
  <c r="I84"/>
  <c r="I98" s="1"/>
  <c r="H83"/>
  <c r="H97" s="1"/>
  <c r="G82"/>
  <c r="G96" s="1"/>
  <c r="F81"/>
  <c r="F95" s="1"/>
  <c r="E80"/>
  <c r="E94" s="1"/>
  <c r="F94" s="1"/>
  <c r="E79"/>
  <c r="F79"/>
  <c r="G79"/>
  <c r="H79"/>
  <c r="I79"/>
  <c r="J79"/>
  <c r="K79"/>
  <c r="L79"/>
  <c r="M79"/>
  <c r="D79"/>
  <c r="N56"/>
  <c r="M55"/>
  <c r="N55"/>
  <c r="L54"/>
  <c r="M54"/>
  <c r="N54"/>
  <c r="K53"/>
  <c r="L53"/>
  <c r="M53"/>
  <c r="J52"/>
  <c r="K52"/>
  <c r="L52"/>
  <c r="N57"/>
  <c r="N71" s="1"/>
  <c r="M56"/>
  <c r="M70" s="1"/>
  <c r="L55"/>
  <c r="L69" s="1"/>
  <c r="K54"/>
  <c r="K68" s="1"/>
  <c r="L68" s="1"/>
  <c r="J53"/>
  <c r="J67" s="1"/>
  <c r="K67" s="1"/>
  <c r="I52"/>
  <c r="I66" s="1"/>
  <c r="J66" s="1"/>
  <c r="I51"/>
  <c r="J51"/>
  <c r="K51"/>
  <c r="H50"/>
  <c r="I50"/>
  <c r="J50"/>
  <c r="G49"/>
  <c r="H49"/>
  <c r="I49"/>
  <c r="H51"/>
  <c r="H65" s="1"/>
  <c r="G50"/>
  <c r="G64" s="1"/>
  <c r="F49"/>
  <c r="F63" s="1"/>
  <c r="G48"/>
  <c r="H48"/>
  <c r="F48"/>
  <c r="E48"/>
  <c r="E62" s="1"/>
  <c r="E47"/>
  <c r="F47"/>
  <c r="G47"/>
  <c r="G58" s="1"/>
  <c r="D47"/>
  <c r="N25"/>
  <c r="N39" s="1"/>
  <c r="N24"/>
  <c r="M24"/>
  <c r="M38" s="1"/>
  <c r="M23"/>
  <c r="N23"/>
  <c r="L23"/>
  <c r="L37" s="1"/>
  <c r="L22"/>
  <c r="M22"/>
  <c r="N22"/>
  <c r="K22"/>
  <c r="K21"/>
  <c r="L21"/>
  <c r="M21"/>
  <c r="N21"/>
  <c r="J21"/>
  <c r="J35" s="1"/>
  <c r="K35" s="1"/>
  <c r="J20"/>
  <c r="K20"/>
  <c r="L20"/>
  <c r="M20"/>
  <c r="N20"/>
  <c r="I20"/>
  <c r="I34" s="1"/>
  <c r="I19"/>
  <c r="J19"/>
  <c r="K19"/>
  <c r="L19"/>
  <c r="M19"/>
  <c r="N19"/>
  <c r="H19"/>
  <c r="H33" s="1"/>
  <c r="I33" s="1"/>
  <c r="H18"/>
  <c r="I18"/>
  <c r="J18"/>
  <c r="K18"/>
  <c r="L18"/>
  <c r="M18"/>
  <c r="N18"/>
  <c r="G18"/>
  <c r="G32" s="1"/>
  <c r="G17"/>
  <c r="H17"/>
  <c r="I17"/>
  <c r="J17"/>
  <c r="K17"/>
  <c r="L17"/>
  <c r="M17"/>
  <c r="N17"/>
  <c r="F17"/>
  <c r="F31" s="1"/>
  <c r="G31" s="1"/>
  <c r="F16"/>
  <c r="G16"/>
  <c r="H16"/>
  <c r="I16"/>
  <c r="J16"/>
  <c r="K16"/>
  <c r="L16"/>
  <c r="M16"/>
  <c r="N16"/>
  <c r="E16"/>
  <c r="F15"/>
  <c r="G15"/>
  <c r="H15"/>
  <c r="I15"/>
  <c r="J15"/>
  <c r="K15"/>
  <c r="L15"/>
  <c r="M15"/>
  <c r="N15"/>
  <c r="D15"/>
  <c r="D29" s="1"/>
  <c r="D41" s="1"/>
  <c r="N16" i="14"/>
  <c r="C11" i="11"/>
  <c r="D11"/>
  <c r="E11"/>
  <c r="F11"/>
  <c r="G11"/>
  <c r="H11"/>
  <c r="I11"/>
  <c r="J11"/>
  <c r="K11"/>
  <c r="L11"/>
  <c r="M11"/>
  <c r="N11"/>
  <c r="N5" i="14"/>
  <c r="C16"/>
  <c r="D16"/>
  <c r="E16"/>
  <c r="F16"/>
  <c r="G16"/>
  <c r="H16"/>
  <c r="I16"/>
  <c r="J16"/>
  <c r="K16"/>
  <c r="L16"/>
  <c r="M16"/>
  <c r="J7" i="41" l="1"/>
  <c r="K13" i="38"/>
  <c r="K14" s="1"/>
  <c r="L7" i="37"/>
  <c r="M11" i="38"/>
  <c r="L22" i="41" s="1"/>
  <c r="N7" i="38"/>
  <c r="M11" i="41" s="1"/>
  <c r="K7"/>
  <c r="M10" i="38"/>
  <c r="L18" i="41" s="1"/>
  <c r="M6" i="38"/>
  <c r="M5" s="1"/>
  <c r="N6" i="37"/>
  <c r="M13" i="40" s="1"/>
  <c r="M9" i="37"/>
  <c r="L23" i="40" s="1"/>
  <c r="L9" i="38"/>
  <c r="L13" s="1"/>
  <c r="L14" s="1"/>
  <c r="M5" i="37"/>
  <c r="M4" s="1"/>
  <c r="M8"/>
  <c r="L19" i="40" s="1"/>
  <c r="L4" i="37"/>
  <c r="B4" i="52"/>
  <c r="C174" i="13"/>
  <c r="C5" i="77"/>
  <c r="C5" i="59"/>
  <c r="S58" i="13"/>
  <c r="V90"/>
  <c r="J154"/>
  <c r="X90"/>
  <c r="M37"/>
  <c r="N37" s="1"/>
  <c r="H58"/>
  <c r="K90"/>
  <c r="N154"/>
  <c r="F154"/>
  <c r="AA58"/>
  <c r="W58"/>
  <c r="AB90"/>
  <c r="T90"/>
  <c r="G16" i="15"/>
  <c r="M90" i="13"/>
  <c r="I90"/>
  <c r="G122"/>
  <c r="L154"/>
  <c r="H154"/>
  <c r="N166"/>
  <c r="Y58"/>
  <c r="U58"/>
  <c r="Z90"/>
  <c r="J58"/>
  <c r="L90"/>
  <c r="J90"/>
  <c r="H90"/>
  <c r="F90"/>
  <c r="H122"/>
  <c r="F122"/>
  <c r="M154"/>
  <c r="K154"/>
  <c r="I154"/>
  <c r="G154"/>
  <c r="E154"/>
  <c r="AB58"/>
  <c r="Z58"/>
  <c r="X58"/>
  <c r="V58"/>
  <c r="T58"/>
  <c r="AA90"/>
  <c r="Y90"/>
  <c r="W90"/>
  <c r="U90"/>
  <c r="S90"/>
  <c r="N90"/>
  <c r="D38" i="15"/>
  <c r="D40"/>
  <c r="D42"/>
  <c r="D43"/>
  <c r="D44"/>
  <c r="D37"/>
  <c r="D39"/>
  <c r="D41"/>
  <c r="D36"/>
  <c r="D93" i="13"/>
  <c r="D105" s="1"/>
  <c r="D90"/>
  <c r="D157"/>
  <c r="D10" i="14" s="1"/>
  <c r="D154" i="13"/>
  <c r="C7" i="52"/>
  <c r="C7" i="77" s="1"/>
  <c r="C9" i="52"/>
  <c r="C9" i="77" s="1"/>
  <c r="I122" i="13"/>
  <c r="J122"/>
  <c r="K122"/>
  <c r="L122"/>
  <c r="M122"/>
  <c r="N122"/>
  <c r="D125"/>
  <c r="D9" i="14" s="1"/>
  <c r="D122" i="13"/>
  <c r="C8" i="52"/>
  <c r="C8" i="77" s="1"/>
  <c r="G90" i="13"/>
  <c r="E90"/>
  <c r="E122"/>
  <c r="D18" i="14"/>
  <c r="H32" i="13"/>
  <c r="I32" s="1"/>
  <c r="J32" s="1"/>
  <c r="K32" s="1"/>
  <c r="L32" s="1"/>
  <c r="M32" s="1"/>
  <c r="N32" s="1"/>
  <c r="R93"/>
  <c r="D19" i="14" s="1"/>
  <c r="I26" i="13"/>
  <c r="G26"/>
  <c r="E58"/>
  <c r="O14" i="31"/>
  <c r="O5"/>
  <c r="O8"/>
  <c r="O7"/>
  <c r="O12"/>
  <c r="O9"/>
  <c r="O6"/>
  <c r="O13"/>
  <c r="O4"/>
  <c r="O11"/>
  <c r="S61" i="13"/>
  <c r="J26"/>
  <c r="H26"/>
  <c r="F26"/>
  <c r="I58"/>
  <c r="K58"/>
  <c r="L58"/>
  <c r="N8" i="26"/>
  <c r="O6"/>
  <c r="N9"/>
  <c r="O5"/>
  <c r="J8"/>
  <c r="K6"/>
  <c r="J9"/>
  <c r="K5"/>
  <c r="F8"/>
  <c r="G6"/>
  <c r="F9"/>
  <c r="G5"/>
  <c r="M9"/>
  <c r="N5"/>
  <c r="M8"/>
  <c r="N6"/>
  <c r="I9"/>
  <c r="J5"/>
  <c r="I8"/>
  <c r="J6"/>
  <c r="E9"/>
  <c r="F5"/>
  <c r="E8"/>
  <c r="F6"/>
  <c r="L8"/>
  <c r="M6"/>
  <c r="L9"/>
  <c r="M5"/>
  <c r="H8"/>
  <c r="I6"/>
  <c r="H9"/>
  <c r="I5"/>
  <c r="O9"/>
  <c r="O8"/>
  <c r="K9"/>
  <c r="L5"/>
  <c r="K8"/>
  <c r="L6"/>
  <c r="G9"/>
  <c r="H5"/>
  <c r="G8"/>
  <c r="H6"/>
  <c r="N8" i="28"/>
  <c r="O6"/>
  <c r="O9"/>
  <c r="N5"/>
  <c r="K9"/>
  <c r="J5"/>
  <c r="J8"/>
  <c r="K6"/>
  <c r="F8"/>
  <c r="F5"/>
  <c r="G9"/>
  <c r="G6"/>
  <c r="I5"/>
  <c r="J6"/>
  <c r="E8"/>
  <c r="F6"/>
  <c r="F9"/>
  <c r="E5"/>
  <c r="L5"/>
  <c r="H5"/>
  <c r="N6"/>
  <c r="J9"/>
  <c r="M9"/>
  <c r="M8"/>
  <c r="I9"/>
  <c r="O5"/>
  <c r="O8"/>
  <c r="K8"/>
  <c r="K5"/>
  <c r="L9"/>
  <c r="L6"/>
  <c r="M6"/>
  <c r="I6"/>
  <c r="M5"/>
  <c r="I8"/>
  <c r="L8"/>
  <c r="N9"/>
  <c r="H8"/>
  <c r="H9"/>
  <c r="G8"/>
  <c r="G5"/>
  <c r="H6"/>
  <c r="M26" i="13"/>
  <c r="F58"/>
  <c r="M58"/>
  <c r="E30"/>
  <c r="F30" s="1"/>
  <c r="E26"/>
  <c r="N26"/>
  <c r="L26"/>
  <c r="N58"/>
  <c r="K36"/>
  <c r="K26"/>
  <c r="D61"/>
  <c r="D73" s="1"/>
  <c r="D58"/>
  <c r="N5" i="37"/>
  <c r="N11" i="38"/>
  <c r="M22" i="41" s="1"/>
  <c r="O6" i="37"/>
  <c r="N13" i="40" s="1"/>
  <c r="G31" i="15"/>
  <c r="N8" i="37"/>
  <c r="M19" i="40" s="1"/>
  <c r="N9" i="37"/>
  <c r="M23" i="40" s="1"/>
  <c r="O7" i="38"/>
  <c r="N11" i="41" s="1"/>
  <c r="N10" i="38"/>
  <c r="N6"/>
  <c r="C8" i="40"/>
  <c r="D4" i="26"/>
  <c r="G159" i="13"/>
  <c r="H159" s="1"/>
  <c r="I159" s="1"/>
  <c r="J159" s="1"/>
  <c r="K159" s="1"/>
  <c r="L159" s="1"/>
  <c r="M159" s="1"/>
  <c r="N159" s="1"/>
  <c r="V64"/>
  <c r="W64" s="1"/>
  <c r="X64" s="1"/>
  <c r="Y64" s="1"/>
  <c r="Z64" s="1"/>
  <c r="AA64" s="1"/>
  <c r="AB64" s="1"/>
  <c r="V95"/>
  <c r="W95" s="1"/>
  <c r="X95" s="1"/>
  <c r="Y95" s="1"/>
  <c r="Z95" s="1"/>
  <c r="AA95" s="1"/>
  <c r="AB95" s="1"/>
  <c r="D6" i="14"/>
  <c r="H127" i="13"/>
  <c r="I127" s="1"/>
  <c r="J129"/>
  <c r="K129" s="1"/>
  <c r="L131"/>
  <c r="M131" s="1"/>
  <c r="N131" s="1"/>
  <c r="M133"/>
  <c r="N133" s="1"/>
  <c r="H160"/>
  <c r="I160" s="1"/>
  <c r="J160" s="1"/>
  <c r="K160" s="1"/>
  <c r="L160" s="1"/>
  <c r="M160" s="1"/>
  <c r="N160" s="1"/>
  <c r="C46" i="15"/>
  <c r="G95" i="13"/>
  <c r="H95" s="1"/>
  <c r="I95" s="1"/>
  <c r="J95" s="1"/>
  <c r="K95" s="1"/>
  <c r="L95" s="1"/>
  <c r="M95" s="1"/>
  <c r="N95" s="1"/>
  <c r="Q41"/>
  <c r="J161"/>
  <c r="K161" s="1"/>
  <c r="L161" s="1"/>
  <c r="M161" s="1"/>
  <c r="N161" s="1"/>
  <c r="C21" i="14"/>
  <c r="C11"/>
  <c r="T63" i="13"/>
  <c r="U63" s="1"/>
  <c r="V63" s="1"/>
  <c r="W63" s="1"/>
  <c r="X63" s="1"/>
  <c r="Y63" s="1"/>
  <c r="Z63" s="1"/>
  <c r="AA63" s="1"/>
  <c r="AB63" s="1"/>
  <c r="R73"/>
  <c r="G94"/>
  <c r="H96"/>
  <c r="I96" s="1"/>
  <c r="J96" s="1"/>
  <c r="K96" s="1"/>
  <c r="L96" s="1"/>
  <c r="M96" s="1"/>
  <c r="N96" s="1"/>
  <c r="H128"/>
  <c r="J130"/>
  <c r="K130" s="1"/>
  <c r="M132"/>
  <c r="N132" s="1"/>
  <c r="N134"/>
  <c r="H64"/>
  <c r="I64" s="1"/>
  <c r="J64" s="1"/>
  <c r="K64" s="1"/>
  <c r="L64" s="1"/>
  <c r="M64" s="1"/>
  <c r="N64" s="1"/>
  <c r="L67"/>
  <c r="M67" s="1"/>
  <c r="N67" s="1"/>
  <c r="M69"/>
  <c r="N69" s="1"/>
  <c r="G63"/>
  <c r="H63" s="1"/>
  <c r="I63" s="1"/>
  <c r="J63" s="1"/>
  <c r="K63" s="1"/>
  <c r="L63" s="1"/>
  <c r="M63" s="1"/>
  <c r="N63" s="1"/>
  <c r="I65"/>
  <c r="J65" s="1"/>
  <c r="K65" s="1"/>
  <c r="L65" s="1"/>
  <c r="M65" s="1"/>
  <c r="N65" s="1"/>
  <c r="K66"/>
  <c r="L66" s="1"/>
  <c r="M66" s="1"/>
  <c r="N66" s="1"/>
  <c r="M68"/>
  <c r="N68" s="1"/>
  <c r="N70"/>
  <c r="F62"/>
  <c r="H31"/>
  <c r="I31" s="1"/>
  <c r="J31" s="1"/>
  <c r="K31" s="1"/>
  <c r="L31" s="1"/>
  <c r="M31" s="1"/>
  <c r="N31" s="1"/>
  <c r="J34"/>
  <c r="K34" s="1"/>
  <c r="L34" s="1"/>
  <c r="M34" s="1"/>
  <c r="N34" s="1"/>
  <c r="L35"/>
  <c r="M35" s="1"/>
  <c r="N35" s="1"/>
  <c r="N38"/>
  <c r="E29"/>
  <c r="F126"/>
  <c r="B16" i="14"/>
  <c r="B15"/>
  <c r="B4"/>
  <c r="B5"/>
  <c r="C5"/>
  <c r="D5"/>
  <c r="E5"/>
  <c r="F5"/>
  <c r="G5"/>
  <c r="H5"/>
  <c r="I5"/>
  <c r="J5"/>
  <c r="K5"/>
  <c r="L5"/>
  <c r="M5"/>
  <c r="B68" i="9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68" i="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49" i="7"/>
  <c r="G49" i="5"/>
  <c r="R105" i="13" l="1"/>
  <c r="N4" i="37"/>
  <c r="O13" i="36"/>
  <c r="O28" s="1"/>
  <c r="D137" i="13"/>
  <c r="C56" i="15"/>
  <c r="C175" i="13" s="1"/>
  <c r="C180" s="1"/>
  <c r="L10" i="37"/>
  <c r="L11" s="1"/>
  <c r="L7" i="41"/>
  <c r="M9" i="38"/>
  <c r="M13" s="1"/>
  <c r="M14" s="1"/>
  <c r="L9" i="40"/>
  <c r="M9"/>
  <c r="M7" i="37"/>
  <c r="M10" s="1"/>
  <c r="M11" s="1"/>
  <c r="C8" i="59"/>
  <c r="D169" i="13"/>
  <c r="D46" i="15"/>
  <c r="C9" i="59"/>
  <c r="E157" i="13"/>
  <c r="E10" i="14" s="1"/>
  <c r="C7" i="59"/>
  <c r="C57" i="15"/>
  <c r="D176" i="13" s="1"/>
  <c r="E125"/>
  <c r="E9" i="14" s="1"/>
  <c r="S93" i="13"/>
  <c r="S105" s="1"/>
  <c r="O14" i="36"/>
  <c r="O29" s="1"/>
  <c r="E93" i="13"/>
  <c r="E8" i="14" s="1"/>
  <c r="E9" i="52" s="1"/>
  <c r="D8" i="14"/>
  <c r="E176" i="13"/>
  <c r="E61"/>
  <c r="E7" i="14" s="1"/>
  <c r="E8" i="52" s="1"/>
  <c r="J176" i="13"/>
  <c r="D7" i="52"/>
  <c r="D7" i="77" s="1"/>
  <c r="O6" i="36"/>
  <c r="O21" s="1"/>
  <c r="O8"/>
  <c r="O23" s="1"/>
  <c r="O10"/>
  <c r="O25" s="1"/>
  <c r="O16"/>
  <c r="O31" s="1"/>
  <c r="O15"/>
  <c r="O30" s="1"/>
  <c r="O11"/>
  <c r="O26" s="1"/>
  <c r="O7"/>
  <c r="O22" s="1"/>
  <c r="D5" i="52"/>
  <c r="E18" i="14"/>
  <c r="D7"/>
  <c r="D6" i="52"/>
  <c r="D6" i="77" s="1"/>
  <c r="O9" i="36"/>
  <c r="O24" s="1"/>
  <c r="E6" i="14"/>
  <c r="O10" i="26"/>
  <c r="R15" i="13"/>
  <c r="R29" s="1"/>
  <c r="N7" i="37"/>
  <c r="N10" s="1"/>
  <c r="N11" s="1"/>
  <c r="M7" i="41"/>
  <c r="N5" i="38"/>
  <c r="M18" i="41"/>
  <c r="N9" i="38"/>
  <c r="E38" i="15"/>
  <c r="F36"/>
  <c r="K10" i="41"/>
  <c r="K21"/>
  <c r="H21"/>
  <c r="H10"/>
  <c r="E10"/>
  <c r="E21"/>
  <c r="M10"/>
  <c r="M21"/>
  <c r="J21"/>
  <c r="J10"/>
  <c r="L21"/>
  <c r="L10"/>
  <c r="I10"/>
  <c r="I21"/>
  <c r="F21"/>
  <c r="F10"/>
  <c r="N21"/>
  <c r="N10"/>
  <c r="J18" i="40"/>
  <c r="K12"/>
  <c r="J22"/>
  <c r="H12"/>
  <c r="D18"/>
  <c r="E12"/>
  <c r="D22"/>
  <c r="E8"/>
  <c r="L18"/>
  <c r="M12"/>
  <c r="L22"/>
  <c r="I22"/>
  <c r="I18"/>
  <c r="J12"/>
  <c r="F18"/>
  <c r="F22"/>
  <c r="H4" i="26"/>
  <c r="N18" i="40"/>
  <c r="N22"/>
  <c r="K22"/>
  <c r="K18"/>
  <c r="L12"/>
  <c r="H18"/>
  <c r="I12"/>
  <c r="H22"/>
  <c r="E22"/>
  <c r="F8"/>
  <c r="E18"/>
  <c r="F12"/>
  <c r="M22"/>
  <c r="M18"/>
  <c r="N12"/>
  <c r="G49" i="8"/>
  <c r="J127" i="13"/>
  <c r="N9" i="14"/>
  <c r="K9"/>
  <c r="E41" i="15"/>
  <c r="F40"/>
  <c r="E37"/>
  <c r="F41"/>
  <c r="F37"/>
  <c r="F38"/>
  <c r="E39"/>
  <c r="F39"/>
  <c r="E36"/>
  <c r="E40"/>
  <c r="G62" i="13"/>
  <c r="S73"/>
  <c r="L130"/>
  <c r="L9" i="14" s="1"/>
  <c r="G126" i="13"/>
  <c r="H126" s="1"/>
  <c r="H9" i="14" s="1"/>
  <c r="H94" i="13"/>
  <c r="G30"/>
  <c r="N137"/>
  <c r="K137"/>
  <c r="F158"/>
  <c r="F29"/>
  <c r="F6" i="14" s="1"/>
  <c r="E41" i="13"/>
  <c r="T94"/>
  <c r="U94" s="1"/>
  <c r="V94" s="1"/>
  <c r="W94" s="1"/>
  <c r="X94" s="1"/>
  <c r="Y94" s="1"/>
  <c r="Z94" s="1"/>
  <c r="AA94" s="1"/>
  <c r="AB94" s="1"/>
  <c r="T62"/>
  <c r="AB24"/>
  <c r="AA23"/>
  <c r="Z23"/>
  <c r="Z37" s="1"/>
  <c r="AA22"/>
  <c r="Y22"/>
  <c r="Y36" s="1"/>
  <c r="Z21"/>
  <c r="AB21"/>
  <c r="X20"/>
  <c r="Z20"/>
  <c r="AB20"/>
  <c r="W19"/>
  <c r="Y19"/>
  <c r="AA19"/>
  <c r="V19"/>
  <c r="V33" s="1"/>
  <c r="W18"/>
  <c r="Y18"/>
  <c r="AA18"/>
  <c r="U18"/>
  <c r="U32" s="1"/>
  <c r="V17"/>
  <c r="X17"/>
  <c r="Z17"/>
  <c r="AB17"/>
  <c r="T16"/>
  <c r="V16"/>
  <c r="X16"/>
  <c r="Z16"/>
  <c r="AB16"/>
  <c r="S15"/>
  <c r="U15"/>
  <c r="W15"/>
  <c r="Y15"/>
  <c r="AA15"/>
  <c r="AB25"/>
  <c r="AB39" s="1"/>
  <c r="AA24"/>
  <c r="AA38" s="1"/>
  <c r="AB23"/>
  <c r="Z22"/>
  <c r="AB22"/>
  <c r="Y21"/>
  <c r="AA21"/>
  <c r="X21"/>
  <c r="X35" s="1"/>
  <c r="Y20"/>
  <c r="AA20"/>
  <c r="W20"/>
  <c r="W34" s="1"/>
  <c r="X19"/>
  <c r="Z19"/>
  <c r="AB19"/>
  <c r="V18"/>
  <c r="X18"/>
  <c r="Z18"/>
  <c r="AB18"/>
  <c r="U17"/>
  <c r="W17"/>
  <c r="Y17"/>
  <c r="AA17"/>
  <c r="T17"/>
  <c r="T31" s="1"/>
  <c r="U16"/>
  <c r="W16"/>
  <c r="Y16"/>
  <c r="AA16"/>
  <c r="S16"/>
  <c r="T15"/>
  <c r="T26" s="1"/>
  <c r="V15"/>
  <c r="X15"/>
  <c r="Z15"/>
  <c r="AB15"/>
  <c r="B68" i="6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68" i="5"/>
  <c r="B68" i="7" s="1"/>
  <c r="B6" i="5"/>
  <c r="B6" i="7" s="1"/>
  <c r="B7" i="5"/>
  <c r="B7" i="7" s="1"/>
  <c r="B8" i="5"/>
  <c r="B8" i="7" s="1"/>
  <c r="B9" i="5"/>
  <c r="B9" i="7" s="1"/>
  <c r="B10" i="5"/>
  <c r="B10" i="7" s="1"/>
  <c r="B11" i="5"/>
  <c r="B11" i="7" s="1"/>
  <c r="B12" i="5"/>
  <c r="B12" i="7" s="1"/>
  <c r="B13" i="5"/>
  <c r="B13" i="7" s="1"/>
  <c r="B14" i="5"/>
  <c r="B14" i="7" s="1"/>
  <c r="B15" i="5"/>
  <c r="B15" i="7" s="1"/>
  <c r="B16" i="5"/>
  <c r="B16" i="7" s="1"/>
  <c r="B17" i="5"/>
  <c r="B17" i="7" s="1"/>
  <c r="B18" i="5"/>
  <c r="B18" i="7" s="1"/>
  <c r="B19" i="5"/>
  <c r="B19" i="7" s="1"/>
  <c r="B20" i="5"/>
  <c r="B20" i="7" s="1"/>
  <c r="B21" i="5"/>
  <c r="B21" i="7" s="1"/>
  <c r="B22" i="5"/>
  <c r="B22" i="7" s="1"/>
  <c r="B23" i="5"/>
  <c r="B23" i="7" s="1"/>
  <c r="B24" i="5"/>
  <c r="B24" i="7" s="1"/>
  <c r="B25" i="5"/>
  <c r="B25" i="7" s="1"/>
  <c r="B26" i="5"/>
  <c r="B26" i="7" s="1"/>
  <c r="B27" i="5"/>
  <c r="B27" i="7" s="1"/>
  <c r="B28" i="5"/>
  <c r="B28" i="7" s="1"/>
  <c r="B29" i="5"/>
  <c r="B29" i="7" s="1"/>
  <c r="B30" i="5"/>
  <c r="B30" i="7" s="1"/>
  <c r="B31" i="5"/>
  <c r="B31" i="7" s="1"/>
  <c r="B32" i="5"/>
  <c r="B32" i="7" s="1"/>
  <c r="B33" i="5"/>
  <c r="B33" i="7" s="1"/>
  <c r="B34" i="5"/>
  <c r="B34" i="7" s="1"/>
  <c r="B35" i="5"/>
  <c r="B35" i="7" s="1"/>
  <c r="B36" i="5"/>
  <c r="B36" i="7" s="1"/>
  <c r="B37" i="5"/>
  <c r="B37" i="7" s="1"/>
  <c r="B38" i="5"/>
  <c r="B38" i="7" s="1"/>
  <c r="B39" i="5"/>
  <c r="B39" i="7" s="1"/>
  <c r="B40" i="5"/>
  <c r="B40" i="7" s="1"/>
  <c r="B41" i="5"/>
  <c r="B41" i="7" s="1"/>
  <c r="B42" i="5"/>
  <c r="B42" i="7" s="1"/>
  <c r="B43" i="5"/>
  <c r="B43" i="7" s="1"/>
  <c r="B44" i="5"/>
  <c r="B44" i="7" s="1"/>
  <c r="B45" i="5"/>
  <c r="B45" i="7" s="1"/>
  <c r="B46" i="5"/>
  <c r="B46" i="7" s="1"/>
  <c r="B47" i="5"/>
  <c r="B47" i="7" s="1"/>
  <c r="B48" i="5"/>
  <c r="B48" i="7" s="1"/>
  <c r="B49" i="5"/>
  <c r="B49" i="7" s="1"/>
  <c r="B50" i="5"/>
  <c r="B50" i="7" s="1"/>
  <c r="B51" i="5"/>
  <c r="B51" i="7" s="1"/>
  <c r="B52" i="5"/>
  <c r="B52" i="7" s="1"/>
  <c r="B53" i="5"/>
  <c r="B53" i="7" s="1"/>
  <c r="B54" i="5"/>
  <c r="B54" i="7" s="1"/>
  <c r="B55" i="5"/>
  <c r="B55" i="7" s="1"/>
  <c r="B56" i="5"/>
  <c r="B56" i="7" s="1"/>
  <c r="B57" i="5"/>
  <c r="B57" i="7" s="1"/>
  <c r="B58" i="5"/>
  <c r="B58" i="7" s="1"/>
  <c r="B59" i="5"/>
  <c r="B59" i="7" s="1"/>
  <c r="B60" i="5"/>
  <c r="B60" i="7" s="1"/>
  <c r="B61" i="5"/>
  <c r="B61" i="7" s="1"/>
  <c r="B62" i="5"/>
  <c r="B62" i="7" s="1"/>
  <c r="B63" i="5"/>
  <c r="B63" i="7" s="1"/>
  <c r="B64" i="5"/>
  <c r="B64" i="7" s="1"/>
  <c r="B65" i="5"/>
  <c r="B65" i="7" s="1"/>
  <c r="B66" i="5"/>
  <c r="B66" i="7" s="1"/>
  <c r="B67" i="5"/>
  <c r="B67" i="7" s="1"/>
  <c r="B5" i="5"/>
  <c r="B5" i="7" s="1"/>
  <c r="O68" i="8"/>
  <c r="O68" i="9" s="1"/>
  <c r="O54" i="7"/>
  <c r="O54" i="8" s="1"/>
  <c r="O54" i="9" s="1"/>
  <c r="N68" i="8"/>
  <c r="N68" i="9" s="1"/>
  <c r="N54" i="7"/>
  <c r="N54" i="8" s="1"/>
  <c r="N54" i="9" s="1"/>
  <c r="M68" i="8"/>
  <c r="M68" i="9" s="1"/>
  <c r="M54" i="7"/>
  <c r="M54" i="8" s="1"/>
  <c r="M54" i="9" s="1"/>
  <c r="L68" i="8"/>
  <c r="L68" i="9" s="1"/>
  <c r="L54" i="7"/>
  <c r="L54" i="8" s="1"/>
  <c r="L54" i="9" s="1"/>
  <c r="K68" i="8"/>
  <c r="K68" i="9" s="1"/>
  <c r="K54" i="7"/>
  <c r="K54" i="8" s="1"/>
  <c r="K54" i="9" s="1"/>
  <c r="J68" i="8"/>
  <c r="J68" i="9" s="1"/>
  <c r="J54" i="7"/>
  <c r="J54" i="8" s="1"/>
  <c r="J54" i="9" s="1"/>
  <c r="I68" i="8"/>
  <c r="I68" i="9" s="1"/>
  <c r="I54" i="7"/>
  <c r="I54" i="8" s="1"/>
  <c r="I54" i="9" s="1"/>
  <c r="H68" i="8"/>
  <c r="H68" i="9" s="1"/>
  <c r="F68" i="8"/>
  <c r="F68" i="9" s="1"/>
  <c r="F54" i="7"/>
  <c r="F54" i="8" s="1"/>
  <c r="F54" i="9" s="1"/>
  <c r="E68" i="8"/>
  <c r="E68" i="9" s="1"/>
  <c r="E54" i="7"/>
  <c r="E54" i="8" s="1"/>
  <c r="E54" i="9" s="1"/>
  <c r="D68" i="8"/>
  <c r="D68" i="9" s="1"/>
  <c r="D54" i="7"/>
  <c r="D54" i="8" s="1"/>
  <c r="D54" i="9" s="1"/>
  <c r="C68" i="8"/>
  <c r="C54" i="7"/>
  <c r="C54" i="8" s="1"/>
  <c r="C54" i="9" s="1"/>
  <c r="F93" i="13" l="1"/>
  <c r="F8" i="14" s="1"/>
  <c r="H176" i="13"/>
  <c r="F61"/>
  <c r="F7" i="14" s="1"/>
  <c r="F157" i="13"/>
  <c r="F175"/>
  <c r="B10" i="52"/>
  <c r="E137" i="13"/>
  <c r="C60" i="15"/>
  <c r="D175" i="13"/>
  <c r="E175"/>
  <c r="G175"/>
  <c r="C6" i="17"/>
  <c r="C10" i="52" s="1"/>
  <c r="C10" i="77" s="1"/>
  <c r="D180" i="13"/>
  <c r="E180" s="1"/>
  <c r="F180" s="1"/>
  <c r="G180" s="1"/>
  <c r="H180" s="1"/>
  <c r="I180" s="1"/>
  <c r="J180" s="1"/>
  <c r="K180" s="1"/>
  <c r="L180" s="1"/>
  <c r="M180" s="1"/>
  <c r="N180" s="1"/>
  <c r="B11" i="52"/>
  <c r="B12" s="1"/>
  <c r="C176" i="13"/>
  <c r="C181" s="1"/>
  <c r="D181" s="1"/>
  <c r="E181" s="1"/>
  <c r="D5" i="77"/>
  <c r="D5" i="59"/>
  <c r="D11" i="14"/>
  <c r="E19"/>
  <c r="E6" i="52" s="1"/>
  <c r="E6" i="77" s="1"/>
  <c r="K176" i="13"/>
  <c r="T93"/>
  <c r="F19" i="14" s="1"/>
  <c r="E73" i="13"/>
  <c r="E169"/>
  <c r="G176"/>
  <c r="F176"/>
  <c r="L176"/>
  <c r="I176"/>
  <c r="F125"/>
  <c r="F9" i="14" s="1"/>
  <c r="O11" i="38"/>
  <c r="N22" i="41" s="1"/>
  <c r="D9" i="52"/>
  <c r="D9" i="77" s="1"/>
  <c r="E105" i="13"/>
  <c r="D7" i="59"/>
  <c r="C7" i="17"/>
  <c r="D8" i="52"/>
  <c r="D8" i="77" s="1"/>
  <c r="AB26" i="13"/>
  <c r="F7" i="52"/>
  <c r="F9"/>
  <c r="F9" i="77" s="1"/>
  <c r="F8" i="52"/>
  <c r="F8" i="77" s="1"/>
  <c r="E7" i="52"/>
  <c r="E7" i="77" s="1"/>
  <c r="E5" i="52"/>
  <c r="C10" i="59"/>
  <c r="D6"/>
  <c r="O5" i="37"/>
  <c r="O4" s="1"/>
  <c r="D8" i="59"/>
  <c r="X26" i="13"/>
  <c r="Z26"/>
  <c r="V26"/>
  <c r="Y26"/>
  <c r="U26"/>
  <c r="AA26"/>
  <c r="W26"/>
  <c r="S26"/>
  <c r="D17" i="14"/>
  <c r="R26" i="13"/>
  <c r="N174"/>
  <c r="J174"/>
  <c r="F174"/>
  <c r="K174"/>
  <c r="G174"/>
  <c r="L174"/>
  <c r="H174"/>
  <c r="D174"/>
  <c r="M174"/>
  <c r="I174"/>
  <c r="E174"/>
  <c r="N13" i="38"/>
  <c r="N14" s="1"/>
  <c r="C68" i="9"/>
  <c r="N4" i="28"/>
  <c r="M6" i="41"/>
  <c r="M17"/>
  <c r="N10" i="28"/>
  <c r="N11" s="1"/>
  <c r="N7"/>
  <c r="F4"/>
  <c r="E6" i="41"/>
  <c r="E17"/>
  <c r="F10" i="28"/>
  <c r="F11" s="1"/>
  <c r="F7"/>
  <c r="H17" i="41"/>
  <c r="I10" i="28"/>
  <c r="I11" s="1"/>
  <c r="I7"/>
  <c r="I4"/>
  <c r="H6" i="41"/>
  <c r="L4" i="28"/>
  <c r="K6" i="41"/>
  <c r="K17"/>
  <c r="L10" i="28"/>
  <c r="L11" s="1"/>
  <c r="L7"/>
  <c r="O4"/>
  <c r="N6" i="41"/>
  <c r="F17"/>
  <c r="G10" i="28"/>
  <c r="G11" s="1"/>
  <c r="G7"/>
  <c r="G4"/>
  <c r="F6" i="41"/>
  <c r="J4" i="28"/>
  <c r="I6" i="41"/>
  <c r="I17"/>
  <c r="J10" i="28"/>
  <c r="J11" s="1"/>
  <c r="J7"/>
  <c r="L17" i="41"/>
  <c r="M10" i="28"/>
  <c r="M11" s="1"/>
  <c r="M7"/>
  <c r="M4"/>
  <c r="L6" i="41"/>
  <c r="D17"/>
  <c r="D6"/>
  <c r="H10" i="28"/>
  <c r="H7"/>
  <c r="J17" i="41"/>
  <c r="K10" i="28"/>
  <c r="K11" s="1"/>
  <c r="K7"/>
  <c r="K4"/>
  <c r="J6" i="41"/>
  <c r="H4" i="28"/>
  <c r="N17" i="41"/>
  <c r="O10" i="28"/>
  <c r="O11" s="1"/>
  <c r="O7"/>
  <c r="N8" i="40"/>
  <c r="O4" i="26"/>
  <c r="G4"/>
  <c r="I8" i="40"/>
  <c r="J4" i="26"/>
  <c r="L8" i="40"/>
  <c r="M4" i="26"/>
  <c r="J7"/>
  <c r="J10"/>
  <c r="J11" s="1"/>
  <c r="M7"/>
  <c r="M10"/>
  <c r="M11" s="1"/>
  <c r="E7"/>
  <c r="H7"/>
  <c r="K7"/>
  <c r="K10"/>
  <c r="K11" s="1"/>
  <c r="N7"/>
  <c r="N10"/>
  <c r="N11" s="1"/>
  <c r="F7"/>
  <c r="F10"/>
  <c r="F11" s="1"/>
  <c r="I7"/>
  <c r="I10"/>
  <c r="I11" s="1"/>
  <c r="L7"/>
  <c r="L10"/>
  <c r="L11" s="1"/>
  <c r="O7"/>
  <c r="O11"/>
  <c r="G7"/>
  <c r="G10"/>
  <c r="G11" s="1"/>
  <c r="J8" i="40"/>
  <c r="K4" i="26"/>
  <c r="M8" i="40"/>
  <c r="N4" i="26"/>
  <c r="F4"/>
  <c r="H8" i="40"/>
  <c r="I4" i="26"/>
  <c r="K8" i="40"/>
  <c r="L4" i="26"/>
  <c r="L137" i="13"/>
  <c r="G68" i="8"/>
  <c r="G68" i="9" s="1"/>
  <c r="F10" i="14"/>
  <c r="E46" i="15"/>
  <c r="H62" i="13"/>
  <c r="I62" s="1"/>
  <c r="F137"/>
  <c r="U62"/>
  <c r="E11" i="14"/>
  <c r="M130" i="13"/>
  <c r="M9" i="14" s="1"/>
  <c r="G158" i="13"/>
  <c r="H137"/>
  <c r="I94"/>
  <c r="H30"/>
  <c r="S30"/>
  <c r="T30" s="1"/>
  <c r="U30" s="1"/>
  <c r="V30" s="1"/>
  <c r="W30" s="1"/>
  <c r="X30" s="1"/>
  <c r="Y30" s="1"/>
  <c r="Z30" s="1"/>
  <c r="AA30" s="1"/>
  <c r="AB30" s="1"/>
  <c r="G157"/>
  <c r="F169"/>
  <c r="G93"/>
  <c r="G8" i="14" s="1"/>
  <c r="G29" i="13"/>
  <c r="G6" i="14" s="1"/>
  <c r="F41" i="13"/>
  <c r="U31"/>
  <c r="T61"/>
  <c r="V32"/>
  <c r="C39" i="7"/>
  <c r="C39" i="6"/>
  <c r="C39" i="5" s="1"/>
  <c r="C43" i="7"/>
  <c r="C43" i="6"/>
  <c r="C43" i="5" s="1"/>
  <c r="C47" i="7"/>
  <c r="C47" i="5"/>
  <c r="C51" i="7"/>
  <c r="C51" i="5"/>
  <c r="C55" i="7"/>
  <c r="C55" i="5"/>
  <c r="C59" i="7"/>
  <c r="C59" i="5"/>
  <c r="C63" i="7"/>
  <c r="C63" i="5"/>
  <c r="C67" i="7"/>
  <c r="C67" i="5"/>
  <c r="D7" i="7"/>
  <c r="D7" i="6"/>
  <c r="D7" i="5" s="1"/>
  <c r="D11" i="7"/>
  <c r="D11" i="6"/>
  <c r="D11" i="5" s="1"/>
  <c r="D13" i="7"/>
  <c r="D13" i="6"/>
  <c r="D13" i="5" s="1"/>
  <c r="D17" i="7"/>
  <c r="D17" i="6"/>
  <c r="D17" i="5" s="1"/>
  <c r="D21" i="7"/>
  <c r="D21" i="6"/>
  <c r="D21" i="5" s="1"/>
  <c r="D25" i="7"/>
  <c r="D25" i="6"/>
  <c r="D25" i="5" s="1"/>
  <c r="D30" i="7"/>
  <c r="D30" i="6"/>
  <c r="D30" i="5" s="1"/>
  <c r="D34" i="7"/>
  <c r="D34" i="6"/>
  <c r="D34" i="5" s="1"/>
  <c r="D36" i="7"/>
  <c r="D36" i="6"/>
  <c r="D36" i="5" s="1"/>
  <c r="D38" i="7"/>
  <c r="D38" i="6"/>
  <c r="D38" i="5" s="1"/>
  <c r="D42" i="7"/>
  <c r="D42" i="6"/>
  <c r="D42" i="5" s="1"/>
  <c r="D44" i="7"/>
  <c r="D44" i="6"/>
  <c r="D44" i="5" s="1"/>
  <c r="D46" i="7"/>
  <c r="D46" i="6"/>
  <c r="D46" i="5" s="1"/>
  <c r="D48"/>
  <c r="D48" i="7"/>
  <c r="D50"/>
  <c r="D50" i="5"/>
  <c r="D52" i="7"/>
  <c r="D52" i="5"/>
  <c r="E5" i="7"/>
  <c r="E5" i="6"/>
  <c r="E5" i="5" s="1"/>
  <c r="E7" i="7"/>
  <c r="E7" i="6"/>
  <c r="E7" i="5" s="1"/>
  <c r="E11" i="7"/>
  <c r="E11" i="6"/>
  <c r="E11" i="5" s="1"/>
  <c r="E17" i="7"/>
  <c r="E17" i="6"/>
  <c r="E17" i="5" s="1"/>
  <c r="E21" i="7"/>
  <c r="E21" i="6"/>
  <c r="E21" i="5" s="1"/>
  <c r="E25" i="7"/>
  <c r="E25" i="6"/>
  <c r="E25" i="5" s="1"/>
  <c r="E30" i="7"/>
  <c r="E30" i="6"/>
  <c r="E30" i="5" s="1"/>
  <c r="E27" i="7"/>
  <c r="E27" i="6"/>
  <c r="E27" i="5" s="1"/>
  <c r="E37" i="7"/>
  <c r="E37" i="6"/>
  <c r="E37" i="5" s="1"/>
  <c r="E41" i="7"/>
  <c r="E41" i="6"/>
  <c r="E41" i="5" s="1"/>
  <c r="E43" i="7"/>
  <c r="E43" i="6"/>
  <c r="E43" i="5" s="1"/>
  <c r="E47" i="7"/>
  <c r="E47" i="5"/>
  <c r="E51" i="7"/>
  <c r="E51" i="5"/>
  <c r="E57" i="7"/>
  <c r="E57" i="5"/>
  <c r="E61" i="7"/>
  <c r="E61" i="5"/>
  <c r="E65" i="7"/>
  <c r="E65" i="5"/>
  <c r="F5" i="7"/>
  <c r="F5" i="6"/>
  <c r="F5" i="5" s="1"/>
  <c r="F9" i="7"/>
  <c r="F9" i="6"/>
  <c r="F9" i="5" s="1"/>
  <c r="F13" i="7"/>
  <c r="F13" i="6"/>
  <c r="F13" i="5" s="1"/>
  <c r="F17" i="7"/>
  <c r="F17" i="6"/>
  <c r="F17" i="5" s="1"/>
  <c r="F21" i="7"/>
  <c r="F21" i="6"/>
  <c r="F21" i="5" s="1"/>
  <c r="F25" i="7"/>
  <c r="F25" i="6"/>
  <c r="F25" i="5" s="1"/>
  <c r="F29" i="7"/>
  <c r="F29" i="6"/>
  <c r="F29" i="5" s="1"/>
  <c r="F33" i="7"/>
  <c r="F33" i="6"/>
  <c r="F33" i="5" s="1"/>
  <c r="F37" i="7"/>
  <c r="F37" i="6"/>
  <c r="F37" i="5" s="1"/>
  <c r="F45" i="7"/>
  <c r="F45" i="6"/>
  <c r="F45" i="5" s="1"/>
  <c r="G64" i="7"/>
  <c r="G64" i="5"/>
  <c r="C36" i="7"/>
  <c r="C36" i="6"/>
  <c r="C36" i="5" s="1"/>
  <c r="C38" i="7"/>
  <c r="C38" i="6"/>
  <c r="C38" i="5" s="1"/>
  <c r="C40" i="7"/>
  <c r="C40" i="6"/>
  <c r="C40" i="5" s="1"/>
  <c r="C42" i="7"/>
  <c r="C42" i="6"/>
  <c r="C42" i="5" s="1"/>
  <c r="C44" i="7"/>
  <c r="C44" i="6"/>
  <c r="C44" i="5" s="1"/>
  <c r="C46" i="7"/>
  <c r="C46" i="6"/>
  <c r="C46" i="5" s="1"/>
  <c r="C48" i="7"/>
  <c r="C48" i="5"/>
  <c r="C50" i="7"/>
  <c r="C50" i="5"/>
  <c r="C52" i="7"/>
  <c r="C52" i="5"/>
  <c r="C56" i="7"/>
  <c r="C56" i="5"/>
  <c r="C58" i="7"/>
  <c r="C58" i="5"/>
  <c r="C60" i="7"/>
  <c r="C60" i="5"/>
  <c r="C62" i="7"/>
  <c r="C62" i="5"/>
  <c r="C64" i="7"/>
  <c r="C64" i="5"/>
  <c r="C66" i="7"/>
  <c r="C66" i="5"/>
  <c r="D6" i="7"/>
  <c r="D8"/>
  <c r="D8" i="6"/>
  <c r="D8" i="5" s="1"/>
  <c r="D10" i="7"/>
  <c r="D10" i="6"/>
  <c r="D12" i="7"/>
  <c r="D12" i="6"/>
  <c r="D12" i="5" s="1"/>
  <c r="D14" i="7"/>
  <c r="D14" i="6"/>
  <c r="D16" i="7"/>
  <c r="D16" i="6"/>
  <c r="D16" i="5" s="1"/>
  <c r="D18" i="7"/>
  <c r="D18" i="6"/>
  <c r="D18" i="5" s="1"/>
  <c r="D20" i="7"/>
  <c r="D20" i="6"/>
  <c r="D20" i="5" s="1"/>
  <c r="D22" i="7"/>
  <c r="D22" i="6"/>
  <c r="D22" i="5" s="1"/>
  <c r="D24" i="7"/>
  <c r="D24" i="6"/>
  <c r="D24" i="5" s="1"/>
  <c r="D26" i="7"/>
  <c r="D26" i="6"/>
  <c r="D26" i="5" s="1"/>
  <c r="D29" i="7"/>
  <c r="D29" i="6"/>
  <c r="D29" i="5" s="1"/>
  <c r="D31" i="7"/>
  <c r="D31" i="6"/>
  <c r="D31" i="5" s="1"/>
  <c r="D33" i="7"/>
  <c r="D33" i="6"/>
  <c r="D33" i="5" s="1"/>
  <c r="D35" i="7"/>
  <c r="D35" i="6"/>
  <c r="D35" i="5" s="1"/>
  <c r="D37" i="7"/>
  <c r="D37" i="6"/>
  <c r="D37" i="5" s="1"/>
  <c r="D39" i="7"/>
  <c r="D39" i="6"/>
  <c r="D39" i="5" s="1"/>
  <c r="D41" i="7"/>
  <c r="D41" i="6"/>
  <c r="D41" i="5" s="1"/>
  <c r="D43" i="7"/>
  <c r="D43" i="6"/>
  <c r="D43" i="5" s="1"/>
  <c r="D45" i="7"/>
  <c r="D45" i="6"/>
  <c r="D45" i="5" s="1"/>
  <c r="D47" i="7"/>
  <c r="D47" i="5"/>
  <c r="D49" i="7"/>
  <c r="D49" i="5"/>
  <c r="D51" i="7"/>
  <c r="D51" i="5"/>
  <c r="D53" i="7"/>
  <c r="D53" i="5"/>
  <c r="D55" i="7"/>
  <c r="D55" i="5"/>
  <c r="D57" i="7"/>
  <c r="D57" i="5"/>
  <c r="D59" i="7"/>
  <c r="D59" i="5"/>
  <c r="D61" i="7"/>
  <c r="D61" i="5"/>
  <c r="D63" i="7"/>
  <c r="D63" i="5"/>
  <c r="D65" i="7"/>
  <c r="D65" i="5"/>
  <c r="D67" i="7"/>
  <c r="D67" i="5"/>
  <c r="C35" i="7"/>
  <c r="C35" i="6"/>
  <c r="C35" i="5" s="1"/>
  <c r="D27" i="7"/>
  <c r="D27" i="6"/>
  <c r="D27" i="5" s="1"/>
  <c r="E6" i="7"/>
  <c r="E8"/>
  <c r="E8" i="6"/>
  <c r="E8" i="5" s="1"/>
  <c r="E10" i="7"/>
  <c r="E10" i="6"/>
  <c r="E10" i="5" s="1"/>
  <c r="E12" i="7"/>
  <c r="E12" i="6"/>
  <c r="E12" i="5" s="1"/>
  <c r="E14" i="7"/>
  <c r="E14" i="6"/>
  <c r="E14" i="5" s="1"/>
  <c r="E16" i="7"/>
  <c r="E16" i="6"/>
  <c r="E16" i="5" s="1"/>
  <c r="E18" i="7"/>
  <c r="E18" i="6"/>
  <c r="E18" i="5" s="1"/>
  <c r="E20" i="7"/>
  <c r="E20" i="6"/>
  <c r="E20" i="5" s="1"/>
  <c r="E22" i="7"/>
  <c r="E22" i="6"/>
  <c r="E22" i="5" s="1"/>
  <c r="E24" i="7"/>
  <c r="E24" i="6"/>
  <c r="E24" i="5" s="1"/>
  <c r="E26" i="7"/>
  <c r="E26" i="6"/>
  <c r="E26" i="5" s="1"/>
  <c r="E29" i="7"/>
  <c r="E29" i="6"/>
  <c r="E29" i="5" s="1"/>
  <c r="E31" i="7"/>
  <c r="E31" i="6"/>
  <c r="E31" i="5" s="1"/>
  <c r="E33" i="7"/>
  <c r="E33" i="6"/>
  <c r="E33" i="5" s="1"/>
  <c r="E34" i="7"/>
  <c r="E34" i="6"/>
  <c r="E34" i="5" s="1"/>
  <c r="E36" i="7"/>
  <c r="E36" i="6"/>
  <c r="E36" i="5" s="1"/>
  <c r="E38" i="7"/>
  <c r="E38" i="6"/>
  <c r="E38" i="5" s="1"/>
  <c r="E40" i="7"/>
  <c r="E40" i="6"/>
  <c r="E40" i="5" s="1"/>
  <c r="E42" i="7"/>
  <c r="E42" i="6"/>
  <c r="E42" i="5" s="1"/>
  <c r="E44" i="7"/>
  <c r="E44" i="6"/>
  <c r="E44" i="5" s="1"/>
  <c r="E46" i="7"/>
  <c r="E46" i="6"/>
  <c r="E46" i="5" s="1"/>
  <c r="E48"/>
  <c r="E48" i="7"/>
  <c r="E50"/>
  <c r="E50" i="5"/>
  <c r="E52" i="7"/>
  <c r="E52" i="5"/>
  <c r="E56" i="7"/>
  <c r="E56" i="5"/>
  <c r="E58" i="7"/>
  <c r="E58" i="5"/>
  <c r="E60" i="7"/>
  <c r="E60" i="5"/>
  <c r="E62" i="7"/>
  <c r="E62" i="5"/>
  <c r="E64" i="7"/>
  <c r="E64" i="5"/>
  <c r="E66" i="7"/>
  <c r="E66" i="5"/>
  <c r="F6" i="7"/>
  <c r="F8"/>
  <c r="F8" i="6"/>
  <c r="F8" i="5" s="1"/>
  <c r="F10" i="7"/>
  <c r="F10" i="6"/>
  <c r="F10" i="5" s="1"/>
  <c r="F12" i="7"/>
  <c r="F12" i="6"/>
  <c r="F12" i="5" s="1"/>
  <c r="F14" i="7"/>
  <c r="F14" i="6"/>
  <c r="F14" i="5" s="1"/>
  <c r="F16" i="7"/>
  <c r="F16" i="6"/>
  <c r="F16" i="5" s="1"/>
  <c r="F18" i="7"/>
  <c r="F18" i="6"/>
  <c r="F18" i="5" s="1"/>
  <c r="F20" i="7"/>
  <c r="F20" i="6"/>
  <c r="F20" i="5" s="1"/>
  <c r="F22" i="7"/>
  <c r="F22" i="6"/>
  <c r="F22" i="5" s="1"/>
  <c r="F24" i="7"/>
  <c r="F24" i="6"/>
  <c r="F24" i="5" s="1"/>
  <c r="F26" i="7"/>
  <c r="F26" i="6"/>
  <c r="F26" i="5" s="1"/>
  <c r="F28" i="7"/>
  <c r="F28" i="6"/>
  <c r="F28" i="5" s="1"/>
  <c r="F30" i="7"/>
  <c r="F30" i="6"/>
  <c r="F30" i="5" s="1"/>
  <c r="F32" i="7"/>
  <c r="F32" i="6"/>
  <c r="F32" i="5" s="1"/>
  <c r="F34" i="7"/>
  <c r="F34" i="6"/>
  <c r="F34" i="5" s="1"/>
  <c r="F36" i="7"/>
  <c r="F36" i="6"/>
  <c r="F36" i="5" s="1"/>
  <c r="F38" i="7"/>
  <c r="F38" i="6"/>
  <c r="F38" i="5" s="1"/>
  <c r="F40" i="7"/>
  <c r="F40" i="6"/>
  <c r="F40" i="5" s="1"/>
  <c r="F42" i="7"/>
  <c r="F42" i="6"/>
  <c r="F42" i="5" s="1"/>
  <c r="F44" i="7"/>
  <c r="F44" i="6"/>
  <c r="F44" i="5" s="1"/>
  <c r="F46" i="7"/>
  <c r="F46" i="6"/>
  <c r="F48" i="5"/>
  <c r="F48" i="7"/>
  <c r="F50"/>
  <c r="F50" i="5"/>
  <c r="F52" i="7"/>
  <c r="F52" i="5"/>
  <c r="F56" i="7"/>
  <c r="F56" i="5"/>
  <c r="F58" i="7"/>
  <c r="F58" i="5"/>
  <c r="F60" i="7"/>
  <c r="F60" i="5"/>
  <c r="F62" i="7"/>
  <c r="F62" i="5"/>
  <c r="F64" i="7"/>
  <c r="F64" i="5"/>
  <c r="F66" i="7"/>
  <c r="F66" i="5"/>
  <c r="H6" i="7"/>
  <c r="H8"/>
  <c r="H8" i="6"/>
  <c r="H8" i="5" s="1"/>
  <c r="H10" i="7"/>
  <c r="H10" i="6"/>
  <c r="H10" i="5" s="1"/>
  <c r="H12" i="7"/>
  <c r="H12" i="6"/>
  <c r="H12" i="5" s="1"/>
  <c r="H14" i="7"/>
  <c r="H14" i="6"/>
  <c r="H14" i="5" s="1"/>
  <c r="H16" i="7"/>
  <c r="H16" i="6"/>
  <c r="H16" i="5" s="1"/>
  <c r="H18" i="7"/>
  <c r="H18" i="6"/>
  <c r="H18" i="5" s="1"/>
  <c r="H20" i="7"/>
  <c r="H20" i="6"/>
  <c r="H20" i="5" s="1"/>
  <c r="H22" i="7"/>
  <c r="H22" i="6"/>
  <c r="H22" i="5" s="1"/>
  <c r="H24" i="7"/>
  <c r="H24" i="6"/>
  <c r="H24" i="5" s="1"/>
  <c r="H26" i="7"/>
  <c r="H26" i="6"/>
  <c r="H26" i="5" s="1"/>
  <c r="H28" i="7"/>
  <c r="H28" i="6"/>
  <c r="H28" i="5" s="1"/>
  <c r="H30" i="7"/>
  <c r="H30" i="6"/>
  <c r="H30" i="5" s="1"/>
  <c r="H32" i="7"/>
  <c r="H32" i="6"/>
  <c r="H32" i="5" s="1"/>
  <c r="H34" i="7"/>
  <c r="H34" i="6"/>
  <c r="H34" i="5" s="1"/>
  <c r="H36" i="7"/>
  <c r="H36" i="6"/>
  <c r="H36" i="5" s="1"/>
  <c r="H38" i="7"/>
  <c r="H38" i="6"/>
  <c r="H38" i="5" s="1"/>
  <c r="H40" i="7"/>
  <c r="H40" i="6"/>
  <c r="H40" i="5" s="1"/>
  <c r="H42" i="7"/>
  <c r="H42" i="6"/>
  <c r="H42" i="5" s="1"/>
  <c r="H44" i="7"/>
  <c r="H44" i="6"/>
  <c r="H44" i="5" s="1"/>
  <c r="H46" i="7"/>
  <c r="H46" i="6"/>
  <c r="H48" i="5"/>
  <c r="H48" i="7"/>
  <c r="H50"/>
  <c r="H50" i="5"/>
  <c r="H52" i="7"/>
  <c r="H52" i="5"/>
  <c r="H54" i="7"/>
  <c r="H54" i="8" s="1"/>
  <c r="H54" i="9" s="1"/>
  <c r="G54" i="7"/>
  <c r="G54" i="8" s="1"/>
  <c r="G54" i="9" s="1"/>
  <c r="H56" i="7"/>
  <c r="H56" i="5"/>
  <c r="H58" i="7"/>
  <c r="H58" i="5"/>
  <c r="H60" i="7"/>
  <c r="H60" i="5"/>
  <c r="H62" i="7"/>
  <c r="H62" i="5"/>
  <c r="H64" i="7"/>
  <c r="H64" i="5"/>
  <c r="H66" i="7"/>
  <c r="H66" i="5"/>
  <c r="C34" i="7"/>
  <c r="C34" i="6"/>
  <c r="C34" i="5" s="1"/>
  <c r="C37" i="7"/>
  <c r="C37" i="6"/>
  <c r="C37" i="5" s="1"/>
  <c r="C41" i="7"/>
  <c r="C41" i="6"/>
  <c r="C41" i="5" s="1"/>
  <c r="C45" i="7"/>
  <c r="C45" i="6"/>
  <c r="C45" i="5" s="1"/>
  <c r="C49" i="7"/>
  <c r="C49" i="5"/>
  <c r="C53" i="7"/>
  <c r="C53" i="5"/>
  <c r="C57" i="7"/>
  <c r="C57" i="5"/>
  <c r="C61" i="7"/>
  <c r="C61" i="5"/>
  <c r="C65" i="7"/>
  <c r="C65" i="5"/>
  <c r="D5" i="7"/>
  <c r="D5" i="6"/>
  <c r="D5" i="5" s="1"/>
  <c r="D9" i="7"/>
  <c r="D9" i="6"/>
  <c r="D9" i="5" s="1"/>
  <c r="D15" i="7"/>
  <c r="D15" i="6"/>
  <c r="D15" i="5" s="1"/>
  <c r="D19" i="7"/>
  <c r="D19" i="6"/>
  <c r="D19" i="5" s="1"/>
  <c r="D23" i="7"/>
  <c r="D23" i="6"/>
  <c r="D23" i="5" s="1"/>
  <c r="D28" i="7"/>
  <c r="D28" i="6"/>
  <c r="D28" i="5" s="1"/>
  <c r="D32" i="7"/>
  <c r="D32" i="6"/>
  <c r="D32" i="5" s="1"/>
  <c r="D40" i="7"/>
  <c r="D40" i="6"/>
  <c r="D40" i="5" s="1"/>
  <c r="D56" i="7"/>
  <c r="D56" i="5"/>
  <c r="D58" i="7"/>
  <c r="D58" i="5"/>
  <c r="D60" i="7"/>
  <c r="D60" i="5"/>
  <c r="D62" i="7"/>
  <c r="D62" i="5"/>
  <c r="D64" i="7"/>
  <c r="D64" i="5"/>
  <c r="D66" i="7"/>
  <c r="D66" i="5"/>
  <c r="C27" i="7"/>
  <c r="C27" i="6"/>
  <c r="C27" i="5" s="1"/>
  <c r="E9" i="7"/>
  <c r="E9" i="6"/>
  <c r="E9" i="5" s="1"/>
  <c r="E13" i="7"/>
  <c r="E13" i="6"/>
  <c r="E15" i="7"/>
  <c r="E15" i="6"/>
  <c r="E15" i="5" s="1"/>
  <c r="E19" i="7"/>
  <c r="E19" i="6"/>
  <c r="E19" i="5" s="1"/>
  <c r="E23" i="7"/>
  <c r="E23" i="6"/>
  <c r="E23" i="5" s="1"/>
  <c r="E28" i="7"/>
  <c r="E28" i="6"/>
  <c r="E28" i="5" s="1"/>
  <c r="E32" i="7"/>
  <c r="E32" i="6"/>
  <c r="E32" i="5" s="1"/>
  <c r="E35" i="7"/>
  <c r="E35" i="6"/>
  <c r="E35" i="5" s="1"/>
  <c r="E39" i="7"/>
  <c r="E39" i="6"/>
  <c r="E39" i="5" s="1"/>
  <c r="E45" i="7"/>
  <c r="E45" i="6"/>
  <c r="E45" i="5" s="1"/>
  <c r="E49" i="7"/>
  <c r="E49" i="5"/>
  <c r="E53" i="7"/>
  <c r="E53" i="5"/>
  <c r="E55" i="7"/>
  <c r="E55" i="5"/>
  <c r="E59" i="7"/>
  <c r="E59" i="5"/>
  <c r="E63" i="7"/>
  <c r="E63" i="5"/>
  <c r="E67" i="7"/>
  <c r="E67" i="5"/>
  <c r="F7" i="7"/>
  <c r="F7" i="6"/>
  <c r="F7" i="5" s="1"/>
  <c r="F11" i="7"/>
  <c r="F11" i="6"/>
  <c r="F11" i="5" s="1"/>
  <c r="F15" i="7"/>
  <c r="F15" i="6"/>
  <c r="F15" i="5" s="1"/>
  <c r="F19" i="7"/>
  <c r="F19" i="6"/>
  <c r="F19" i="5" s="1"/>
  <c r="F23" i="7"/>
  <c r="F23" i="6"/>
  <c r="F23" i="5" s="1"/>
  <c r="F27" i="7"/>
  <c r="F27" i="6"/>
  <c r="F27" i="5" s="1"/>
  <c r="F31" i="7"/>
  <c r="F31" i="6"/>
  <c r="F31" i="5" s="1"/>
  <c r="F35" i="7"/>
  <c r="F35" i="6"/>
  <c r="F35" i="5" s="1"/>
  <c r="F39" i="7"/>
  <c r="F39" i="6"/>
  <c r="F39" i="5" s="1"/>
  <c r="F41" i="7"/>
  <c r="F41" i="6"/>
  <c r="F41" i="5" s="1"/>
  <c r="F43" i="7"/>
  <c r="F43" i="6"/>
  <c r="F43" i="5" s="1"/>
  <c r="F47" i="7"/>
  <c r="F47" i="5"/>
  <c r="F49" i="7"/>
  <c r="F49" i="5"/>
  <c r="F51" i="7"/>
  <c r="F51" i="5"/>
  <c r="F53" i="7"/>
  <c r="F53" i="5"/>
  <c r="F55" i="7"/>
  <c r="F55" i="5"/>
  <c r="G7" i="7"/>
  <c r="G7" i="6"/>
  <c r="G7" i="5" s="1"/>
  <c r="G9" i="7"/>
  <c r="G9" i="6"/>
  <c r="G9" i="5" s="1"/>
  <c r="G47" i="7"/>
  <c r="G47" i="5"/>
  <c r="G45" i="7"/>
  <c r="G45" i="6"/>
  <c r="G45" i="5" s="1"/>
  <c r="G43" i="7"/>
  <c r="G43" i="6"/>
  <c r="G43" i="5" s="1"/>
  <c r="G41" i="7"/>
  <c r="G41" i="6"/>
  <c r="G41" i="5" s="1"/>
  <c r="G39" i="7"/>
  <c r="G39" i="6"/>
  <c r="G39" i="5" s="1"/>
  <c r="G37" i="7"/>
  <c r="G37" i="6"/>
  <c r="G37" i="5" s="1"/>
  <c r="G35" i="7"/>
  <c r="G35" i="6"/>
  <c r="G35" i="5" s="1"/>
  <c r="G33" i="7"/>
  <c r="G33" i="6"/>
  <c r="G33" i="5" s="1"/>
  <c r="G31" i="7"/>
  <c r="G31" i="6"/>
  <c r="G31" i="5" s="1"/>
  <c r="G29" i="7"/>
  <c r="G29" i="6"/>
  <c r="G29" i="5" s="1"/>
  <c r="I5" i="7"/>
  <c r="I5" i="6"/>
  <c r="I5" i="5" s="1"/>
  <c r="I7" i="7"/>
  <c r="I7" i="6"/>
  <c r="I7" i="5" s="1"/>
  <c r="I9" i="7"/>
  <c r="I9" i="6"/>
  <c r="I9" i="5" s="1"/>
  <c r="I11" i="7"/>
  <c r="I11" i="6"/>
  <c r="I11" i="5" s="1"/>
  <c r="I13" i="7"/>
  <c r="I13" i="6"/>
  <c r="I13" i="5" s="1"/>
  <c r="I15" i="7"/>
  <c r="I15" i="6"/>
  <c r="I15" i="5" s="1"/>
  <c r="I17" i="7"/>
  <c r="I17" i="6"/>
  <c r="I17" i="5" s="1"/>
  <c r="I19" i="7"/>
  <c r="I19" i="6"/>
  <c r="I19" i="5" s="1"/>
  <c r="I21" i="7"/>
  <c r="I21" i="6"/>
  <c r="I21" i="5" s="1"/>
  <c r="I23" i="7"/>
  <c r="I23" i="6"/>
  <c r="I23" i="5" s="1"/>
  <c r="I25" i="7"/>
  <c r="I25" i="6"/>
  <c r="I25" i="5" s="1"/>
  <c r="I28" i="7"/>
  <c r="I28" i="6"/>
  <c r="I28" i="5" s="1"/>
  <c r="I30" i="7"/>
  <c r="I30" i="6"/>
  <c r="I30" i="5" s="1"/>
  <c r="I32" i="7"/>
  <c r="I32" i="6"/>
  <c r="I32" i="5" s="1"/>
  <c r="I34" i="7"/>
  <c r="I34" i="6"/>
  <c r="I34" i="5" s="1"/>
  <c r="I36" i="7"/>
  <c r="I36" i="6"/>
  <c r="I36" i="5" s="1"/>
  <c r="I39" i="7"/>
  <c r="I39" i="6"/>
  <c r="I41" i="7"/>
  <c r="I41" i="6"/>
  <c r="I41" i="5" s="1"/>
  <c r="I43" i="7"/>
  <c r="I43" i="6"/>
  <c r="I43" i="5" s="1"/>
  <c r="I45" i="7"/>
  <c r="I45" i="6"/>
  <c r="I45" i="5" s="1"/>
  <c r="I47" i="7"/>
  <c r="I47" i="5"/>
  <c r="I49" i="7"/>
  <c r="I49" i="5"/>
  <c r="I51" i="7"/>
  <c r="I51" i="5"/>
  <c r="I53" i="7"/>
  <c r="I53" i="5"/>
  <c r="I55" i="7"/>
  <c r="I55" i="5"/>
  <c r="I57" i="7"/>
  <c r="I57" i="5"/>
  <c r="I59" i="7"/>
  <c r="I59" i="5"/>
  <c r="I61" i="7"/>
  <c r="I61" i="5"/>
  <c r="I63" i="7"/>
  <c r="I63" i="5"/>
  <c r="I65" i="7"/>
  <c r="I65" i="5"/>
  <c r="I67" i="7"/>
  <c r="I67" i="5"/>
  <c r="J7" i="7"/>
  <c r="J7" i="6"/>
  <c r="J7" i="5" s="1"/>
  <c r="J6" i="7"/>
  <c r="J9"/>
  <c r="J9" i="6"/>
  <c r="J9" i="5" s="1"/>
  <c r="J11" i="7"/>
  <c r="J11" i="6"/>
  <c r="J11" i="5" s="1"/>
  <c r="J14" i="7"/>
  <c r="J14" i="6"/>
  <c r="J14" i="5" s="1"/>
  <c r="J16" i="7"/>
  <c r="J16" i="6"/>
  <c r="J16" i="5" s="1"/>
  <c r="J18" i="7"/>
  <c r="J18" i="6"/>
  <c r="J18" i="5" s="1"/>
  <c r="J20" i="7"/>
  <c r="J20" i="6"/>
  <c r="J20" i="5" s="1"/>
  <c r="J22" i="7"/>
  <c r="J22" i="6"/>
  <c r="J22" i="5" s="1"/>
  <c r="J24" i="7"/>
  <c r="J24" i="6"/>
  <c r="J24" i="5" s="1"/>
  <c r="J26" i="7"/>
  <c r="J26" i="6"/>
  <c r="J26" i="5" s="1"/>
  <c r="J27" i="7"/>
  <c r="J27" i="6"/>
  <c r="J27" i="5" s="1"/>
  <c r="J29" i="7"/>
  <c r="J29" i="6"/>
  <c r="J29" i="5" s="1"/>
  <c r="J31" i="7"/>
  <c r="J31" i="6"/>
  <c r="J31" i="5" s="1"/>
  <c r="J33" i="7"/>
  <c r="J33" i="6"/>
  <c r="J33" i="5" s="1"/>
  <c r="J35" i="7"/>
  <c r="J35" i="6"/>
  <c r="J35" i="5" s="1"/>
  <c r="I37" i="7"/>
  <c r="I37" i="6"/>
  <c r="I37" i="5" s="1"/>
  <c r="J38" i="7"/>
  <c r="J38" i="6"/>
  <c r="J38" i="5" s="1"/>
  <c r="J40" i="7"/>
  <c r="J40" i="6"/>
  <c r="J40" i="5" s="1"/>
  <c r="J42" i="7"/>
  <c r="J42" i="6"/>
  <c r="J42" i="5" s="1"/>
  <c r="J44" i="7"/>
  <c r="J44" i="6"/>
  <c r="J44" i="5" s="1"/>
  <c r="J46" i="7"/>
  <c r="J46" i="6"/>
  <c r="J46" i="5" s="1"/>
  <c r="J48"/>
  <c r="J48" i="7"/>
  <c r="J50"/>
  <c r="J50" i="5"/>
  <c r="J52" i="7"/>
  <c r="J52" i="5"/>
  <c r="J56" i="7"/>
  <c r="J56" i="5"/>
  <c r="J58" i="7"/>
  <c r="J58" i="5"/>
  <c r="J60" i="7"/>
  <c r="J60" i="5"/>
  <c r="J62" i="7"/>
  <c r="J62" i="5"/>
  <c r="J64" i="7"/>
  <c r="J64" i="5"/>
  <c r="J66" i="7"/>
  <c r="J66" i="5"/>
  <c r="K6" i="7"/>
  <c r="K8"/>
  <c r="K8" i="6"/>
  <c r="K8" i="5" s="1"/>
  <c r="K10" i="7"/>
  <c r="K10" i="6"/>
  <c r="K10" i="5" s="1"/>
  <c r="K12" i="7"/>
  <c r="K12" i="6"/>
  <c r="K12" i="5" s="1"/>
  <c r="K14" i="7"/>
  <c r="K14" i="6"/>
  <c r="K14" i="5" s="1"/>
  <c r="K16" i="7"/>
  <c r="K16" i="6"/>
  <c r="K16" i="5" s="1"/>
  <c r="K18" i="7"/>
  <c r="K18" i="6"/>
  <c r="K18" i="5" s="1"/>
  <c r="K20" i="7"/>
  <c r="K20" i="6"/>
  <c r="K20" i="5" s="1"/>
  <c r="K22" i="7"/>
  <c r="K22" i="6"/>
  <c r="K22" i="5" s="1"/>
  <c r="K24" i="7"/>
  <c r="K24" i="6"/>
  <c r="K24" i="5" s="1"/>
  <c r="K26" i="7"/>
  <c r="K26" i="6"/>
  <c r="K26" i="5" s="1"/>
  <c r="K29" i="7"/>
  <c r="K29" i="6"/>
  <c r="K29" i="5" s="1"/>
  <c r="K31" i="7"/>
  <c r="K31" i="6"/>
  <c r="K31" i="5" s="1"/>
  <c r="K33" i="7"/>
  <c r="K33" i="6"/>
  <c r="K33" i="5" s="1"/>
  <c r="K35" i="7"/>
  <c r="K35" i="6"/>
  <c r="K35" i="5" s="1"/>
  <c r="K37" i="7"/>
  <c r="K37" i="6"/>
  <c r="K37" i="5" s="1"/>
  <c r="K39" i="7"/>
  <c r="K39" i="6"/>
  <c r="K39" i="5" s="1"/>
  <c r="K41" i="7"/>
  <c r="K41" i="6"/>
  <c r="K41" i="5" s="1"/>
  <c r="K43" i="7"/>
  <c r="K43" i="6"/>
  <c r="K43" i="5" s="1"/>
  <c r="K45" i="7"/>
  <c r="K45" i="6"/>
  <c r="K45" i="5" s="1"/>
  <c r="K47" i="7"/>
  <c r="K47" i="5"/>
  <c r="K49" i="7"/>
  <c r="K49" i="5"/>
  <c r="K51" i="7"/>
  <c r="K51" i="5"/>
  <c r="K53" i="7"/>
  <c r="K53" i="5"/>
  <c r="K55" i="7"/>
  <c r="K55" i="5"/>
  <c r="K57" i="7"/>
  <c r="K57" i="5"/>
  <c r="K59" i="7"/>
  <c r="K59" i="5"/>
  <c r="K61" i="7"/>
  <c r="K61" i="5"/>
  <c r="K63" i="7"/>
  <c r="K63" i="5"/>
  <c r="K65" i="7"/>
  <c r="K65" i="5"/>
  <c r="K67" i="7"/>
  <c r="K67" i="5"/>
  <c r="K27" i="7"/>
  <c r="K27" i="6"/>
  <c r="K27" i="5" s="1"/>
  <c r="L6" i="7"/>
  <c r="L8"/>
  <c r="L8" i="6"/>
  <c r="L8" i="5" s="1"/>
  <c r="L10" i="7"/>
  <c r="L10" i="6"/>
  <c r="L10" i="5" s="1"/>
  <c r="L12" i="7"/>
  <c r="L12" i="6"/>
  <c r="L12" i="5" s="1"/>
  <c r="L14" i="7"/>
  <c r="L14" i="6"/>
  <c r="L14" i="5" s="1"/>
  <c r="L16" i="7"/>
  <c r="L16" i="6"/>
  <c r="L16" i="5" s="1"/>
  <c r="L18" i="7"/>
  <c r="L18" i="6"/>
  <c r="L18" i="5" s="1"/>
  <c r="L20" i="7"/>
  <c r="L20" i="6"/>
  <c r="L20" i="5" s="1"/>
  <c r="L22" i="7"/>
  <c r="L22" i="6"/>
  <c r="L22" i="5" s="1"/>
  <c r="L24" i="7"/>
  <c r="L24" i="6"/>
  <c r="L24" i="5" s="1"/>
  <c r="L26" i="7"/>
  <c r="L26" i="6"/>
  <c r="L26" i="5" s="1"/>
  <c r="L29" i="7"/>
  <c r="L29" i="6"/>
  <c r="L29" i="5" s="1"/>
  <c r="L31" i="7"/>
  <c r="L31" i="6"/>
  <c r="L31" i="5" s="1"/>
  <c r="L33" i="7"/>
  <c r="L33" i="6"/>
  <c r="L33" i="5" s="1"/>
  <c r="L35" i="7"/>
  <c r="L35" i="6"/>
  <c r="L35" i="5" s="1"/>
  <c r="L37" i="7"/>
  <c r="L37" i="6"/>
  <c r="L37" i="5" s="1"/>
  <c r="L39" i="7"/>
  <c r="L39" i="6"/>
  <c r="L39" i="5" s="1"/>
  <c r="L41" i="7"/>
  <c r="L41" i="6"/>
  <c r="L41" i="5" s="1"/>
  <c r="L43" i="7"/>
  <c r="L43" i="6"/>
  <c r="L43" i="5" s="1"/>
  <c r="L45" i="7"/>
  <c r="L45" i="6"/>
  <c r="L45" i="5" s="1"/>
  <c r="L47" i="7"/>
  <c r="L47" i="5"/>
  <c r="L49" i="7"/>
  <c r="L49" i="5"/>
  <c r="L51" i="7"/>
  <c r="L51" i="5"/>
  <c r="L56" i="7"/>
  <c r="L56" i="5"/>
  <c r="L58" i="7"/>
  <c r="L58" i="5"/>
  <c r="L60" i="7"/>
  <c r="L60" i="5"/>
  <c r="L62" i="7"/>
  <c r="L62" i="5"/>
  <c r="L64" i="7"/>
  <c r="L64" i="5"/>
  <c r="L66" i="7"/>
  <c r="L66" i="5"/>
  <c r="L53" i="7"/>
  <c r="L53" i="5"/>
  <c r="M6" i="7"/>
  <c r="M8"/>
  <c r="M8" i="6"/>
  <c r="M8" i="5" s="1"/>
  <c r="M10" i="7"/>
  <c r="M10" i="6"/>
  <c r="M10" i="5" s="1"/>
  <c r="M12" i="7"/>
  <c r="M12" i="6"/>
  <c r="M12" i="5" s="1"/>
  <c r="M14" i="7"/>
  <c r="M14" i="6"/>
  <c r="M14" i="5" s="1"/>
  <c r="M16" i="7"/>
  <c r="M16" i="6"/>
  <c r="M16" i="5" s="1"/>
  <c r="M18" i="7"/>
  <c r="M18" i="6"/>
  <c r="M18" i="5" s="1"/>
  <c r="M20" i="7"/>
  <c r="M20" i="6"/>
  <c r="M20" i="5" s="1"/>
  <c r="M22" i="7"/>
  <c r="M22" i="6"/>
  <c r="M22" i="5" s="1"/>
  <c r="M24" i="7"/>
  <c r="M24" i="6"/>
  <c r="M24" i="5" s="1"/>
  <c r="M26" i="7"/>
  <c r="M26" i="6"/>
  <c r="M26" i="5" s="1"/>
  <c r="M28" i="7"/>
  <c r="M28" i="6"/>
  <c r="M28" i="5" s="1"/>
  <c r="M30" i="7"/>
  <c r="M30" i="6"/>
  <c r="M30" i="5" s="1"/>
  <c r="M32" i="7"/>
  <c r="M32" i="6"/>
  <c r="M32" i="5" s="1"/>
  <c r="M34" i="7"/>
  <c r="M34" i="6"/>
  <c r="M34" i="5" s="1"/>
  <c r="M36" i="7"/>
  <c r="M36" i="6"/>
  <c r="M36" i="5" s="1"/>
  <c r="M38" i="7"/>
  <c r="M38" i="6"/>
  <c r="M38" i="5" s="1"/>
  <c r="M40" i="7"/>
  <c r="M40" i="6"/>
  <c r="M40" i="5" s="1"/>
  <c r="M42" i="7"/>
  <c r="M42" i="6"/>
  <c r="M42" i="5" s="1"/>
  <c r="M44" i="7"/>
  <c r="M44" i="6"/>
  <c r="M44" i="5" s="1"/>
  <c r="M46" i="7"/>
  <c r="M46" i="6"/>
  <c r="M46" i="5" s="1"/>
  <c r="M48"/>
  <c r="M48" i="7"/>
  <c r="M50"/>
  <c r="M50" i="5"/>
  <c r="M52" i="7"/>
  <c r="M52" i="5"/>
  <c r="M56" i="7"/>
  <c r="M56" i="5"/>
  <c r="M58" i="7"/>
  <c r="M58" i="5"/>
  <c r="M60" i="7"/>
  <c r="M60" i="5"/>
  <c r="M62" i="7"/>
  <c r="M62" i="5"/>
  <c r="M64" i="7"/>
  <c r="M64" i="5"/>
  <c r="M66" i="7"/>
  <c r="M66" i="5"/>
  <c r="N6" i="7"/>
  <c r="N8"/>
  <c r="N8" i="6"/>
  <c r="N8" i="5" s="1"/>
  <c r="N10" i="7"/>
  <c r="N10" i="6"/>
  <c r="N10" i="5" s="1"/>
  <c r="N12" i="7"/>
  <c r="N12" i="6"/>
  <c r="N12" i="5" s="1"/>
  <c r="N14" i="7"/>
  <c r="N14" i="6"/>
  <c r="N14" i="5" s="1"/>
  <c r="N16" i="7"/>
  <c r="N16" i="6"/>
  <c r="N16" i="5" s="1"/>
  <c r="N18" i="7"/>
  <c r="N18" i="6"/>
  <c r="N18" i="5" s="1"/>
  <c r="N20" i="7"/>
  <c r="N20" i="6"/>
  <c r="N20" i="5" s="1"/>
  <c r="N22" i="7"/>
  <c r="N22" i="6"/>
  <c r="N22" i="5" s="1"/>
  <c r="N24" i="7"/>
  <c r="N24" i="6"/>
  <c r="N24" i="5" s="1"/>
  <c r="N26" i="7"/>
  <c r="N26" i="6"/>
  <c r="N26" i="5" s="1"/>
  <c r="N28" i="7"/>
  <c r="N28" i="6"/>
  <c r="N28" i="5" s="1"/>
  <c r="N30" i="7"/>
  <c r="N30" i="6"/>
  <c r="N30" i="5" s="1"/>
  <c r="N32" i="7"/>
  <c r="N32" i="6"/>
  <c r="N32" i="5" s="1"/>
  <c r="N34" i="7"/>
  <c r="N34" i="6"/>
  <c r="N34" i="5" s="1"/>
  <c r="N36" i="7"/>
  <c r="N36" i="6"/>
  <c r="N36" i="5" s="1"/>
  <c r="N38" i="7"/>
  <c r="N38" i="6"/>
  <c r="N38" i="5" s="1"/>
  <c r="N40" i="7"/>
  <c r="N40" i="6"/>
  <c r="N40" i="5" s="1"/>
  <c r="N42" i="7"/>
  <c r="N42" i="6"/>
  <c r="N42" i="5" s="1"/>
  <c r="N44" i="7"/>
  <c r="N44" i="6"/>
  <c r="N44" i="5" s="1"/>
  <c r="N46" i="7"/>
  <c r="N46" i="6"/>
  <c r="N46" i="5" s="1"/>
  <c r="N48"/>
  <c r="N48" i="7"/>
  <c r="N50"/>
  <c r="N50" i="5"/>
  <c r="N52" i="7"/>
  <c r="N52" i="5"/>
  <c r="N56" i="7"/>
  <c r="N56" i="5"/>
  <c r="N58" i="7"/>
  <c r="N58" i="5"/>
  <c r="N60" i="7"/>
  <c r="N60" i="5"/>
  <c r="N62" i="7"/>
  <c r="N62" i="5"/>
  <c r="N64" i="7"/>
  <c r="N64" i="5"/>
  <c r="N66" i="7"/>
  <c r="N66" i="5"/>
  <c r="O6" i="7"/>
  <c r="O8"/>
  <c r="O8" i="6"/>
  <c r="O8" i="5" s="1"/>
  <c r="O10" i="7"/>
  <c r="O10" i="6"/>
  <c r="O10" i="5" s="1"/>
  <c r="O12" i="7"/>
  <c r="O12" i="6"/>
  <c r="O12" i="5" s="1"/>
  <c r="O14" i="7"/>
  <c r="O14" i="6"/>
  <c r="O14" i="5" s="1"/>
  <c r="O16" i="7"/>
  <c r="O16" i="6"/>
  <c r="O16" i="5" s="1"/>
  <c r="O18" i="7"/>
  <c r="O18" i="6"/>
  <c r="O18" i="5" s="1"/>
  <c r="O20" i="7"/>
  <c r="O20" i="6"/>
  <c r="O20" i="5" s="1"/>
  <c r="O22" i="7"/>
  <c r="O22" i="6"/>
  <c r="O22" i="5" s="1"/>
  <c r="O24" i="7"/>
  <c r="O24" i="6"/>
  <c r="O24" i="5" s="1"/>
  <c r="O26" i="7"/>
  <c r="O26" i="6"/>
  <c r="O26" i="5" s="1"/>
  <c r="O29" i="7"/>
  <c r="O29" i="6"/>
  <c r="O29" i="5" s="1"/>
  <c r="O31" i="7"/>
  <c r="O31" i="6"/>
  <c r="O31" i="5" s="1"/>
  <c r="O33" i="7"/>
  <c r="O33" i="6"/>
  <c r="O33" i="5" s="1"/>
  <c r="O35" i="7"/>
  <c r="O35" i="6"/>
  <c r="O35" i="5" s="1"/>
  <c r="O37" i="7"/>
  <c r="O37" i="6"/>
  <c r="O37" i="5" s="1"/>
  <c r="O39" i="7"/>
  <c r="O39" i="6"/>
  <c r="O39" i="5" s="1"/>
  <c r="O41" i="7"/>
  <c r="O41" i="6"/>
  <c r="O41" i="5" s="1"/>
  <c r="O43" i="7"/>
  <c r="O43" i="6"/>
  <c r="O43" i="5" s="1"/>
  <c r="O45" i="7"/>
  <c r="O45" i="6"/>
  <c r="O45" i="5" s="1"/>
  <c r="O47" i="7"/>
  <c r="O47" i="5"/>
  <c r="O49" i="7"/>
  <c r="O49" i="5"/>
  <c r="O51" i="7"/>
  <c r="O51" i="5"/>
  <c r="O53" i="7"/>
  <c r="O53" i="5"/>
  <c r="O55" i="7"/>
  <c r="O55" i="5"/>
  <c r="O57" i="7"/>
  <c r="O57" i="5"/>
  <c r="O59" i="7"/>
  <c r="O59" i="5"/>
  <c r="O61" i="7"/>
  <c r="O61" i="5"/>
  <c r="O63" i="7"/>
  <c r="O63" i="5"/>
  <c r="O65" i="7"/>
  <c r="O65" i="5"/>
  <c r="O67" i="7"/>
  <c r="O67" i="5"/>
  <c r="O27" i="7"/>
  <c r="O27" i="6"/>
  <c r="O27" i="5" s="1"/>
  <c r="F57" i="7"/>
  <c r="F57" i="5"/>
  <c r="F59" i="7"/>
  <c r="F59" i="5"/>
  <c r="F61" i="7"/>
  <c r="F61" i="5"/>
  <c r="F63" i="7"/>
  <c r="F63" i="5"/>
  <c r="F65" i="7"/>
  <c r="F65" i="5"/>
  <c r="F67" i="7"/>
  <c r="F67" i="5"/>
  <c r="H5" i="7"/>
  <c r="H5" i="6"/>
  <c r="H5" i="5" s="1"/>
  <c r="H7" i="7"/>
  <c r="H7" i="6"/>
  <c r="H7" i="5" s="1"/>
  <c r="H9" i="7"/>
  <c r="H9" i="6"/>
  <c r="H9" i="5" s="1"/>
  <c r="H11" i="7"/>
  <c r="H11" i="6"/>
  <c r="H11" i="5" s="1"/>
  <c r="H13" i="7"/>
  <c r="H13" i="6"/>
  <c r="H13" i="5" s="1"/>
  <c r="H15" i="7"/>
  <c r="H15" i="6"/>
  <c r="H15" i="5" s="1"/>
  <c r="H17" i="7"/>
  <c r="H17" i="6"/>
  <c r="H17" i="5" s="1"/>
  <c r="H19" i="7"/>
  <c r="H19" i="6"/>
  <c r="H19" i="5" s="1"/>
  <c r="H21" i="7"/>
  <c r="H21" i="6"/>
  <c r="H21" i="5" s="1"/>
  <c r="H23" i="7"/>
  <c r="H23" i="6"/>
  <c r="H23" i="5" s="1"/>
  <c r="H25" i="7"/>
  <c r="H25" i="6"/>
  <c r="H25" i="5" s="1"/>
  <c r="H27" i="7"/>
  <c r="H27" i="6"/>
  <c r="H27" i="5" s="1"/>
  <c r="H29" i="7"/>
  <c r="H29" i="6"/>
  <c r="H29" i="5" s="1"/>
  <c r="H31" i="7"/>
  <c r="H31" i="6"/>
  <c r="H31" i="5" s="1"/>
  <c r="H33" i="7"/>
  <c r="H33" i="6"/>
  <c r="H33" i="5" s="1"/>
  <c r="H35" i="7"/>
  <c r="H35" i="6"/>
  <c r="H35" i="5" s="1"/>
  <c r="H37" i="7"/>
  <c r="H37" i="6"/>
  <c r="H37" i="5" s="1"/>
  <c r="H39" i="7"/>
  <c r="H39" i="6"/>
  <c r="H39" i="5" s="1"/>
  <c r="H41" i="7"/>
  <c r="H41" i="6"/>
  <c r="H41" i="5" s="1"/>
  <c r="H43" i="7"/>
  <c r="H43" i="6"/>
  <c r="H43" i="5" s="1"/>
  <c r="H45" i="7"/>
  <c r="H45" i="6"/>
  <c r="H45" i="5" s="1"/>
  <c r="H47" i="7"/>
  <c r="H47" i="5"/>
  <c r="H49" i="7"/>
  <c r="H49" i="5"/>
  <c r="H51" i="7"/>
  <c r="H51" i="5"/>
  <c r="H53" i="7"/>
  <c r="H53" i="5"/>
  <c r="H55" i="7"/>
  <c r="H55" i="5"/>
  <c r="H57" i="7"/>
  <c r="H57" i="5"/>
  <c r="H59" i="7"/>
  <c r="H59" i="5"/>
  <c r="H61" i="7"/>
  <c r="H61" i="5"/>
  <c r="H63" i="7"/>
  <c r="H63" i="5"/>
  <c r="H65" i="7"/>
  <c r="H65" i="5"/>
  <c r="H67" i="7"/>
  <c r="H67" i="5"/>
  <c r="I6" i="7"/>
  <c r="I8"/>
  <c r="I8" i="6"/>
  <c r="I10" i="7"/>
  <c r="I10" i="6"/>
  <c r="I10" i="5" s="1"/>
  <c r="I12" i="7"/>
  <c r="I12" i="6"/>
  <c r="I12" i="5" s="1"/>
  <c r="I14" i="7"/>
  <c r="I14" i="6"/>
  <c r="I14" i="5" s="1"/>
  <c r="I16" i="7"/>
  <c r="I16" i="6"/>
  <c r="I18" i="7"/>
  <c r="I18" i="6"/>
  <c r="I18" i="5" s="1"/>
  <c r="I20" i="7"/>
  <c r="I20" i="6"/>
  <c r="I22" i="7"/>
  <c r="I22" i="6"/>
  <c r="I22" i="5" s="1"/>
  <c r="I24" i="7"/>
  <c r="I24" i="6"/>
  <c r="I26" i="7"/>
  <c r="I26" i="6"/>
  <c r="I26" i="5" s="1"/>
  <c r="I29" i="7"/>
  <c r="I29" i="6"/>
  <c r="I29" i="5" s="1"/>
  <c r="I31" i="7"/>
  <c r="I31" i="6"/>
  <c r="I31" i="5" s="1"/>
  <c r="I33" i="7"/>
  <c r="I33" i="6"/>
  <c r="I33" i="5" s="1"/>
  <c r="I35" i="7"/>
  <c r="I35" i="6"/>
  <c r="I35" i="5" s="1"/>
  <c r="I38" i="7"/>
  <c r="I38" i="6"/>
  <c r="I38" i="5" s="1"/>
  <c r="I40" i="7"/>
  <c r="I40" i="6"/>
  <c r="I40" i="5" s="1"/>
  <c r="I42" i="7"/>
  <c r="I42" i="6"/>
  <c r="I42" i="5" s="1"/>
  <c r="I44" i="7"/>
  <c r="I44" i="6"/>
  <c r="I44" i="5" s="1"/>
  <c r="I46" i="7"/>
  <c r="I46" i="6"/>
  <c r="I46" i="5" s="1"/>
  <c r="I48"/>
  <c r="I48" i="7"/>
  <c r="I50"/>
  <c r="I50" i="5"/>
  <c r="I52" i="7"/>
  <c r="I52" i="5"/>
  <c r="I56" i="7"/>
  <c r="I56" i="5"/>
  <c r="I58" i="7"/>
  <c r="I58" i="5"/>
  <c r="I60" i="7"/>
  <c r="I60" i="5"/>
  <c r="I62" i="7"/>
  <c r="I62" i="5"/>
  <c r="I64" i="7"/>
  <c r="I64" i="5"/>
  <c r="I66" i="7"/>
  <c r="I66" i="5"/>
  <c r="J5" i="7"/>
  <c r="J5" i="6"/>
  <c r="J8" i="7"/>
  <c r="J8" i="6"/>
  <c r="J10" i="7"/>
  <c r="J10" i="6"/>
  <c r="J10" i="5" s="1"/>
  <c r="J13" i="7"/>
  <c r="J13" i="6"/>
  <c r="J13" i="5" s="1"/>
  <c r="J15" i="7"/>
  <c r="J15" i="6"/>
  <c r="J15" i="5" s="1"/>
  <c r="J17" i="7"/>
  <c r="J17" i="6"/>
  <c r="J17" i="5" s="1"/>
  <c r="J19" i="7"/>
  <c r="J19" i="6"/>
  <c r="J19" i="5" s="1"/>
  <c r="J21" i="7"/>
  <c r="J21" i="6"/>
  <c r="J21" i="5" s="1"/>
  <c r="J23" i="7"/>
  <c r="J23" i="6"/>
  <c r="J23" i="5" s="1"/>
  <c r="J25" i="7"/>
  <c r="J25" i="6"/>
  <c r="J25" i="5" s="1"/>
  <c r="I27" i="7"/>
  <c r="I27" i="6"/>
  <c r="I27" i="5" s="1"/>
  <c r="J28" i="7"/>
  <c r="J28" i="6"/>
  <c r="J28" i="5" s="1"/>
  <c r="J30" i="7"/>
  <c r="J30" i="6"/>
  <c r="J30" i="5" s="1"/>
  <c r="J32" i="7"/>
  <c r="J32" i="6"/>
  <c r="J32" i="5" s="1"/>
  <c r="J34" i="7"/>
  <c r="J34" i="6"/>
  <c r="J34" i="5" s="1"/>
  <c r="J36" i="7"/>
  <c r="J36" i="6"/>
  <c r="J36" i="5" s="1"/>
  <c r="J37" i="7"/>
  <c r="J37" i="6"/>
  <c r="J37" i="5" s="1"/>
  <c r="J39" i="7"/>
  <c r="J39" i="6"/>
  <c r="J39" i="5" s="1"/>
  <c r="J41" i="7"/>
  <c r="J41" i="6"/>
  <c r="J41" i="5" s="1"/>
  <c r="J43" i="7"/>
  <c r="J43" i="6"/>
  <c r="J43" i="5" s="1"/>
  <c r="J45" i="7"/>
  <c r="J45" i="6"/>
  <c r="J45" i="5" s="1"/>
  <c r="J47" i="7"/>
  <c r="J47" i="5"/>
  <c r="J49" i="7"/>
  <c r="J49" i="5"/>
  <c r="J51" i="7"/>
  <c r="J51" i="5"/>
  <c r="J53" i="7"/>
  <c r="J53" i="5"/>
  <c r="J55" i="7"/>
  <c r="J55" i="5"/>
  <c r="J57" i="7"/>
  <c r="J57" i="5"/>
  <c r="J59" i="7"/>
  <c r="J59" i="5"/>
  <c r="J61" i="7"/>
  <c r="J61" i="5"/>
  <c r="J63" i="7"/>
  <c r="J63" i="5"/>
  <c r="J65" i="7"/>
  <c r="J65" i="5"/>
  <c r="J67" i="7"/>
  <c r="J67" i="5"/>
  <c r="J12" i="7"/>
  <c r="J12" i="6"/>
  <c r="J12" i="5" s="1"/>
  <c r="K5" i="6"/>
  <c r="K5" i="5" s="1"/>
  <c r="K5" i="7"/>
  <c r="K7"/>
  <c r="K7" i="6"/>
  <c r="K9" i="7"/>
  <c r="K9" i="6"/>
  <c r="K9" i="5" s="1"/>
  <c r="K11" i="7"/>
  <c r="K11" i="6"/>
  <c r="K13" i="7"/>
  <c r="K13" i="6"/>
  <c r="K13" i="5" s="1"/>
  <c r="K15" i="7"/>
  <c r="K15" i="6"/>
  <c r="K17" i="7"/>
  <c r="K17" i="6"/>
  <c r="K17" i="5" s="1"/>
  <c r="K19" i="7"/>
  <c r="K19" i="6"/>
  <c r="K21" i="7"/>
  <c r="K21" i="6"/>
  <c r="K21" i="5" s="1"/>
  <c r="K23" i="7"/>
  <c r="K23" i="6"/>
  <c r="K25" i="7"/>
  <c r="K25" i="6"/>
  <c r="K25" i="5" s="1"/>
  <c r="K28" i="7"/>
  <c r="K28" i="6"/>
  <c r="K28" i="5" s="1"/>
  <c r="K30" i="7"/>
  <c r="K30" i="6"/>
  <c r="K30" i="5" s="1"/>
  <c r="K32" i="7"/>
  <c r="K32" i="6"/>
  <c r="K32" i="5" s="1"/>
  <c r="K34" i="7"/>
  <c r="K34" i="6"/>
  <c r="K34" i="5" s="1"/>
  <c r="K36" i="7"/>
  <c r="K36" i="6"/>
  <c r="K36" i="5" s="1"/>
  <c r="K38" i="7"/>
  <c r="K38" i="6"/>
  <c r="K38" i="5" s="1"/>
  <c r="K40" i="7"/>
  <c r="K40" i="6"/>
  <c r="K40" i="5" s="1"/>
  <c r="K42" i="7"/>
  <c r="K42" i="6"/>
  <c r="K42" i="5" s="1"/>
  <c r="K44" i="7"/>
  <c r="K44" i="6"/>
  <c r="K44" i="5" s="1"/>
  <c r="K46" i="7"/>
  <c r="K46" i="6"/>
  <c r="K46" i="5" s="1"/>
  <c r="K48"/>
  <c r="K48" i="7"/>
  <c r="K50"/>
  <c r="K50" i="5"/>
  <c r="K52" i="7"/>
  <c r="K52" i="5"/>
  <c r="K56" i="7"/>
  <c r="K56" i="5"/>
  <c r="K58" i="7"/>
  <c r="K58" i="5"/>
  <c r="K60" i="7"/>
  <c r="K60" i="5"/>
  <c r="K62" i="7"/>
  <c r="K62" i="5"/>
  <c r="K64" i="7"/>
  <c r="K64" i="5"/>
  <c r="K66" i="7"/>
  <c r="K66" i="5"/>
  <c r="L5" i="7"/>
  <c r="L5" i="6"/>
  <c r="L5" i="5" s="1"/>
  <c r="L7" i="7"/>
  <c r="L7" i="6"/>
  <c r="L7" i="5" s="1"/>
  <c r="L9" i="7"/>
  <c r="L9" i="6"/>
  <c r="L11" i="7"/>
  <c r="L11" i="6"/>
  <c r="L11" i="5" s="1"/>
  <c r="L13" i="7"/>
  <c r="L13" i="6"/>
  <c r="L13" i="5" s="1"/>
  <c r="L15" i="7"/>
  <c r="L15" i="6"/>
  <c r="L15" i="5" s="1"/>
  <c r="L17" i="7"/>
  <c r="L17" i="6"/>
  <c r="L17" i="5" s="1"/>
  <c r="L19" i="7"/>
  <c r="L19" i="6"/>
  <c r="L21" i="7"/>
  <c r="L21" i="6"/>
  <c r="L21" i="5" s="1"/>
  <c r="L23" i="7"/>
  <c r="L23" i="6"/>
  <c r="L25" i="7"/>
  <c r="L25" i="6"/>
  <c r="L25" i="5" s="1"/>
  <c r="L28" i="7"/>
  <c r="L28" i="6"/>
  <c r="L30" i="7"/>
  <c r="L30" i="6"/>
  <c r="L30" i="5" s="1"/>
  <c r="L32" i="7"/>
  <c r="L32" i="6"/>
  <c r="L34" i="7"/>
  <c r="L34" i="6"/>
  <c r="L34" i="5" s="1"/>
  <c r="L36" i="7"/>
  <c r="L36" i="6"/>
  <c r="L38" i="7"/>
  <c r="L38" i="6"/>
  <c r="L38" i="5" s="1"/>
  <c r="L40" i="7"/>
  <c r="L40" i="6"/>
  <c r="L42" i="7"/>
  <c r="L42" i="6"/>
  <c r="L42" i="5" s="1"/>
  <c r="L44" i="7"/>
  <c r="L44" i="6"/>
  <c r="L44" i="5" s="1"/>
  <c r="L46" i="7"/>
  <c r="L46" i="6"/>
  <c r="L46" i="5" s="1"/>
  <c r="L48"/>
  <c r="L48" i="7"/>
  <c r="L50"/>
  <c r="L50" i="5"/>
  <c r="L52" i="7"/>
  <c r="L52" i="5"/>
  <c r="L55" i="7"/>
  <c r="L55" i="5"/>
  <c r="L57" i="7"/>
  <c r="L57" i="5"/>
  <c r="L59" i="7"/>
  <c r="L59" i="5"/>
  <c r="L61" i="7"/>
  <c r="L61" i="5"/>
  <c r="L63" i="7"/>
  <c r="L63" i="5"/>
  <c r="L65" i="7"/>
  <c r="L65" i="5"/>
  <c r="L67" i="7"/>
  <c r="L67" i="5"/>
  <c r="L27" i="7"/>
  <c r="L27" i="6"/>
  <c r="L27" i="5" s="1"/>
  <c r="M5" i="7"/>
  <c r="M5" i="6"/>
  <c r="M5" i="5" s="1"/>
  <c r="M7" i="7"/>
  <c r="M7" i="6"/>
  <c r="M7" i="5" s="1"/>
  <c r="M9" i="7"/>
  <c r="M9" i="6"/>
  <c r="M9" i="5" s="1"/>
  <c r="M11" i="7"/>
  <c r="M11" i="6"/>
  <c r="M11" i="5" s="1"/>
  <c r="M13" i="7"/>
  <c r="M13" i="6"/>
  <c r="M15" i="7"/>
  <c r="M15" i="6"/>
  <c r="M15" i="5" s="1"/>
  <c r="M17" i="7"/>
  <c r="M17" i="6"/>
  <c r="M19" i="7"/>
  <c r="M19" i="6"/>
  <c r="M19" i="5" s="1"/>
  <c r="M21" i="7"/>
  <c r="M21" i="6"/>
  <c r="M23" i="7"/>
  <c r="M23" i="6"/>
  <c r="M23" i="5" s="1"/>
  <c r="M25" i="7"/>
  <c r="M25" i="6"/>
  <c r="M27" i="7"/>
  <c r="M27" i="6"/>
  <c r="M27" i="5" s="1"/>
  <c r="M29" i="7"/>
  <c r="M29" i="6"/>
  <c r="M29" i="5" s="1"/>
  <c r="M31" i="7"/>
  <c r="M31" i="6"/>
  <c r="M31" i="5" s="1"/>
  <c r="M33" i="7"/>
  <c r="M33" i="6"/>
  <c r="M33" i="5" s="1"/>
  <c r="M35" i="7"/>
  <c r="M35" i="6"/>
  <c r="M35" i="5" s="1"/>
  <c r="M37" i="7"/>
  <c r="M37" i="6"/>
  <c r="M37" i="5" s="1"/>
  <c r="M39" i="7"/>
  <c r="M39" i="6"/>
  <c r="M39" i="5" s="1"/>
  <c r="M41" i="7"/>
  <c r="M41" i="6"/>
  <c r="M41" i="5" s="1"/>
  <c r="M43" i="7"/>
  <c r="M43" i="6"/>
  <c r="M43" i="5" s="1"/>
  <c r="M45" i="7"/>
  <c r="M45" i="6"/>
  <c r="M45" i="5" s="1"/>
  <c r="M47" i="7"/>
  <c r="M47" i="5"/>
  <c r="M49" i="7"/>
  <c r="M49" i="5"/>
  <c r="M51" i="7"/>
  <c r="M51" i="5"/>
  <c r="M53" i="7"/>
  <c r="M53" i="5"/>
  <c r="M55" i="7"/>
  <c r="M55" i="5"/>
  <c r="M57" i="7"/>
  <c r="M57" i="5"/>
  <c r="M59" i="7"/>
  <c r="M59" i="5"/>
  <c r="M61" i="7"/>
  <c r="M61" i="5"/>
  <c r="M63" i="7"/>
  <c r="M63" i="5"/>
  <c r="M65" i="7"/>
  <c r="M65" i="5"/>
  <c r="M67" i="7"/>
  <c r="M67" i="5"/>
  <c r="N5" i="7"/>
  <c r="N5" i="6"/>
  <c r="N7" i="7"/>
  <c r="N7" i="6"/>
  <c r="N7" i="5" s="1"/>
  <c r="N9" i="7"/>
  <c r="N9" i="6"/>
  <c r="N9" i="5" s="1"/>
  <c r="N11" i="7"/>
  <c r="N11" i="6"/>
  <c r="N11" i="5" s="1"/>
  <c r="N13" i="7"/>
  <c r="N13" i="6"/>
  <c r="N13" i="5" s="1"/>
  <c r="N15" i="7"/>
  <c r="N15" i="6"/>
  <c r="N17" i="7"/>
  <c r="N17" i="6"/>
  <c r="N19" i="7"/>
  <c r="N19" i="6"/>
  <c r="N21" i="7"/>
  <c r="N21" i="6"/>
  <c r="N23" i="7"/>
  <c r="N23" i="6"/>
  <c r="N25" i="7"/>
  <c r="N25" i="6"/>
  <c r="N27" i="7"/>
  <c r="N27" i="6"/>
  <c r="N29" i="7"/>
  <c r="N29" i="6"/>
  <c r="N31" i="7"/>
  <c r="N31" i="6"/>
  <c r="N33" i="7"/>
  <c r="N33" i="6"/>
  <c r="N35" i="7"/>
  <c r="N35" i="6"/>
  <c r="N37" i="7"/>
  <c r="N37" i="6"/>
  <c r="N39" i="7"/>
  <c r="N39" i="6"/>
  <c r="N41" i="7"/>
  <c r="N41" i="6"/>
  <c r="N43" i="7"/>
  <c r="N43" i="6"/>
  <c r="N45" i="7"/>
  <c r="N45" i="6"/>
  <c r="N47" i="7"/>
  <c r="N47" i="5"/>
  <c r="N49" i="7"/>
  <c r="N49" i="5"/>
  <c r="N51" i="7"/>
  <c r="N51" i="5"/>
  <c r="N53" i="7"/>
  <c r="N53" i="5"/>
  <c r="N55" i="7"/>
  <c r="N55" i="5"/>
  <c r="N57" i="7"/>
  <c r="N57" i="5"/>
  <c r="N59" i="7"/>
  <c r="N59" i="5"/>
  <c r="N61" i="7"/>
  <c r="N61" i="5"/>
  <c r="N63" i="7"/>
  <c r="N63" i="5"/>
  <c r="N65" i="7"/>
  <c r="N65" i="5"/>
  <c r="N67" i="7"/>
  <c r="N67" i="5"/>
  <c r="O5" i="7"/>
  <c r="O5" i="6"/>
  <c r="O5" i="5" s="1"/>
  <c r="O7" i="7"/>
  <c r="O7" i="6"/>
  <c r="O7" i="5" s="1"/>
  <c r="O9" i="7"/>
  <c r="O9" i="6"/>
  <c r="O9" i="5" s="1"/>
  <c r="O11" i="7"/>
  <c r="O11" i="6"/>
  <c r="O13" i="7"/>
  <c r="O13" i="6"/>
  <c r="O13" i="5" s="1"/>
  <c r="O15" i="7"/>
  <c r="O15" i="6"/>
  <c r="O15" i="5" s="1"/>
  <c r="O17" i="7"/>
  <c r="O17" i="6"/>
  <c r="O17" i="5" s="1"/>
  <c r="O19" i="7"/>
  <c r="O19" i="6"/>
  <c r="O19" i="5" s="1"/>
  <c r="O21" i="7"/>
  <c r="O21" i="6"/>
  <c r="O23" i="7"/>
  <c r="O23" i="6"/>
  <c r="O23" i="5" s="1"/>
  <c r="O25" i="7"/>
  <c r="O25" i="6"/>
  <c r="O25" i="5" s="1"/>
  <c r="O28" i="7"/>
  <c r="O28" i="6"/>
  <c r="O30" i="7"/>
  <c r="O30" i="6"/>
  <c r="O32" i="7"/>
  <c r="O32" i="6"/>
  <c r="O34" i="7"/>
  <c r="O34" i="6"/>
  <c r="O36" i="7"/>
  <c r="O36" i="6"/>
  <c r="O38" i="7"/>
  <c r="O38" i="6"/>
  <c r="O40" i="7"/>
  <c r="O40" i="6"/>
  <c r="O42" i="7"/>
  <c r="O42" i="6"/>
  <c r="O44" i="7"/>
  <c r="O44" i="6"/>
  <c r="O46" i="7"/>
  <c r="O46" i="6"/>
  <c r="O46" i="5" s="1"/>
  <c r="O48"/>
  <c r="O48" i="7"/>
  <c r="O50"/>
  <c r="O50" i="5"/>
  <c r="O52" i="7"/>
  <c r="O52" i="5"/>
  <c r="O56" i="7"/>
  <c r="O56" i="5"/>
  <c r="O58" i="7"/>
  <c r="O58" i="5"/>
  <c r="O60" i="7"/>
  <c r="O60" i="5"/>
  <c r="O62" i="7"/>
  <c r="O62" i="5"/>
  <c r="O64" i="7"/>
  <c r="O64" i="5"/>
  <c r="O66" i="7"/>
  <c r="O66" i="5"/>
  <c r="I39"/>
  <c r="C5" i="6"/>
  <c r="G61" i="13" l="1"/>
  <c r="G7" i="14" s="1"/>
  <c r="F105" i="13"/>
  <c r="D6" i="17"/>
  <c r="D10" i="52" s="1"/>
  <c r="D10" i="77" s="1"/>
  <c r="F73" i="13"/>
  <c r="T105"/>
  <c r="G125"/>
  <c r="G9" i="14" s="1"/>
  <c r="D9" i="59"/>
  <c r="N9" i="40"/>
  <c r="F181" i="13"/>
  <c r="G181" s="1"/>
  <c r="H181" s="1"/>
  <c r="I181" s="1"/>
  <c r="J181" s="1"/>
  <c r="K181" s="1"/>
  <c r="L181" s="1"/>
  <c r="M181" s="1"/>
  <c r="N181" s="1"/>
  <c r="E5" i="77"/>
  <c r="E5" i="59"/>
  <c r="U93" i="13"/>
  <c r="G19" i="14" s="1"/>
  <c r="E9" i="59"/>
  <c r="E8" i="77"/>
  <c r="F7"/>
  <c r="E9"/>
  <c r="E6" i="59"/>
  <c r="C11" i="52"/>
  <c r="C11" i="77" s="1"/>
  <c r="D7" i="17"/>
  <c r="F9" i="59"/>
  <c r="E8"/>
  <c r="E7"/>
  <c r="F6" i="52"/>
  <c r="F6" i="77" s="1"/>
  <c r="F18" i="14"/>
  <c r="G6" i="52"/>
  <c r="H9"/>
  <c r="G9"/>
  <c r="G9" i="77" s="1"/>
  <c r="G8" i="52"/>
  <c r="G8" i="77" s="1"/>
  <c r="H7" i="52"/>
  <c r="G7"/>
  <c r="G7" i="77" s="1"/>
  <c r="O9" i="37"/>
  <c r="N23" i="40" s="1"/>
  <c r="O10" i="38"/>
  <c r="O6"/>
  <c r="O8" i="37"/>
  <c r="F7" i="59"/>
  <c r="F8"/>
  <c r="R41" i="13"/>
  <c r="G9" i="59"/>
  <c r="S29" i="13"/>
  <c r="E17" i="14" s="1"/>
  <c r="G43" i="8"/>
  <c r="G43" i="9" s="1"/>
  <c r="C179" i="13"/>
  <c r="D179" s="1"/>
  <c r="E179" s="1"/>
  <c r="F179" s="1"/>
  <c r="G179" s="1"/>
  <c r="H179" s="1"/>
  <c r="I179" s="1"/>
  <c r="J179" s="1"/>
  <c r="K179" s="1"/>
  <c r="L179" s="1"/>
  <c r="M179" s="1"/>
  <c r="N179" s="1"/>
  <c r="C5" i="17"/>
  <c r="C4" i="52" s="1"/>
  <c r="I39" i="8"/>
  <c r="I39" i="9" s="1"/>
  <c r="I23" i="8"/>
  <c r="I23" i="9" s="1"/>
  <c r="D11" i="8"/>
  <c r="D11" i="9" s="1"/>
  <c r="D7" i="8"/>
  <c r="D7" i="9" s="1"/>
  <c r="G10" i="14"/>
  <c r="L39" i="8"/>
  <c r="L39" i="9" s="1"/>
  <c r="J40" i="8"/>
  <c r="J40" i="9" s="1"/>
  <c r="J27" i="8"/>
  <c r="J27" i="9" s="1"/>
  <c r="J20" i="8"/>
  <c r="J20" i="9" s="1"/>
  <c r="J14" i="8"/>
  <c r="J14" i="9" s="1"/>
  <c r="C67" i="8"/>
  <c r="C67" i="9" s="1"/>
  <c r="G29" i="8"/>
  <c r="G29" i="9" s="1"/>
  <c r="G37" i="8"/>
  <c r="G37" i="9" s="1"/>
  <c r="C63" i="8"/>
  <c r="C63" i="9" s="1"/>
  <c r="K33" i="8"/>
  <c r="K33" i="9" s="1"/>
  <c r="L31" i="8"/>
  <c r="L31" i="9" s="1"/>
  <c r="K26" i="8"/>
  <c r="K26" i="9" s="1"/>
  <c r="C59" i="8"/>
  <c r="C59" i="9" s="1"/>
  <c r="C55" i="8"/>
  <c r="C55" i="9" s="1"/>
  <c r="O43" i="8"/>
  <c r="O43" i="9" s="1"/>
  <c r="O41" i="8"/>
  <c r="O41" i="9" s="1"/>
  <c r="O37" i="8"/>
  <c r="O37" i="9" s="1"/>
  <c r="O14" i="8"/>
  <c r="O14" i="9" s="1"/>
  <c r="O10" i="8"/>
  <c r="O10" i="9" s="1"/>
  <c r="N46" i="8"/>
  <c r="N46" i="9" s="1"/>
  <c r="N44" i="8"/>
  <c r="N44" i="9" s="1"/>
  <c r="N40" i="8"/>
  <c r="N40" i="9" s="1"/>
  <c r="N38" i="8"/>
  <c r="N38" i="9" s="1"/>
  <c r="N36" i="8"/>
  <c r="N36" i="9" s="1"/>
  <c r="N34" i="8"/>
  <c r="N34" i="9" s="1"/>
  <c r="N32" i="8"/>
  <c r="N32" i="9" s="1"/>
  <c r="N30" i="8"/>
  <c r="N30" i="9" s="1"/>
  <c r="N28" i="8"/>
  <c r="N28" i="9" s="1"/>
  <c r="N14" i="8"/>
  <c r="N14" i="9" s="1"/>
  <c r="N10" i="8"/>
  <c r="N10" i="9" s="1"/>
  <c r="M46" i="8"/>
  <c r="M46" i="9" s="1"/>
  <c r="M44" i="8"/>
  <c r="M44" i="9" s="1"/>
  <c r="M42" i="8"/>
  <c r="M42" i="9" s="1"/>
  <c r="M40" i="8"/>
  <c r="M40" i="9" s="1"/>
  <c r="M38" i="8"/>
  <c r="M38" i="9" s="1"/>
  <c r="M36" i="8"/>
  <c r="M36" i="9" s="1"/>
  <c r="M34" i="8"/>
  <c r="M34" i="9" s="1"/>
  <c r="M32" i="8"/>
  <c r="M32" i="9" s="1"/>
  <c r="M30" i="8"/>
  <c r="M30" i="9" s="1"/>
  <c r="M28" i="8"/>
  <c r="M28" i="9" s="1"/>
  <c r="M26" i="8"/>
  <c r="M26" i="9" s="1"/>
  <c r="M24" i="8"/>
  <c r="M24" i="9" s="1"/>
  <c r="M22" i="8"/>
  <c r="M22" i="9" s="1"/>
  <c r="M18" i="8"/>
  <c r="M18" i="9" s="1"/>
  <c r="M12" i="8"/>
  <c r="M12" i="9" s="1"/>
  <c r="M10" i="8"/>
  <c r="M10" i="9" s="1"/>
  <c r="L45" i="8"/>
  <c r="L45" i="9" s="1"/>
  <c r="L43" i="8"/>
  <c r="L43" i="9" s="1"/>
  <c r="L41" i="8"/>
  <c r="L41" i="9" s="1"/>
  <c r="L37" i="8"/>
  <c r="L37" i="9" s="1"/>
  <c r="L35" i="8"/>
  <c r="L35" i="9" s="1"/>
  <c r="L33" i="8"/>
  <c r="L33" i="9" s="1"/>
  <c r="L29" i="8"/>
  <c r="L29" i="9" s="1"/>
  <c r="L26" i="8"/>
  <c r="L26" i="9" s="1"/>
  <c r="L24" i="8"/>
  <c r="L24" i="9" s="1"/>
  <c r="L22" i="8"/>
  <c r="L22" i="9" s="1"/>
  <c r="L20" i="8"/>
  <c r="L20" i="9" s="1"/>
  <c r="L18" i="8"/>
  <c r="L18" i="9" s="1"/>
  <c r="L16" i="8"/>
  <c r="L16" i="9" s="1"/>
  <c r="L12" i="8"/>
  <c r="L12" i="9" s="1"/>
  <c r="L10" i="8"/>
  <c r="L10" i="9" s="1"/>
  <c r="L8" i="8"/>
  <c r="L8" i="9" s="1"/>
  <c r="K27" i="8"/>
  <c r="K27" i="9" s="1"/>
  <c r="K45" i="8"/>
  <c r="K45" i="9" s="1"/>
  <c r="K43" i="8"/>
  <c r="K43" i="9" s="1"/>
  <c r="K41" i="8"/>
  <c r="K41" i="9" s="1"/>
  <c r="K39" i="8"/>
  <c r="K39" i="9" s="1"/>
  <c r="K37" i="8"/>
  <c r="K37" i="9" s="1"/>
  <c r="K35" i="8"/>
  <c r="K35" i="9" s="1"/>
  <c r="K31" i="8"/>
  <c r="K31" i="9" s="1"/>
  <c r="K29" i="8"/>
  <c r="K29" i="9" s="1"/>
  <c r="K24" i="8"/>
  <c r="K24" i="9" s="1"/>
  <c r="K22" i="8"/>
  <c r="K22" i="9" s="1"/>
  <c r="K20" i="8"/>
  <c r="K20" i="9" s="1"/>
  <c r="K18" i="8"/>
  <c r="K18" i="9" s="1"/>
  <c r="K16" i="8"/>
  <c r="K16" i="9" s="1"/>
  <c r="K14" i="8"/>
  <c r="K14" i="9" s="1"/>
  <c r="K12" i="8"/>
  <c r="K12" i="9" s="1"/>
  <c r="K10" i="8"/>
  <c r="K10" i="9" s="1"/>
  <c r="K8" i="8"/>
  <c r="K8" i="9" s="1"/>
  <c r="J44" i="8"/>
  <c r="J44" i="9" s="1"/>
  <c r="J42" i="8"/>
  <c r="J42" i="9" s="1"/>
  <c r="J38" i="8"/>
  <c r="J38" i="9" s="1"/>
  <c r="I37" i="8"/>
  <c r="I37" i="9" s="1"/>
  <c r="J35" i="8"/>
  <c r="J35" i="9" s="1"/>
  <c r="J33" i="8"/>
  <c r="J33" i="9" s="1"/>
  <c r="J31" i="8"/>
  <c r="J31" i="9" s="1"/>
  <c r="J29" i="8"/>
  <c r="J29" i="9" s="1"/>
  <c r="J26" i="8"/>
  <c r="J26" i="9" s="1"/>
  <c r="J24" i="8"/>
  <c r="J24" i="9" s="1"/>
  <c r="J22" i="8"/>
  <c r="J22" i="9" s="1"/>
  <c r="J7" i="8"/>
  <c r="J7" i="9" s="1"/>
  <c r="C51" i="8"/>
  <c r="C51" i="9" s="1"/>
  <c r="H9" i="8"/>
  <c r="H9" i="9" s="1"/>
  <c r="L7" i="8"/>
  <c r="L7" i="9" s="1"/>
  <c r="H5" i="8"/>
  <c r="H5" i="9" s="1"/>
  <c r="C47" i="8"/>
  <c r="C47" i="9" s="1"/>
  <c r="L14" i="8"/>
  <c r="L14" i="9" s="1"/>
  <c r="J16" i="8"/>
  <c r="J16" i="9" s="1"/>
  <c r="J9" i="8"/>
  <c r="J9" i="9" s="1"/>
  <c r="I43" i="8"/>
  <c r="I43" i="9" s="1"/>
  <c r="I41" i="8"/>
  <c r="I41" i="9" s="1"/>
  <c r="I36" i="8"/>
  <c r="I36" i="9" s="1"/>
  <c r="I34" i="8"/>
  <c r="I34" i="9" s="1"/>
  <c r="I19" i="8"/>
  <c r="I19" i="9" s="1"/>
  <c r="I15" i="8"/>
  <c r="I15" i="9" s="1"/>
  <c r="I7" i="8"/>
  <c r="I7" i="9" s="1"/>
  <c r="G33" i="8"/>
  <c r="G33" i="9" s="1"/>
  <c r="G41" i="8"/>
  <c r="G41" i="9" s="1"/>
  <c r="C43" i="8"/>
  <c r="C39"/>
  <c r="C39" i="9" s="1"/>
  <c r="O39" i="8"/>
  <c r="O39" i="9" s="1"/>
  <c r="O24" i="8"/>
  <c r="O24" i="9" s="1"/>
  <c r="O20" i="8"/>
  <c r="O20" i="9" s="1"/>
  <c r="O16" i="8"/>
  <c r="O16" i="9" s="1"/>
  <c r="M8" i="8"/>
  <c r="M8" i="9" s="1"/>
  <c r="J18" i="8"/>
  <c r="J18" i="9" s="1"/>
  <c r="J11" i="8"/>
  <c r="J11" i="9" s="1"/>
  <c r="I32" i="8"/>
  <c r="I32" i="9" s="1"/>
  <c r="O5" i="8"/>
  <c r="O5" i="9" s="1"/>
  <c r="O66" i="8"/>
  <c r="O66" i="9" s="1"/>
  <c r="O64" i="8"/>
  <c r="O64" i="9" s="1"/>
  <c r="O62" i="8"/>
  <c r="O62" i="9" s="1"/>
  <c r="O60" i="8"/>
  <c r="O60" i="9" s="1"/>
  <c r="E16" i="8"/>
  <c r="E16" i="9" s="1"/>
  <c r="D24" i="8"/>
  <c r="D24" i="9" s="1"/>
  <c r="D8" i="8"/>
  <c r="D8" i="9" s="1"/>
  <c r="C46" i="8"/>
  <c r="C44"/>
  <c r="I30"/>
  <c r="I30" i="9" s="1"/>
  <c r="I28" i="8"/>
  <c r="I28" i="9" s="1"/>
  <c r="I25" i="8"/>
  <c r="I25" i="9" s="1"/>
  <c r="I21" i="8"/>
  <c r="I21" i="9" s="1"/>
  <c r="I17" i="8"/>
  <c r="I17" i="9" s="1"/>
  <c r="I11" i="8"/>
  <c r="I11" i="9" s="1"/>
  <c r="I9" i="8"/>
  <c r="I9" i="9" s="1"/>
  <c r="I5" i="8"/>
  <c r="I5" i="9" s="1"/>
  <c r="G31" i="8"/>
  <c r="G31" i="9" s="1"/>
  <c r="G35" i="8"/>
  <c r="G35" i="9" s="1"/>
  <c r="G39" i="8"/>
  <c r="G39" i="9" s="1"/>
  <c r="G45" i="8"/>
  <c r="G45" i="9" s="1"/>
  <c r="O58" i="8"/>
  <c r="O58" i="9" s="1"/>
  <c r="O56" i="8"/>
  <c r="O56" i="9" s="1"/>
  <c r="O52" i="8"/>
  <c r="O52" i="9" s="1"/>
  <c r="O50" i="8"/>
  <c r="O50" i="9" s="1"/>
  <c r="O48" i="8"/>
  <c r="O48" i="9" s="1"/>
  <c r="O46" i="8"/>
  <c r="O46" i="9" s="1"/>
  <c r="O13" i="8"/>
  <c r="O13" i="9" s="1"/>
  <c r="O9" i="8"/>
  <c r="O9" i="9" s="1"/>
  <c r="N67" i="8"/>
  <c r="N67" i="9" s="1"/>
  <c r="N65" i="8"/>
  <c r="N65" i="9" s="1"/>
  <c r="N63" i="8"/>
  <c r="N63" i="9" s="1"/>
  <c r="N61" i="8"/>
  <c r="N61" i="9" s="1"/>
  <c r="N59" i="8"/>
  <c r="N59" i="9" s="1"/>
  <c r="N57" i="8"/>
  <c r="N57" i="9" s="1"/>
  <c r="N55" i="8"/>
  <c r="N55" i="9" s="1"/>
  <c r="N53" i="8"/>
  <c r="N53" i="9" s="1"/>
  <c r="N51" i="8"/>
  <c r="N51" i="9" s="1"/>
  <c r="N49" i="8"/>
  <c r="N49" i="9" s="1"/>
  <c r="N47" i="8"/>
  <c r="N47" i="9" s="1"/>
  <c r="N13" i="8"/>
  <c r="N13" i="9" s="1"/>
  <c r="N11" i="8"/>
  <c r="N11" i="9" s="1"/>
  <c r="N9" i="8"/>
  <c r="N9" i="9" s="1"/>
  <c r="N7" i="8"/>
  <c r="N7" i="9" s="1"/>
  <c r="M67" i="8"/>
  <c r="M67" i="9" s="1"/>
  <c r="M65" i="8"/>
  <c r="M65" i="9" s="1"/>
  <c r="M63" i="8"/>
  <c r="M63" i="9" s="1"/>
  <c r="M61" i="8"/>
  <c r="M61" i="9" s="1"/>
  <c r="M59" i="8"/>
  <c r="M59" i="9" s="1"/>
  <c r="M57" i="8"/>
  <c r="M57" i="9" s="1"/>
  <c r="M55" i="8"/>
  <c r="M55" i="9" s="1"/>
  <c r="M53" i="8"/>
  <c r="M53" i="9" s="1"/>
  <c r="M51" i="8"/>
  <c r="M51" i="9" s="1"/>
  <c r="M49" i="8"/>
  <c r="M49" i="9" s="1"/>
  <c r="M47" i="8"/>
  <c r="M47" i="9" s="1"/>
  <c r="M45" i="8"/>
  <c r="M45" i="9" s="1"/>
  <c r="M43" i="8"/>
  <c r="M43" i="9" s="1"/>
  <c r="M11" i="8"/>
  <c r="M11" i="9" s="1"/>
  <c r="M9" i="8"/>
  <c r="M9" i="9" s="1"/>
  <c r="M7" i="8"/>
  <c r="M7" i="9" s="1"/>
  <c r="M5" i="8"/>
  <c r="M5" i="9" s="1"/>
  <c r="L67" i="8"/>
  <c r="L67" i="9" s="1"/>
  <c r="L65" i="8"/>
  <c r="L65" i="9" s="1"/>
  <c r="L63" i="8"/>
  <c r="L63" i="9" s="1"/>
  <c r="L61" i="8"/>
  <c r="L61" i="9" s="1"/>
  <c r="L59" i="8"/>
  <c r="L59" i="9" s="1"/>
  <c r="L57" i="8"/>
  <c r="L57" i="9" s="1"/>
  <c r="L55" i="8"/>
  <c r="L55" i="9" s="1"/>
  <c r="L52" i="8"/>
  <c r="L52" i="9" s="1"/>
  <c r="L50" i="8"/>
  <c r="L50" i="9" s="1"/>
  <c r="L44" i="8"/>
  <c r="L44" i="9" s="1"/>
  <c r="L42" i="8"/>
  <c r="L42" i="9" s="1"/>
  <c r="K13" i="8"/>
  <c r="K13" i="9" s="1"/>
  <c r="H7" i="8"/>
  <c r="H7" i="9" s="1"/>
  <c r="J46" i="8"/>
  <c r="J46" i="9" s="1"/>
  <c r="I45" i="8"/>
  <c r="I45" i="9" s="1"/>
  <c r="L48" i="8"/>
  <c r="L48" i="9" s="1"/>
  <c r="K5" i="8"/>
  <c r="K5" i="9" s="1"/>
  <c r="I13" i="8"/>
  <c r="I13" i="9" s="1"/>
  <c r="N42" i="8"/>
  <c r="N42" i="9" s="1"/>
  <c r="F41" i="8"/>
  <c r="F41" i="9" s="1"/>
  <c r="E19" i="8"/>
  <c r="E19" i="9" s="1"/>
  <c r="E33" i="8"/>
  <c r="E33" i="9" s="1"/>
  <c r="E24" i="8"/>
  <c r="E24" i="9" s="1"/>
  <c r="E20" i="8"/>
  <c r="E20" i="9" s="1"/>
  <c r="E18" i="8"/>
  <c r="E18" i="9" s="1"/>
  <c r="E30" i="8"/>
  <c r="E30" i="9" s="1"/>
  <c r="F27" i="8"/>
  <c r="F27" i="9" s="1"/>
  <c r="F19" i="8"/>
  <c r="F19" i="9" s="1"/>
  <c r="F15" i="8"/>
  <c r="F15" i="9" s="1"/>
  <c r="O12" i="8"/>
  <c r="O12" i="9" s="1"/>
  <c r="O8" i="8"/>
  <c r="O8" i="9" s="1"/>
  <c r="D9" i="8"/>
  <c r="D9" i="9" s="1"/>
  <c r="F44" i="8"/>
  <c r="F44" i="9" s="1"/>
  <c r="F10" i="8"/>
  <c r="F10" i="9" s="1"/>
  <c r="D41" i="8"/>
  <c r="D41" i="9" s="1"/>
  <c r="D33" i="8"/>
  <c r="D33" i="9" s="1"/>
  <c r="D29" i="8"/>
  <c r="D29" i="9" s="1"/>
  <c r="D26" i="8"/>
  <c r="D26" i="9" s="1"/>
  <c r="F29" i="8"/>
  <c r="F29" i="9" s="1"/>
  <c r="F9" i="8"/>
  <c r="F9" i="9" s="1"/>
  <c r="G7" i="8"/>
  <c r="G7" i="9" s="1"/>
  <c r="F43" i="8"/>
  <c r="F43" i="9" s="1"/>
  <c r="E35" i="8"/>
  <c r="E35" i="9" s="1"/>
  <c r="E28" i="8"/>
  <c r="E28" i="9" s="1"/>
  <c r="E23" i="8"/>
  <c r="E23" i="9" s="1"/>
  <c r="D5" i="8"/>
  <c r="D5" i="9" s="1"/>
  <c r="E40" i="8"/>
  <c r="E40" i="9" s="1"/>
  <c r="E36" i="8"/>
  <c r="E36" i="9" s="1"/>
  <c r="E34" i="8"/>
  <c r="E34" i="9" s="1"/>
  <c r="D27" i="8"/>
  <c r="D27" i="9" s="1"/>
  <c r="D45" i="8"/>
  <c r="D45" i="9" s="1"/>
  <c r="D43" i="8"/>
  <c r="D43" i="9" s="1"/>
  <c r="D16" i="8"/>
  <c r="D16" i="9" s="1"/>
  <c r="D14" i="5"/>
  <c r="D14" i="8" s="1"/>
  <c r="D14" i="9" s="1"/>
  <c r="C36" i="8"/>
  <c r="F37"/>
  <c r="F37" i="9" s="1"/>
  <c r="F33" i="8"/>
  <c r="F33" i="9" s="1"/>
  <c r="E43" i="8"/>
  <c r="E43" i="9" s="1"/>
  <c r="E37" i="8"/>
  <c r="E37" i="9" s="1"/>
  <c r="E27" i="8"/>
  <c r="E27" i="9" s="1"/>
  <c r="O67" i="8"/>
  <c r="O67" i="9" s="1"/>
  <c r="O65" i="8"/>
  <c r="O65" i="9" s="1"/>
  <c r="O63" i="8"/>
  <c r="O63" i="9" s="1"/>
  <c r="O61" i="8"/>
  <c r="O61" i="9" s="1"/>
  <c r="O59" i="8"/>
  <c r="O59" i="9" s="1"/>
  <c r="O57" i="8"/>
  <c r="O57" i="9" s="1"/>
  <c r="O55" i="8"/>
  <c r="O55" i="9" s="1"/>
  <c r="O53" i="8"/>
  <c r="O53" i="9" s="1"/>
  <c r="O51" i="8"/>
  <c r="O51" i="9" s="1"/>
  <c r="O49" i="8"/>
  <c r="O49" i="9" s="1"/>
  <c r="O47" i="8"/>
  <c r="O47" i="9" s="1"/>
  <c r="O45" i="8"/>
  <c r="O45" i="9" s="1"/>
  <c r="N12" i="8"/>
  <c r="N12" i="9" s="1"/>
  <c r="F35" i="8"/>
  <c r="F35" i="9" s="1"/>
  <c r="F31" i="8"/>
  <c r="F31" i="9" s="1"/>
  <c r="E45" i="8"/>
  <c r="E45" i="9" s="1"/>
  <c r="E39" i="8"/>
  <c r="E39" i="9" s="1"/>
  <c r="D15" i="8"/>
  <c r="D15" i="9" s="1"/>
  <c r="H66" i="8"/>
  <c r="H66" i="9" s="1"/>
  <c r="H64" i="8"/>
  <c r="H64" i="9" s="1"/>
  <c r="H60" i="8"/>
  <c r="H60" i="9" s="1"/>
  <c r="H56" i="8"/>
  <c r="H56" i="9" s="1"/>
  <c r="H50" i="8"/>
  <c r="H50" i="9" s="1"/>
  <c r="H44" i="8"/>
  <c r="H44" i="9" s="1"/>
  <c r="H12" i="8"/>
  <c r="H12" i="9" s="1"/>
  <c r="H10" i="8"/>
  <c r="H10" i="9" s="1"/>
  <c r="E44" i="8"/>
  <c r="E44" i="9" s="1"/>
  <c r="E42" i="8"/>
  <c r="E42" i="9" s="1"/>
  <c r="E29" i="8"/>
  <c r="E29" i="9" s="1"/>
  <c r="E26" i="8"/>
  <c r="E26" i="9" s="1"/>
  <c r="D37" i="8"/>
  <c r="D37" i="9" s="1"/>
  <c r="D35" i="8"/>
  <c r="D35" i="9" s="1"/>
  <c r="D20" i="8"/>
  <c r="D20" i="9" s="1"/>
  <c r="D18" i="8"/>
  <c r="D18" i="9" s="1"/>
  <c r="C40" i="8"/>
  <c r="C38"/>
  <c r="F21"/>
  <c r="F21" i="9" s="1"/>
  <c r="F17" i="8"/>
  <c r="F17" i="9" s="1"/>
  <c r="F13" i="8"/>
  <c r="F13" i="9" s="1"/>
  <c r="F5" i="8"/>
  <c r="F5" i="9" s="1"/>
  <c r="E65" i="8"/>
  <c r="E65" i="9" s="1"/>
  <c r="E61" i="8"/>
  <c r="E61" i="9" s="1"/>
  <c r="E57" i="8"/>
  <c r="E57" i="9" s="1"/>
  <c r="E51" i="8"/>
  <c r="E51" i="9" s="1"/>
  <c r="E47" i="8"/>
  <c r="E47" i="9" s="1"/>
  <c r="E21" i="8"/>
  <c r="E21" i="9" s="1"/>
  <c r="E17" i="8"/>
  <c r="E17" i="9" s="1"/>
  <c r="E11" i="8"/>
  <c r="E11" i="9" s="1"/>
  <c r="E7" i="8"/>
  <c r="E7" i="9" s="1"/>
  <c r="E5" i="8"/>
  <c r="E5" i="9" s="1"/>
  <c r="D52" i="8"/>
  <c r="D52" i="9" s="1"/>
  <c r="D50" i="8"/>
  <c r="D50" i="9" s="1"/>
  <c r="D48" i="8"/>
  <c r="D48" i="9" s="1"/>
  <c r="L15" i="8"/>
  <c r="L15" i="9" s="1"/>
  <c r="L13" i="8"/>
  <c r="L13" i="9" s="1"/>
  <c r="L11" i="8"/>
  <c r="L11" i="9" s="1"/>
  <c r="L5" i="8"/>
  <c r="L5" i="9" s="1"/>
  <c r="K66" i="8"/>
  <c r="K66" i="9" s="1"/>
  <c r="K64" i="8"/>
  <c r="K64" i="9" s="1"/>
  <c r="K62" i="8"/>
  <c r="K62" i="9" s="1"/>
  <c r="K60" i="8"/>
  <c r="K60" i="9" s="1"/>
  <c r="K58" i="8"/>
  <c r="K58" i="9" s="1"/>
  <c r="K56" i="8"/>
  <c r="K56" i="9" s="1"/>
  <c r="K52" i="8"/>
  <c r="K52" i="9" s="1"/>
  <c r="K50" i="8"/>
  <c r="K50" i="9" s="1"/>
  <c r="K48" i="8"/>
  <c r="K48" i="9" s="1"/>
  <c r="K46" i="8"/>
  <c r="K46" i="9" s="1"/>
  <c r="K9" i="8"/>
  <c r="K9" i="9" s="1"/>
  <c r="J67" i="8"/>
  <c r="J67" i="9" s="1"/>
  <c r="J65" i="8"/>
  <c r="J65" i="9" s="1"/>
  <c r="J63" i="8"/>
  <c r="J63" i="9" s="1"/>
  <c r="J61" i="8"/>
  <c r="J61" i="9" s="1"/>
  <c r="J59" i="8"/>
  <c r="J59" i="9" s="1"/>
  <c r="J57" i="8"/>
  <c r="J57" i="9" s="1"/>
  <c r="J55" i="8"/>
  <c r="J55" i="9" s="1"/>
  <c r="J53" i="8"/>
  <c r="J53" i="9" s="1"/>
  <c r="J51" i="8"/>
  <c r="J51" i="9" s="1"/>
  <c r="J49" i="8"/>
  <c r="J49" i="9" s="1"/>
  <c r="J47" i="8"/>
  <c r="J47" i="9" s="1"/>
  <c r="J15" i="8"/>
  <c r="J15" i="9" s="1"/>
  <c r="J13" i="8"/>
  <c r="J13" i="9" s="1"/>
  <c r="J10" i="8"/>
  <c r="J10" i="9" s="1"/>
  <c r="I66" i="8"/>
  <c r="I66" i="9" s="1"/>
  <c r="I64" i="8"/>
  <c r="I64" i="9" s="1"/>
  <c r="I62" i="8"/>
  <c r="I62" i="9" s="1"/>
  <c r="I60" i="8"/>
  <c r="I60" i="9" s="1"/>
  <c r="I58" i="8"/>
  <c r="I58" i="9" s="1"/>
  <c r="I56" i="8"/>
  <c r="I56" i="9" s="1"/>
  <c r="I52" i="8"/>
  <c r="I52" i="9" s="1"/>
  <c r="I50" i="8"/>
  <c r="I50" i="9" s="1"/>
  <c r="I48" i="8"/>
  <c r="I48" i="9" s="1"/>
  <c r="I14" i="8"/>
  <c r="I14" i="9" s="1"/>
  <c r="I10" i="8"/>
  <c r="I10" i="9" s="1"/>
  <c r="I6" i="8"/>
  <c r="I6" i="9" s="1"/>
  <c r="H67" i="8"/>
  <c r="H67" i="9" s="1"/>
  <c r="H65" i="8"/>
  <c r="H65" i="9" s="1"/>
  <c r="H63" i="8"/>
  <c r="H63" i="9" s="1"/>
  <c r="H61" i="8"/>
  <c r="H61" i="9" s="1"/>
  <c r="H59" i="8"/>
  <c r="H59" i="9" s="1"/>
  <c r="H57" i="8"/>
  <c r="H57" i="9" s="1"/>
  <c r="H55" i="8"/>
  <c r="H55" i="9" s="1"/>
  <c r="H53" i="8"/>
  <c r="H53" i="9" s="1"/>
  <c r="G9" i="8"/>
  <c r="G9" i="9" s="1"/>
  <c r="F39" i="8"/>
  <c r="F39" i="9" s="1"/>
  <c r="F23" i="8"/>
  <c r="F23" i="9" s="1"/>
  <c r="F11" i="8"/>
  <c r="F11" i="9" s="1"/>
  <c r="F7" i="8"/>
  <c r="F7" i="9" s="1"/>
  <c r="E67" i="8"/>
  <c r="E67" i="9" s="1"/>
  <c r="E63" i="8"/>
  <c r="E63" i="9" s="1"/>
  <c r="E59" i="8"/>
  <c r="E59" i="9" s="1"/>
  <c r="E55" i="8"/>
  <c r="E55" i="9" s="1"/>
  <c r="E53" i="8"/>
  <c r="E53" i="9" s="1"/>
  <c r="E49" i="8"/>
  <c r="E32"/>
  <c r="E32" i="9" s="1"/>
  <c r="H8" i="8"/>
  <c r="H8" i="9" s="1"/>
  <c r="F14" i="8"/>
  <c r="F14" i="9" s="1"/>
  <c r="E46" i="8"/>
  <c r="E46" i="9" s="1"/>
  <c r="E38" i="8"/>
  <c r="E38" i="9" s="1"/>
  <c r="E31" i="8"/>
  <c r="E31" i="9" s="1"/>
  <c r="E22" i="8"/>
  <c r="E22" i="9" s="1"/>
  <c r="E10" i="8"/>
  <c r="E10" i="9" s="1"/>
  <c r="C35" i="8"/>
  <c r="D39"/>
  <c r="D39" i="9" s="1"/>
  <c r="D31" i="8"/>
  <c r="D31" i="9" s="1"/>
  <c r="D22" i="8"/>
  <c r="D22" i="9" s="1"/>
  <c r="C48" i="8"/>
  <c r="C42"/>
  <c r="F45"/>
  <c r="F45" i="9" s="1"/>
  <c r="F25" i="8"/>
  <c r="F25" i="9" s="1"/>
  <c r="E41" i="8"/>
  <c r="E41" i="9" s="1"/>
  <c r="E25" i="8"/>
  <c r="E25" i="9" s="1"/>
  <c r="D44" i="8"/>
  <c r="D44" i="9" s="1"/>
  <c r="D42" i="8"/>
  <c r="D42" i="9" s="1"/>
  <c r="D38" i="8"/>
  <c r="D38" i="9" s="1"/>
  <c r="D36" i="8"/>
  <c r="D36" i="9" s="1"/>
  <c r="D34" i="8"/>
  <c r="D34" i="9" s="1"/>
  <c r="D30" i="8"/>
  <c r="D30" i="9" s="1"/>
  <c r="D25" i="8"/>
  <c r="D25" i="9" s="1"/>
  <c r="D21" i="8"/>
  <c r="D21" i="9" s="1"/>
  <c r="D17" i="8"/>
  <c r="D17" i="9" s="1"/>
  <c r="F12" i="8"/>
  <c r="F12" i="9" s="1"/>
  <c r="E8" i="8"/>
  <c r="E8" i="9" s="1"/>
  <c r="O25" i="8"/>
  <c r="O25" i="9" s="1"/>
  <c r="O17" i="8"/>
  <c r="O17" i="9" s="1"/>
  <c r="O7" i="8"/>
  <c r="O7" i="9" s="1"/>
  <c r="M41" i="8"/>
  <c r="M41" i="9" s="1"/>
  <c r="M39" i="8"/>
  <c r="M39" i="9" s="1"/>
  <c r="M37" i="8"/>
  <c r="M37" i="9" s="1"/>
  <c r="M35" i="8"/>
  <c r="M35" i="9" s="1"/>
  <c r="M33" i="8"/>
  <c r="M33" i="9" s="1"/>
  <c r="M31" i="8"/>
  <c r="M31" i="9" s="1"/>
  <c r="M29" i="8"/>
  <c r="M29" i="9" s="1"/>
  <c r="M27" i="8"/>
  <c r="M27" i="9" s="1"/>
  <c r="M23" i="8"/>
  <c r="M23" i="9" s="1"/>
  <c r="M19" i="8"/>
  <c r="M19" i="9" s="1"/>
  <c r="M15" i="8"/>
  <c r="M15" i="9" s="1"/>
  <c r="K44" i="8"/>
  <c r="K44" i="9" s="1"/>
  <c r="K42" i="8"/>
  <c r="K42" i="9" s="1"/>
  <c r="K40" i="8"/>
  <c r="K40" i="9" s="1"/>
  <c r="K38" i="8"/>
  <c r="K38" i="9" s="1"/>
  <c r="K36" i="8"/>
  <c r="K36" i="9" s="1"/>
  <c r="K34" i="8"/>
  <c r="K34" i="9" s="1"/>
  <c r="K32" i="8"/>
  <c r="K32" i="9" s="1"/>
  <c r="K30" i="8"/>
  <c r="K30" i="9" s="1"/>
  <c r="K28" i="8"/>
  <c r="K28" i="9" s="1"/>
  <c r="K25" i="8"/>
  <c r="K25" i="9" s="1"/>
  <c r="K21" i="8"/>
  <c r="K21" i="9" s="1"/>
  <c r="K17" i="8"/>
  <c r="K17" i="9" s="1"/>
  <c r="J45" i="8"/>
  <c r="J45" i="9" s="1"/>
  <c r="J43" i="8"/>
  <c r="J43" i="9" s="1"/>
  <c r="J41" i="8"/>
  <c r="J41" i="9" s="1"/>
  <c r="J39" i="8"/>
  <c r="J39" i="9" s="1"/>
  <c r="J37" i="8"/>
  <c r="J37" i="9" s="1"/>
  <c r="J36" i="8"/>
  <c r="J36" i="9" s="1"/>
  <c r="J34" i="8"/>
  <c r="J34" i="9" s="1"/>
  <c r="J32" i="8"/>
  <c r="J32" i="9" s="1"/>
  <c r="J30" i="8"/>
  <c r="J30" i="9" s="1"/>
  <c r="J28" i="8"/>
  <c r="J28" i="9" s="1"/>
  <c r="I27" i="8"/>
  <c r="I27" i="9" s="1"/>
  <c r="J25" i="8"/>
  <c r="J25" i="9" s="1"/>
  <c r="J23" i="8"/>
  <c r="J23" i="9" s="1"/>
  <c r="J21" i="8"/>
  <c r="J21" i="9" s="1"/>
  <c r="J19" i="8"/>
  <c r="J19" i="9" s="1"/>
  <c r="J17" i="8"/>
  <c r="J17" i="9" s="1"/>
  <c r="I46" i="8"/>
  <c r="I46" i="9" s="1"/>
  <c r="I44" i="8"/>
  <c r="I44" i="9" s="1"/>
  <c r="I42" i="8"/>
  <c r="I42" i="9" s="1"/>
  <c r="I40" i="8"/>
  <c r="I40" i="9" s="1"/>
  <c r="I38" i="8"/>
  <c r="I38" i="9" s="1"/>
  <c r="I35" i="8"/>
  <c r="I35" i="9" s="1"/>
  <c r="I33" i="8"/>
  <c r="I33" i="9" s="1"/>
  <c r="I31" i="8"/>
  <c r="I31" i="9" s="1"/>
  <c r="I29" i="8"/>
  <c r="I29" i="9" s="1"/>
  <c r="H51" i="8"/>
  <c r="H51" i="9" s="1"/>
  <c r="H49" i="8"/>
  <c r="H47"/>
  <c r="H47" i="9" s="1"/>
  <c r="H45" i="8"/>
  <c r="H45" i="9" s="1"/>
  <c r="H43" i="8"/>
  <c r="H43" i="9" s="1"/>
  <c r="H41" i="8"/>
  <c r="H41" i="9" s="1"/>
  <c r="H39" i="8"/>
  <c r="H39" i="9" s="1"/>
  <c r="H37" i="8"/>
  <c r="H37" i="9" s="1"/>
  <c r="H35" i="8"/>
  <c r="H35" i="9" s="1"/>
  <c r="H33" i="8"/>
  <c r="H33" i="9" s="1"/>
  <c r="H31" i="8"/>
  <c r="H31" i="9" s="1"/>
  <c r="H29" i="8"/>
  <c r="H29" i="9" s="1"/>
  <c r="H27" i="8"/>
  <c r="H27" i="9" s="1"/>
  <c r="H25" i="8"/>
  <c r="H25" i="9" s="1"/>
  <c r="H23" i="8"/>
  <c r="H23" i="9" s="1"/>
  <c r="H21" i="8"/>
  <c r="H21" i="9" s="1"/>
  <c r="H19" i="8"/>
  <c r="H19" i="9" s="1"/>
  <c r="H17" i="8"/>
  <c r="H17" i="9" s="1"/>
  <c r="H15" i="8"/>
  <c r="H15" i="9" s="1"/>
  <c r="H13" i="8"/>
  <c r="H13" i="9" s="1"/>
  <c r="H11" i="8"/>
  <c r="H11" i="9" s="1"/>
  <c r="F67" i="8"/>
  <c r="F67" i="9" s="1"/>
  <c r="F65" i="8"/>
  <c r="F65" i="9" s="1"/>
  <c r="F63" i="8"/>
  <c r="F63" i="9" s="1"/>
  <c r="F61" i="8"/>
  <c r="F61" i="9" s="1"/>
  <c r="F59" i="8"/>
  <c r="F59" i="9" s="1"/>
  <c r="F57" i="8"/>
  <c r="F57" i="9" s="1"/>
  <c r="O21" i="5"/>
  <c r="O21" i="8" s="1"/>
  <c r="O21" i="9" s="1"/>
  <c r="N5" i="5"/>
  <c r="N5" i="8" s="1"/>
  <c r="N5" i="9" s="1"/>
  <c r="N45" i="5"/>
  <c r="N45" i="8" s="1"/>
  <c r="N45" i="9" s="1"/>
  <c r="O44" i="5"/>
  <c r="O44" i="8" s="1"/>
  <c r="O44" i="9" s="1"/>
  <c r="N43" i="5"/>
  <c r="N43" i="8" s="1"/>
  <c r="N43" i="9" s="1"/>
  <c r="O42" i="5"/>
  <c r="O42" i="8" s="1"/>
  <c r="O42" i="9" s="1"/>
  <c r="N41" i="5"/>
  <c r="N41" i="8" s="1"/>
  <c r="N41" i="9" s="1"/>
  <c r="O40" i="5"/>
  <c r="O40" i="8" s="1"/>
  <c r="O40" i="9" s="1"/>
  <c r="N39" i="5"/>
  <c r="N39" i="8" s="1"/>
  <c r="N39" i="9" s="1"/>
  <c r="O38" i="5"/>
  <c r="O38" i="8" s="1"/>
  <c r="O38" i="9" s="1"/>
  <c r="N37" i="5"/>
  <c r="N37" i="8" s="1"/>
  <c r="N37" i="9" s="1"/>
  <c r="O36" i="5"/>
  <c r="O36" i="8" s="1"/>
  <c r="O36" i="9" s="1"/>
  <c r="N35" i="5"/>
  <c r="N35" i="8" s="1"/>
  <c r="N35" i="9" s="1"/>
  <c r="O34" i="5"/>
  <c r="O34" i="8" s="1"/>
  <c r="O34" i="9" s="1"/>
  <c r="N33" i="5"/>
  <c r="N33" i="8" s="1"/>
  <c r="N33" i="9" s="1"/>
  <c r="O32" i="5"/>
  <c r="O32" i="8" s="1"/>
  <c r="O32" i="9" s="1"/>
  <c r="N31" i="5"/>
  <c r="N31" i="8" s="1"/>
  <c r="N31" i="9" s="1"/>
  <c r="O30" i="5"/>
  <c r="O30" i="8" s="1"/>
  <c r="O30" i="9" s="1"/>
  <c r="N29" i="5"/>
  <c r="N29" i="8" s="1"/>
  <c r="N29" i="9" s="1"/>
  <c r="O28" i="5"/>
  <c r="O28" i="8" s="1"/>
  <c r="O28" i="9" s="1"/>
  <c r="N27" i="5"/>
  <c r="N27" i="8" s="1"/>
  <c r="N27" i="9" s="1"/>
  <c r="N25" i="5"/>
  <c r="N25" i="8" s="1"/>
  <c r="N25" i="9" s="1"/>
  <c r="N23" i="5"/>
  <c r="N23" i="8" s="1"/>
  <c r="N23" i="9" s="1"/>
  <c r="N21" i="5"/>
  <c r="N21" i="8" s="1"/>
  <c r="N21" i="9" s="1"/>
  <c r="N19" i="5"/>
  <c r="N19" i="8" s="1"/>
  <c r="N19" i="9" s="1"/>
  <c r="N17" i="5"/>
  <c r="N17" i="8" s="1"/>
  <c r="N17" i="9" s="1"/>
  <c r="N15" i="5"/>
  <c r="N15" i="8" s="1"/>
  <c r="N15" i="9" s="1"/>
  <c r="L9" i="5"/>
  <c r="L9" i="8" s="1"/>
  <c r="L9" i="9" s="1"/>
  <c r="O27" i="8"/>
  <c r="O27" i="9" s="1"/>
  <c r="O35" i="8"/>
  <c r="O35" i="9" s="1"/>
  <c r="O33" i="8"/>
  <c r="O33" i="9" s="1"/>
  <c r="O31" i="8"/>
  <c r="O31" i="9" s="1"/>
  <c r="O29" i="8"/>
  <c r="O29" i="9" s="1"/>
  <c r="O26" i="8"/>
  <c r="O26" i="9" s="1"/>
  <c r="O22" i="8"/>
  <c r="O22" i="9" s="1"/>
  <c r="O18" i="8"/>
  <c r="O18" i="9" s="1"/>
  <c r="O6" i="8"/>
  <c r="O6" i="9" s="1"/>
  <c r="N66" i="8"/>
  <c r="N66" i="9" s="1"/>
  <c r="N64" i="8"/>
  <c r="N64" i="9" s="1"/>
  <c r="N62" i="8"/>
  <c r="N62" i="9" s="1"/>
  <c r="N60" i="8"/>
  <c r="N60" i="9" s="1"/>
  <c r="N58" i="8"/>
  <c r="N58" i="9" s="1"/>
  <c r="N56" i="8"/>
  <c r="N56" i="9" s="1"/>
  <c r="N52" i="8"/>
  <c r="N52" i="9" s="1"/>
  <c r="N50" i="8"/>
  <c r="N50" i="9" s="1"/>
  <c r="N48" i="8"/>
  <c r="N48" i="9" s="1"/>
  <c r="N26" i="8"/>
  <c r="N26" i="9" s="1"/>
  <c r="N24" i="8"/>
  <c r="N24" i="9" s="1"/>
  <c r="N22" i="8"/>
  <c r="N22" i="9" s="1"/>
  <c r="N20" i="8"/>
  <c r="N20" i="9" s="1"/>
  <c r="N18" i="8"/>
  <c r="N18" i="9" s="1"/>
  <c r="N16" i="8"/>
  <c r="N16" i="9" s="1"/>
  <c r="N8" i="8"/>
  <c r="N8" i="9" s="1"/>
  <c r="N6" i="8"/>
  <c r="N6" i="9" s="1"/>
  <c r="M66" i="8"/>
  <c r="M66" i="9" s="1"/>
  <c r="M64" i="8"/>
  <c r="M64" i="9" s="1"/>
  <c r="M62" i="8"/>
  <c r="M62" i="9" s="1"/>
  <c r="M60" i="8"/>
  <c r="M60" i="9" s="1"/>
  <c r="M58" i="8"/>
  <c r="M58" i="9" s="1"/>
  <c r="M56" i="8"/>
  <c r="M56" i="9" s="1"/>
  <c r="M52" i="8"/>
  <c r="M52" i="9" s="1"/>
  <c r="M50" i="8"/>
  <c r="M50" i="9" s="1"/>
  <c r="M48" i="8"/>
  <c r="M48" i="9" s="1"/>
  <c r="M20" i="8"/>
  <c r="M20" i="9" s="1"/>
  <c r="M16" i="8"/>
  <c r="M16" i="9" s="1"/>
  <c r="M14" i="8"/>
  <c r="M14" i="9" s="1"/>
  <c r="M6" i="8"/>
  <c r="M6" i="9" s="1"/>
  <c r="L53" i="8"/>
  <c r="L53" i="9" s="1"/>
  <c r="L66" i="8"/>
  <c r="L66" i="9" s="1"/>
  <c r="L64" i="8"/>
  <c r="L64" i="9" s="1"/>
  <c r="L62" i="8"/>
  <c r="L62" i="9" s="1"/>
  <c r="L60" i="8"/>
  <c r="L60" i="9" s="1"/>
  <c r="L58" i="8"/>
  <c r="L58" i="9" s="1"/>
  <c r="L56" i="8"/>
  <c r="L56" i="9" s="1"/>
  <c r="L51" i="8"/>
  <c r="L51" i="9" s="1"/>
  <c r="L49" i="8"/>
  <c r="L49" i="9" s="1"/>
  <c r="L47" i="8"/>
  <c r="L47" i="9" s="1"/>
  <c r="L6" i="8"/>
  <c r="L6" i="9" s="1"/>
  <c r="E15" i="8"/>
  <c r="E15" i="9" s="1"/>
  <c r="E13" i="5"/>
  <c r="E13" i="8" s="1"/>
  <c r="E13" i="9" s="1"/>
  <c r="E9" i="8"/>
  <c r="E9" i="9" s="1"/>
  <c r="C27" i="8"/>
  <c r="D66"/>
  <c r="D66" i="9" s="1"/>
  <c r="D64" i="8"/>
  <c r="D64" i="9" s="1"/>
  <c r="D62" i="8"/>
  <c r="D62" i="9" s="1"/>
  <c r="D60" i="8"/>
  <c r="D60" i="9" s="1"/>
  <c r="D58" i="8"/>
  <c r="D58" i="9" s="1"/>
  <c r="D56" i="8"/>
  <c r="D56" i="9" s="1"/>
  <c r="D40" i="8"/>
  <c r="D40" i="9" s="1"/>
  <c r="D32" i="8"/>
  <c r="D32" i="9" s="1"/>
  <c r="D28" i="8"/>
  <c r="D28" i="9" s="1"/>
  <c r="D23" i="8"/>
  <c r="D23" i="9" s="1"/>
  <c r="D19" i="8"/>
  <c r="D19" i="9" s="1"/>
  <c r="C45" i="8"/>
  <c r="C41"/>
  <c r="C37"/>
  <c r="C34"/>
  <c r="H42"/>
  <c r="H42" i="9" s="1"/>
  <c r="H40" i="8"/>
  <c r="H40" i="9" s="1"/>
  <c r="H36" i="8"/>
  <c r="H36" i="9" s="1"/>
  <c r="H32" i="8"/>
  <c r="H32" i="9" s="1"/>
  <c r="H28" i="8"/>
  <c r="H28" i="9" s="1"/>
  <c r="H24" i="8"/>
  <c r="H24" i="9" s="1"/>
  <c r="H20" i="8"/>
  <c r="H20" i="9" s="1"/>
  <c r="H16" i="8"/>
  <c r="H16" i="9" s="1"/>
  <c r="H14" i="8"/>
  <c r="H14" i="9" s="1"/>
  <c r="H6" i="8"/>
  <c r="H6" i="9" s="1"/>
  <c r="F66" i="8"/>
  <c r="F66" i="9" s="1"/>
  <c r="F64" i="8"/>
  <c r="F64" i="9" s="1"/>
  <c r="F62" i="8"/>
  <c r="F62" i="9" s="1"/>
  <c r="F60" i="8"/>
  <c r="F60" i="9" s="1"/>
  <c r="F58" i="8"/>
  <c r="F58" i="9" s="1"/>
  <c r="F56" i="8"/>
  <c r="F56" i="9" s="1"/>
  <c r="F52" i="8"/>
  <c r="F52" i="9" s="1"/>
  <c r="F50" i="8"/>
  <c r="F50" i="9" s="1"/>
  <c r="F48" i="8"/>
  <c r="F48" i="9" s="1"/>
  <c r="F46" i="5"/>
  <c r="F46" i="8" s="1"/>
  <c r="F46" i="9" s="1"/>
  <c r="F42" i="8"/>
  <c r="F42" i="9" s="1"/>
  <c r="F40" i="8"/>
  <c r="F40" i="9" s="1"/>
  <c r="F38" i="8"/>
  <c r="F38" i="9" s="1"/>
  <c r="F36" i="8"/>
  <c r="F36" i="9" s="1"/>
  <c r="F34" i="8"/>
  <c r="F34" i="9" s="1"/>
  <c r="F32" i="8"/>
  <c r="F32" i="9" s="1"/>
  <c r="F30" i="8"/>
  <c r="F30" i="9" s="1"/>
  <c r="F28" i="8"/>
  <c r="F28" i="9" s="1"/>
  <c r="F26" i="8"/>
  <c r="F26" i="9" s="1"/>
  <c r="F24" i="8"/>
  <c r="F24" i="9" s="1"/>
  <c r="F22" i="8"/>
  <c r="F22" i="9" s="1"/>
  <c r="F20" i="8"/>
  <c r="F20" i="9" s="1"/>
  <c r="F18" i="8"/>
  <c r="F18" i="9" s="1"/>
  <c r="F16" i="8"/>
  <c r="F16" i="9" s="1"/>
  <c r="F8" i="8"/>
  <c r="F8" i="9" s="1"/>
  <c r="F6" i="8"/>
  <c r="F6" i="9" s="1"/>
  <c r="E66" i="8"/>
  <c r="E66" i="9" s="1"/>
  <c r="E64" i="8"/>
  <c r="E64" i="9" s="1"/>
  <c r="E62" i="8"/>
  <c r="E62" i="9" s="1"/>
  <c r="E60" i="8"/>
  <c r="E60" i="9" s="1"/>
  <c r="E58" i="8"/>
  <c r="E58" i="9" s="1"/>
  <c r="E56" i="8"/>
  <c r="E56" i="9" s="1"/>
  <c r="E52" i="8"/>
  <c r="E52" i="9" s="1"/>
  <c r="E50" i="8"/>
  <c r="E50" i="9" s="1"/>
  <c r="E48" i="8"/>
  <c r="E48" i="9" s="1"/>
  <c r="E14" i="8"/>
  <c r="E14" i="9" s="1"/>
  <c r="E12" i="8"/>
  <c r="E12" i="9" s="1"/>
  <c r="D12" i="8"/>
  <c r="D12" i="9" s="1"/>
  <c r="D10" i="5"/>
  <c r="D10" i="8" s="1"/>
  <c r="D10" i="9" s="1"/>
  <c r="D46" i="8"/>
  <c r="D46" i="9" s="1"/>
  <c r="D13" i="8"/>
  <c r="D13" i="9" s="1"/>
  <c r="D21" i="14"/>
  <c r="F11"/>
  <c r="G137" i="13"/>
  <c r="V31"/>
  <c r="V62"/>
  <c r="T73"/>
  <c r="G105"/>
  <c r="M137"/>
  <c r="H158"/>
  <c r="J94"/>
  <c r="I30"/>
  <c r="H157"/>
  <c r="G169"/>
  <c r="H61"/>
  <c r="H7" i="14" s="1"/>
  <c r="G73" i="13"/>
  <c r="H93"/>
  <c r="H8" i="14" s="1"/>
  <c r="H29" i="13"/>
  <c r="H6" i="14" s="1"/>
  <c r="G41" i="13"/>
  <c r="U61"/>
  <c r="G18" i="14" s="1"/>
  <c r="X65" i="13"/>
  <c r="W32"/>
  <c r="X32" s="1"/>
  <c r="Y32" s="1"/>
  <c r="Z32" s="1"/>
  <c r="AA32" s="1"/>
  <c r="AB32" s="1"/>
  <c r="V96"/>
  <c r="W96" s="1"/>
  <c r="X96" s="1"/>
  <c r="Y96" s="1"/>
  <c r="Z96" s="1"/>
  <c r="AA96" s="1"/>
  <c r="AB96" s="1"/>
  <c r="I128"/>
  <c r="I9" i="14" s="1"/>
  <c r="C6" i="7"/>
  <c r="C8"/>
  <c r="C8" i="6"/>
  <c r="C8" i="5" s="1"/>
  <c r="C10" i="7"/>
  <c r="C10" i="6"/>
  <c r="C10" i="5" s="1"/>
  <c r="C12" i="7"/>
  <c r="C12" i="6"/>
  <c r="C12" i="5" s="1"/>
  <c r="C14" i="7"/>
  <c r="C14" i="6"/>
  <c r="C14" i="5" s="1"/>
  <c r="C16" i="7"/>
  <c r="C16" i="6"/>
  <c r="C16" i="5" s="1"/>
  <c r="C18" i="7"/>
  <c r="C18" i="6"/>
  <c r="C18" i="5" s="1"/>
  <c r="C20" i="7"/>
  <c r="C20" i="6"/>
  <c r="C20" i="5" s="1"/>
  <c r="C22" i="7"/>
  <c r="C22" i="6"/>
  <c r="C22" i="5" s="1"/>
  <c r="C24" i="7"/>
  <c r="C24" i="6"/>
  <c r="C24" i="5" s="1"/>
  <c r="C26" i="7"/>
  <c r="C26" i="6"/>
  <c r="C26" i="5" s="1"/>
  <c r="C29" i="7"/>
  <c r="C29" i="6"/>
  <c r="C29" i="5" s="1"/>
  <c r="C31" i="7"/>
  <c r="C31" i="6"/>
  <c r="C31" i="5" s="1"/>
  <c r="C33" i="7"/>
  <c r="C33" i="6"/>
  <c r="C33" i="5" s="1"/>
  <c r="G51" i="7"/>
  <c r="G51" i="5"/>
  <c r="G55" i="7"/>
  <c r="G55" i="5"/>
  <c r="G59" i="7"/>
  <c r="G59" i="5"/>
  <c r="G63" i="7"/>
  <c r="G63" i="5"/>
  <c r="G67" i="7"/>
  <c r="G67" i="5"/>
  <c r="G13" i="7"/>
  <c r="G13" i="6"/>
  <c r="G13" i="5" s="1"/>
  <c r="G17" i="7"/>
  <c r="G17" i="6"/>
  <c r="G17" i="5" s="1"/>
  <c r="G21" i="7"/>
  <c r="G21" i="6"/>
  <c r="G21" i="5" s="1"/>
  <c r="G25" i="7"/>
  <c r="G25" i="6"/>
  <c r="G25" i="5" s="1"/>
  <c r="G66" i="7"/>
  <c r="G66" i="5"/>
  <c r="G62" i="7"/>
  <c r="G62" i="5"/>
  <c r="G58" i="7"/>
  <c r="G58" i="5"/>
  <c r="G52" i="7"/>
  <c r="G52" i="5"/>
  <c r="G48"/>
  <c r="G48" i="7"/>
  <c r="G46"/>
  <c r="G46" i="6"/>
  <c r="G46" i="5" s="1"/>
  <c r="G42" i="7"/>
  <c r="G42" i="6"/>
  <c r="G42" i="5" s="1"/>
  <c r="G38" i="7"/>
  <c r="G38" i="6"/>
  <c r="G38" i="5" s="1"/>
  <c r="G34" i="7"/>
  <c r="G34" i="6"/>
  <c r="G34" i="5" s="1"/>
  <c r="G30" i="7"/>
  <c r="G30" i="6"/>
  <c r="G30" i="5" s="1"/>
  <c r="G26" i="7"/>
  <c r="G26" i="6"/>
  <c r="G26" i="5" s="1"/>
  <c r="G22" i="7"/>
  <c r="G22" i="6"/>
  <c r="G22" i="5" s="1"/>
  <c r="G18" i="7"/>
  <c r="G18" i="6"/>
  <c r="G18" i="5" s="1"/>
  <c r="G12" i="7"/>
  <c r="G12" i="6"/>
  <c r="G12" i="5" s="1"/>
  <c r="M13"/>
  <c r="M13" i="8" s="1"/>
  <c r="M13" i="9" s="1"/>
  <c r="O11" i="5"/>
  <c r="O11" i="8" s="1"/>
  <c r="O11" i="9" s="1"/>
  <c r="O23" i="8"/>
  <c r="O23" i="9" s="1"/>
  <c r="O19" i="8"/>
  <c r="O19" i="9" s="1"/>
  <c r="O15" i="8"/>
  <c r="O15" i="9" s="1"/>
  <c r="L27" i="8"/>
  <c r="L27" i="9" s="1"/>
  <c r="L38" i="8"/>
  <c r="L38" i="9" s="1"/>
  <c r="L34" i="8"/>
  <c r="L34" i="9" s="1"/>
  <c r="L30" i="8"/>
  <c r="L30" i="9" s="1"/>
  <c r="L25" i="8"/>
  <c r="L25" i="9" s="1"/>
  <c r="L21" i="8"/>
  <c r="L21" i="9" s="1"/>
  <c r="L17" i="8"/>
  <c r="L17" i="9" s="1"/>
  <c r="K11" i="5"/>
  <c r="K11" i="8" s="1"/>
  <c r="K11" i="9" s="1"/>
  <c r="J12" i="8"/>
  <c r="J12" i="9" s="1"/>
  <c r="J8" i="5"/>
  <c r="J8" i="8" s="1"/>
  <c r="J8" i="9" s="1"/>
  <c r="I26" i="8"/>
  <c r="I26" i="9" s="1"/>
  <c r="I22" i="8"/>
  <c r="I22" i="9" s="1"/>
  <c r="I18" i="8"/>
  <c r="I18" i="9" s="1"/>
  <c r="C5" i="7"/>
  <c r="C5" i="5"/>
  <c r="C7" i="7"/>
  <c r="C7" i="6"/>
  <c r="C7" i="5" s="1"/>
  <c r="C9" i="7"/>
  <c r="C9" i="6"/>
  <c r="C9" i="5" s="1"/>
  <c r="C11" i="7"/>
  <c r="C11" i="6"/>
  <c r="C11" i="5" s="1"/>
  <c r="C13" i="7"/>
  <c r="C13" i="6"/>
  <c r="C13" i="5" s="1"/>
  <c r="C15" i="7"/>
  <c r="C15" i="6"/>
  <c r="C15" i="5" s="1"/>
  <c r="C17" i="7"/>
  <c r="C17" i="6"/>
  <c r="C17" i="5" s="1"/>
  <c r="C19" i="7"/>
  <c r="C19" i="6"/>
  <c r="C19" i="5" s="1"/>
  <c r="C21" i="7"/>
  <c r="C21" i="6"/>
  <c r="C21" i="5" s="1"/>
  <c r="C23" i="7"/>
  <c r="C23" i="6"/>
  <c r="C23" i="5" s="1"/>
  <c r="C25" i="7"/>
  <c r="C25" i="6"/>
  <c r="C25" i="5" s="1"/>
  <c r="C28" i="7"/>
  <c r="C28" i="6"/>
  <c r="C28" i="5" s="1"/>
  <c r="C30" i="7"/>
  <c r="C30" i="6"/>
  <c r="C30" i="5" s="1"/>
  <c r="C32" i="7"/>
  <c r="C32" i="6"/>
  <c r="C32" i="5" s="1"/>
  <c r="G53" i="7"/>
  <c r="G53" i="5"/>
  <c r="G57" i="7"/>
  <c r="G57" i="5"/>
  <c r="G61" i="7"/>
  <c r="G61" i="5"/>
  <c r="G65" i="7"/>
  <c r="G65" i="5"/>
  <c r="G5" i="6"/>
  <c r="G5" i="7"/>
  <c r="G5" i="5"/>
  <c r="G11" i="7"/>
  <c r="G11" i="6"/>
  <c r="G11" i="5" s="1"/>
  <c r="G15" i="7"/>
  <c r="G15" i="6"/>
  <c r="G15" i="5" s="1"/>
  <c r="G19" i="7"/>
  <c r="G19" i="6"/>
  <c r="G19" i="5" s="1"/>
  <c r="G23" i="7"/>
  <c r="G23" i="6"/>
  <c r="G23" i="5" s="1"/>
  <c r="G27" i="7"/>
  <c r="G27" i="6"/>
  <c r="G27" i="5" s="1"/>
  <c r="G60" i="7"/>
  <c r="G60" i="5"/>
  <c r="G56" i="7"/>
  <c r="G56" i="5"/>
  <c r="G50" i="7"/>
  <c r="G50" i="5"/>
  <c r="G44" i="7"/>
  <c r="G44" i="6"/>
  <c r="G44" i="5" s="1"/>
  <c r="G40" i="7"/>
  <c r="G40" i="6"/>
  <c r="G40" i="5" s="1"/>
  <c r="G36" i="7"/>
  <c r="G36" i="6"/>
  <c r="G36" i="5" s="1"/>
  <c r="G32" i="7"/>
  <c r="G32" i="6"/>
  <c r="G32" i="5" s="1"/>
  <c r="G28" i="7"/>
  <c r="G28" i="6"/>
  <c r="G28" i="5" s="1"/>
  <c r="G24" i="7"/>
  <c r="G24" i="6"/>
  <c r="G24" i="5" s="1"/>
  <c r="G20" i="7"/>
  <c r="G20" i="6"/>
  <c r="G20" i="5" s="1"/>
  <c r="G16" i="7"/>
  <c r="G16" i="6"/>
  <c r="G16" i="5" s="1"/>
  <c r="G14" i="7"/>
  <c r="G14" i="6"/>
  <c r="G14" i="5" s="1"/>
  <c r="G10" i="7"/>
  <c r="G10" i="6"/>
  <c r="G10" i="5" s="1"/>
  <c r="G8" i="7"/>
  <c r="G8" i="6"/>
  <c r="G8" i="5" s="1"/>
  <c r="G6" i="7"/>
  <c r="L46" i="8"/>
  <c r="L46" i="9" s="1"/>
  <c r="L40" i="5"/>
  <c r="L40" i="8" s="1"/>
  <c r="L40" i="9" s="1"/>
  <c r="L36" i="5"/>
  <c r="L36" i="8" s="1"/>
  <c r="L36" i="9" s="1"/>
  <c r="L32" i="5"/>
  <c r="L32" i="8" s="1"/>
  <c r="L32" i="9" s="1"/>
  <c r="L28" i="5"/>
  <c r="L28" i="8" s="1"/>
  <c r="L28" i="9" s="1"/>
  <c r="M25" i="5"/>
  <c r="M25" i="8" s="1"/>
  <c r="M25" i="9" s="1"/>
  <c r="K23" i="5"/>
  <c r="K23" i="8" s="1"/>
  <c r="K23" i="9" s="1"/>
  <c r="M21" i="5"/>
  <c r="M21" i="8" s="1"/>
  <c r="M21" i="9" s="1"/>
  <c r="K19" i="5"/>
  <c r="K19" i="8" s="1"/>
  <c r="K19" i="9" s="1"/>
  <c r="M17" i="5"/>
  <c r="M17" i="8" s="1"/>
  <c r="M17" i="9" s="1"/>
  <c r="K15" i="5"/>
  <c r="K15" i="8" s="1"/>
  <c r="K15" i="9" s="1"/>
  <c r="J5" i="5"/>
  <c r="J5" i="8" s="1"/>
  <c r="J5" i="9" s="1"/>
  <c r="K7" i="5"/>
  <c r="K7" i="8" s="1"/>
  <c r="K7" i="9" s="1"/>
  <c r="I24" i="5"/>
  <c r="I24" i="8" s="1"/>
  <c r="I24" i="9" s="1"/>
  <c r="L23" i="5"/>
  <c r="L23" i="8" s="1"/>
  <c r="L23" i="9" s="1"/>
  <c r="I20" i="5"/>
  <c r="I20" i="8" s="1"/>
  <c r="I20" i="9" s="1"/>
  <c r="L19" i="5"/>
  <c r="L19" i="8" s="1"/>
  <c r="L19" i="9" s="1"/>
  <c r="I16" i="5"/>
  <c r="I16" i="8" s="1"/>
  <c r="I16" i="9" s="1"/>
  <c r="I12" i="8"/>
  <c r="I12" i="9" s="1"/>
  <c r="I8" i="5"/>
  <c r="I8" i="8" s="1"/>
  <c r="I8" i="9" s="1"/>
  <c r="K67" i="8"/>
  <c r="K67" i="9" s="1"/>
  <c r="K65" i="8"/>
  <c r="K65" i="9" s="1"/>
  <c r="K63" i="8"/>
  <c r="K63" i="9" s="1"/>
  <c r="K61" i="8"/>
  <c r="K61" i="9" s="1"/>
  <c r="K59" i="8"/>
  <c r="K59" i="9" s="1"/>
  <c r="K57" i="8"/>
  <c r="K57" i="9" s="1"/>
  <c r="K55" i="8"/>
  <c r="K55" i="9" s="1"/>
  <c r="K53" i="8"/>
  <c r="K53" i="9" s="1"/>
  <c r="K51" i="8"/>
  <c r="K51" i="9" s="1"/>
  <c r="K49" i="8"/>
  <c r="K49" i="9" s="1"/>
  <c r="K47" i="8"/>
  <c r="K47" i="9" s="1"/>
  <c r="K6" i="8"/>
  <c r="K6" i="9" s="1"/>
  <c r="J66" i="8"/>
  <c r="J66" i="9" s="1"/>
  <c r="J64" i="8"/>
  <c r="J64" i="9" s="1"/>
  <c r="J62" i="8"/>
  <c r="J62" i="9" s="1"/>
  <c r="J60" i="8"/>
  <c r="J60" i="9" s="1"/>
  <c r="J58" i="8"/>
  <c r="J58" i="9" s="1"/>
  <c r="J56" i="8"/>
  <c r="J56" i="9" s="1"/>
  <c r="J52" i="8"/>
  <c r="J52" i="9" s="1"/>
  <c r="J50" i="8"/>
  <c r="J50" i="9" s="1"/>
  <c r="J48" i="8"/>
  <c r="J48" i="9" s="1"/>
  <c r="J6" i="8"/>
  <c r="J6" i="9" s="1"/>
  <c r="I67" i="8"/>
  <c r="I67" i="9" s="1"/>
  <c r="I65" i="8"/>
  <c r="I65" i="9" s="1"/>
  <c r="I63" i="8"/>
  <c r="I63" i="9" s="1"/>
  <c r="I61" i="8"/>
  <c r="I61" i="9" s="1"/>
  <c r="I59" i="8"/>
  <c r="I59" i="9" s="1"/>
  <c r="I57" i="8"/>
  <c r="I57" i="9" s="1"/>
  <c r="I55" i="8"/>
  <c r="I55" i="9" s="1"/>
  <c r="I53" i="8"/>
  <c r="I53" i="9" s="1"/>
  <c r="I51" i="8"/>
  <c r="I51" i="9" s="1"/>
  <c r="I49" i="8"/>
  <c r="I49" i="9" s="1"/>
  <c r="I47" i="8"/>
  <c r="I47" i="9" s="1"/>
  <c r="G47" i="8"/>
  <c r="G47" i="9" s="1"/>
  <c r="F55" i="8"/>
  <c r="F55" i="9" s="1"/>
  <c r="F53" i="8"/>
  <c r="F53" i="9" s="1"/>
  <c r="F51" i="8"/>
  <c r="F51" i="9" s="1"/>
  <c r="F49" i="8"/>
  <c r="F47"/>
  <c r="F47" i="9" s="1"/>
  <c r="C65" i="8"/>
  <c r="C65" i="9" s="1"/>
  <c r="C61" i="8"/>
  <c r="C61" i="9" s="1"/>
  <c r="C57" i="8"/>
  <c r="C57" i="9" s="1"/>
  <c r="C53" i="8"/>
  <c r="C53" i="9" s="1"/>
  <c r="C49" i="8"/>
  <c r="H62"/>
  <c r="H62" i="9" s="1"/>
  <c r="H58" i="8"/>
  <c r="H58" i="9" s="1"/>
  <c r="H52" i="8"/>
  <c r="H52" i="9" s="1"/>
  <c r="H48" i="8"/>
  <c r="H48" i="9" s="1"/>
  <c r="H46" i="5"/>
  <c r="H46" i="8" s="1"/>
  <c r="H46" i="9" s="1"/>
  <c r="H38" i="8"/>
  <c r="H38" i="9" s="1"/>
  <c r="H34" i="8"/>
  <c r="H34" i="9" s="1"/>
  <c r="H30" i="8"/>
  <c r="H30" i="9" s="1"/>
  <c r="H26" i="8"/>
  <c r="H26" i="9" s="1"/>
  <c r="H22" i="8"/>
  <c r="H22" i="9" s="1"/>
  <c r="H18" i="8"/>
  <c r="H18" i="9" s="1"/>
  <c r="E6" i="8"/>
  <c r="E6" i="9" s="1"/>
  <c r="D67" i="8"/>
  <c r="D67" i="9" s="1"/>
  <c r="D65" i="8"/>
  <c r="D65" i="9" s="1"/>
  <c r="D63" i="8"/>
  <c r="D63" i="9" s="1"/>
  <c r="D61" i="8"/>
  <c r="D61" i="9" s="1"/>
  <c r="D59" i="8"/>
  <c r="D59" i="9" s="1"/>
  <c r="D57" i="8"/>
  <c r="D57" i="9" s="1"/>
  <c r="D55" i="8"/>
  <c r="D55" i="9" s="1"/>
  <c r="D53" i="8"/>
  <c r="D53" i="9" s="1"/>
  <c r="D51" i="8"/>
  <c r="D51" i="9" s="1"/>
  <c r="D49" i="8"/>
  <c r="D47"/>
  <c r="D47" i="9" s="1"/>
  <c r="D6" i="8"/>
  <c r="D6" i="9" s="1"/>
  <c r="C66" i="8"/>
  <c r="C66" i="9" s="1"/>
  <c r="C64" i="8"/>
  <c r="C64" i="9" s="1"/>
  <c r="C62" i="8"/>
  <c r="C62" i="9" s="1"/>
  <c r="C60" i="8"/>
  <c r="C60" i="9" s="1"/>
  <c r="C58" i="8"/>
  <c r="C58" i="9" s="1"/>
  <c r="C56" i="8"/>
  <c r="C56" i="9" s="1"/>
  <c r="C52" i="8"/>
  <c r="C52" i="9" s="1"/>
  <c r="C50" i="8"/>
  <c r="C50" i="9" s="1"/>
  <c r="G64" i="8"/>
  <c r="G64" i="9" s="1"/>
  <c r="G6" i="77" l="1"/>
  <c r="E6" i="17"/>
  <c r="E10" i="52" s="1"/>
  <c r="E10" i="77" s="1"/>
  <c r="H8" i="52"/>
  <c r="D10" i="59"/>
  <c r="C4" i="77"/>
  <c r="C4" i="59"/>
  <c r="S41" i="13"/>
  <c r="V93"/>
  <c r="H19" i="14" s="1"/>
  <c r="U105" i="13"/>
  <c r="G8" i="59"/>
  <c r="H7" i="77"/>
  <c r="H8"/>
  <c r="H9"/>
  <c r="H6" i="52"/>
  <c r="H6" i="77" s="1"/>
  <c r="C12"/>
  <c r="C11" i="59"/>
  <c r="D11" i="52"/>
  <c r="E7" i="17"/>
  <c r="F6" i="59"/>
  <c r="G7"/>
  <c r="G6"/>
  <c r="H9"/>
  <c r="I7" i="52"/>
  <c r="I7" i="77" s="1"/>
  <c r="F5" i="52"/>
  <c r="I9"/>
  <c r="I9" i="77" s="1"/>
  <c r="I8" i="52"/>
  <c r="I8" i="77" s="1"/>
  <c r="H5" i="52"/>
  <c r="G5"/>
  <c r="H7" i="59"/>
  <c r="H8"/>
  <c r="O5" i="38"/>
  <c r="N7" i="41"/>
  <c r="N19" i="40"/>
  <c r="O7" i="37"/>
  <c r="O10" s="1"/>
  <c r="O11" s="1"/>
  <c r="O14" s="1"/>
  <c r="N18" i="41"/>
  <c r="O9" i="38"/>
  <c r="C12" i="52"/>
  <c r="T29" i="13"/>
  <c r="F17" i="14" s="1"/>
  <c r="D5" i="17"/>
  <c r="D4" i="52" s="1"/>
  <c r="J7" i="44"/>
  <c r="K8"/>
  <c r="J11"/>
  <c r="K12"/>
  <c r="K8" i="42"/>
  <c r="J11"/>
  <c r="K7"/>
  <c r="J12"/>
  <c r="N7" i="44"/>
  <c r="O8"/>
  <c r="N11"/>
  <c r="O12"/>
  <c r="O8" i="42"/>
  <c r="N11"/>
  <c r="O7"/>
  <c r="N12"/>
  <c r="L7" i="44"/>
  <c r="M8"/>
  <c r="L11"/>
  <c r="M12"/>
  <c r="M8" i="42"/>
  <c r="L11"/>
  <c r="M7"/>
  <c r="L12"/>
  <c r="E8" i="44"/>
  <c r="E12"/>
  <c r="D7"/>
  <c r="E8" i="42"/>
  <c r="D12"/>
  <c r="D11" i="44"/>
  <c r="E7" i="42"/>
  <c r="D11"/>
  <c r="L7"/>
  <c r="K12"/>
  <c r="K7" i="44"/>
  <c r="L8"/>
  <c r="K11"/>
  <c r="L12"/>
  <c r="L8" i="42"/>
  <c r="K11"/>
  <c r="O12"/>
  <c r="O7" i="44"/>
  <c r="O6" s="1"/>
  <c r="O11"/>
  <c r="O11" i="42"/>
  <c r="F7"/>
  <c r="E12"/>
  <c r="E7" i="44"/>
  <c r="F8"/>
  <c r="E11"/>
  <c r="F12"/>
  <c r="F8" i="42"/>
  <c r="E11"/>
  <c r="F7" i="44"/>
  <c r="G8"/>
  <c r="F11"/>
  <c r="G12"/>
  <c r="G8" i="42"/>
  <c r="F11"/>
  <c r="G7"/>
  <c r="F12"/>
  <c r="N7"/>
  <c r="M12"/>
  <c r="M7" i="44"/>
  <c r="N8"/>
  <c r="M11"/>
  <c r="N12"/>
  <c r="N8" i="42"/>
  <c r="M11"/>
  <c r="J7"/>
  <c r="I12"/>
  <c r="I7" i="44"/>
  <c r="J8"/>
  <c r="I11"/>
  <c r="J12"/>
  <c r="J8" i="42"/>
  <c r="I11"/>
  <c r="C37" i="9"/>
  <c r="C45"/>
  <c r="C27"/>
  <c r="C42"/>
  <c r="C40"/>
  <c r="C46"/>
  <c r="C34"/>
  <c r="C41"/>
  <c r="H49"/>
  <c r="C48"/>
  <c r="C35"/>
  <c r="C38"/>
  <c r="C36"/>
  <c r="C44"/>
  <c r="C43"/>
  <c r="G10" i="8"/>
  <c r="G10" i="9" s="1"/>
  <c r="C19" i="8"/>
  <c r="C26"/>
  <c r="C18"/>
  <c r="C8"/>
  <c r="C6"/>
  <c r="G16"/>
  <c r="G16" i="9" s="1"/>
  <c r="G20" i="8"/>
  <c r="G20" i="9" s="1"/>
  <c r="G12" i="8"/>
  <c r="G12" i="9" s="1"/>
  <c r="G18" i="8"/>
  <c r="G18" i="9" s="1"/>
  <c r="G22" i="8"/>
  <c r="G22" i="9" s="1"/>
  <c r="G26" i="8"/>
  <c r="G26" i="9" s="1"/>
  <c r="G30" i="8"/>
  <c r="G30" i="9" s="1"/>
  <c r="G28" i="8"/>
  <c r="G28" i="9" s="1"/>
  <c r="G36" i="8"/>
  <c r="G36" i="9" s="1"/>
  <c r="G44" i="8"/>
  <c r="G44" i="9" s="1"/>
  <c r="G23" i="8"/>
  <c r="G23" i="9" s="1"/>
  <c r="C28" i="8"/>
  <c r="C23"/>
  <c r="C21"/>
  <c r="C31"/>
  <c r="C29"/>
  <c r="G32"/>
  <c r="G32" i="9" s="1"/>
  <c r="G34" i="8"/>
  <c r="G34" i="9" s="1"/>
  <c r="G38" i="8"/>
  <c r="G38" i="9" s="1"/>
  <c r="G42" i="8"/>
  <c r="G42" i="9" s="1"/>
  <c r="G46" i="8"/>
  <c r="G46" i="9" s="1"/>
  <c r="G13" i="8"/>
  <c r="G13" i="9" s="1"/>
  <c r="C22" i="8"/>
  <c r="C20"/>
  <c r="G14"/>
  <c r="G14" i="9" s="1"/>
  <c r="G27" i="8"/>
  <c r="G27" i="9" s="1"/>
  <c r="C32" i="8"/>
  <c r="C30"/>
  <c r="C13"/>
  <c r="G8"/>
  <c r="G8" i="9" s="1"/>
  <c r="G24" i="8"/>
  <c r="G24" i="9" s="1"/>
  <c r="G40" i="8"/>
  <c r="G40" i="9" s="1"/>
  <c r="G19" i="8"/>
  <c r="G19" i="9" s="1"/>
  <c r="G11" i="8"/>
  <c r="G11" i="9" s="1"/>
  <c r="C25" i="8"/>
  <c r="C17"/>
  <c r="C9"/>
  <c r="C7"/>
  <c r="C33"/>
  <c r="C24"/>
  <c r="C12"/>
  <c r="G15"/>
  <c r="G15" i="9" s="1"/>
  <c r="C15" i="8"/>
  <c r="C10"/>
  <c r="G48"/>
  <c r="G48" i="9" s="1"/>
  <c r="G52" i="8"/>
  <c r="G52" i="9" s="1"/>
  <c r="G58" i="8"/>
  <c r="G58" i="9" s="1"/>
  <c r="G62" i="8"/>
  <c r="G62" i="9" s="1"/>
  <c r="G66" i="8"/>
  <c r="G66" i="9" s="1"/>
  <c r="G25" i="8"/>
  <c r="G25" i="9" s="1"/>
  <c r="G21" i="8"/>
  <c r="G21" i="9" s="1"/>
  <c r="G17" i="8"/>
  <c r="G17" i="9" s="1"/>
  <c r="C16" i="8"/>
  <c r="C14"/>
  <c r="H10" i="14"/>
  <c r="G6" i="8"/>
  <c r="G6" i="9" s="1"/>
  <c r="G5" i="8"/>
  <c r="G5" i="9" s="1"/>
  <c r="C11" i="8"/>
  <c r="C5"/>
  <c r="J62" i="13"/>
  <c r="W31"/>
  <c r="W62"/>
  <c r="U73"/>
  <c r="H105"/>
  <c r="G11" i="14"/>
  <c r="I158" i="13"/>
  <c r="K94"/>
  <c r="J30"/>
  <c r="I157"/>
  <c r="H169"/>
  <c r="J128"/>
  <c r="J9" i="14" s="1"/>
  <c r="I137" i="13"/>
  <c r="I93"/>
  <c r="I61"/>
  <c r="I7" i="14" s="1"/>
  <c r="H73" i="13"/>
  <c r="I29"/>
  <c r="I6" i="14" s="1"/>
  <c r="H41" i="13"/>
  <c r="V61"/>
  <c r="Y65"/>
  <c r="Z65" s="1"/>
  <c r="AA65" s="1"/>
  <c r="AB65" s="1"/>
  <c r="W33"/>
  <c r="X33" s="1"/>
  <c r="Y33" s="1"/>
  <c r="Z33" s="1"/>
  <c r="AA33" s="1"/>
  <c r="AB33" s="1"/>
  <c r="W97"/>
  <c r="X97" s="1"/>
  <c r="Y97" s="1"/>
  <c r="Z97" s="1"/>
  <c r="AA97" s="1"/>
  <c r="AB97" s="1"/>
  <c r="G50" i="8"/>
  <c r="G50" i="9" s="1"/>
  <c r="G56" i="8"/>
  <c r="G56" i="9" s="1"/>
  <c r="G60" i="8"/>
  <c r="G60" i="9" s="1"/>
  <c r="G65" i="8"/>
  <c r="G65" i="9" s="1"/>
  <c r="G61" i="8"/>
  <c r="G61" i="9" s="1"/>
  <c r="G57" i="8"/>
  <c r="G57" i="9" s="1"/>
  <c r="G53" i="8"/>
  <c r="G53" i="9" s="1"/>
  <c r="G67" i="8"/>
  <c r="G67" i="9" s="1"/>
  <c r="G63" i="8"/>
  <c r="G63" i="9" s="1"/>
  <c r="G59" i="8"/>
  <c r="G59" i="9" s="1"/>
  <c r="G55" i="8"/>
  <c r="G55" i="9" s="1"/>
  <c r="G51" i="8"/>
  <c r="G51" i="9" s="1"/>
  <c r="F6" i="17" l="1"/>
  <c r="F10" i="52" s="1"/>
  <c r="F10" i="77" s="1"/>
  <c r="E10" i="59"/>
  <c r="G5" i="77"/>
  <c r="F5"/>
  <c r="H5" i="59"/>
  <c r="G5"/>
  <c r="F5"/>
  <c r="D4" i="77"/>
  <c r="D4" i="59"/>
  <c r="W93" i="13"/>
  <c r="I19" i="14" s="1"/>
  <c r="V105" i="13"/>
  <c r="H6" i="59"/>
  <c r="D11"/>
  <c r="D11" i="77"/>
  <c r="H5"/>
  <c r="E6" i="44"/>
  <c r="E11" i="52"/>
  <c r="F7" i="17"/>
  <c r="I10" i="42"/>
  <c r="M10"/>
  <c r="E10"/>
  <c r="K10"/>
  <c r="G6"/>
  <c r="M6"/>
  <c r="O6"/>
  <c r="K6"/>
  <c r="I6" i="52"/>
  <c r="I6" i="77" s="1"/>
  <c r="J8" i="52"/>
  <c r="J8" i="77" s="1"/>
  <c r="J7" i="52"/>
  <c r="J7" i="77" s="1"/>
  <c r="I8" i="44"/>
  <c r="I6" s="1"/>
  <c r="H18" i="14"/>
  <c r="F10" i="59"/>
  <c r="O13" i="38"/>
  <c r="O14" s="1"/>
  <c r="O16" s="1"/>
  <c r="I7" i="59"/>
  <c r="I8"/>
  <c r="I9"/>
  <c r="E21" i="14"/>
  <c r="G6" i="17"/>
  <c r="D12" i="52"/>
  <c r="M10" i="44"/>
  <c r="M6"/>
  <c r="F10"/>
  <c r="F6"/>
  <c r="E10"/>
  <c r="O10"/>
  <c r="O14" s="1"/>
  <c r="O15" s="1"/>
  <c r="K10"/>
  <c r="K6"/>
  <c r="E6" i="42"/>
  <c r="T41" i="13"/>
  <c r="U29"/>
  <c r="G17" i="14" s="1"/>
  <c r="E5" i="17"/>
  <c r="O10" i="42"/>
  <c r="H11" i="14"/>
  <c r="G12" i="42"/>
  <c r="G7" i="44"/>
  <c r="G6" s="1"/>
  <c r="G11"/>
  <c r="G10" s="1"/>
  <c r="G11" i="42"/>
  <c r="I7"/>
  <c r="I8"/>
  <c r="J6"/>
  <c r="N6"/>
  <c r="F6"/>
  <c r="L6"/>
  <c r="L10" i="44"/>
  <c r="L6"/>
  <c r="N10"/>
  <c r="N6"/>
  <c r="J10"/>
  <c r="J6"/>
  <c r="I12"/>
  <c r="I10" s="1"/>
  <c r="F10" i="42"/>
  <c r="L10"/>
  <c r="N10"/>
  <c r="J10"/>
  <c r="C5" i="9"/>
  <c r="C16"/>
  <c r="C15"/>
  <c r="C12"/>
  <c r="C33"/>
  <c r="C9"/>
  <c r="C25"/>
  <c r="C30"/>
  <c r="C20"/>
  <c r="C31"/>
  <c r="C23"/>
  <c r="C8"/>
  <c r="C26"/>
  <c r="C11"/>
  <c r="C14"/>
  <c r="C10"/>
  <c r="C24"/>
  <c r="C7"/>
  <c r="C17"/>
  <c r="C13"/>
  <c r="C32"/>
  <c r="C22"/>
  <c r="C29"/>
  <c r="C21"/>
  <c r="C28"/>
  <c r="C6"/>
  <c r="C18"/>
  <c r="C19"/>
  <c r="I10" i="14"/>
  <c r="K62" i="13"/>
  <c r="X31"/>
  <c r="X62"/>
  <c r="V73"/>
  <c r="J137"/>
  <c r="J158"/>
  <c r="L94"/>
  <c r="K30"/>
  <c r="J157"/>
  <c r="I169"/>
  <c r="J61"/>
  <c r="J7" i="14" s="1"/>
  <c r="I73" i="13"/>
  <c r="J93"/>
  <c r="J162"/>
  <c r="K162" s="1"/>
  <c r="L162" s="1"/>
  <c r="M162" s="1"/>
  <c r="N162" s="1"/>
  <c r="J29"/>
  <c r="I41"/>
  <c r="X34"/>
  <c r="Y34" s="1"/>
  <c r="Z34" s="1"/>
  <c r="AA34" s="1"/>
  <c r="AB34" s="1"/>
  <c r="W61"/>
  <c r="X66"/>
  <c r="I97"/>
  <c r="I8" i="14" s="1"/>
  <c r="X98" i="13"/>
  <c r="Y98" s="1"/>
  <c r="Z98" s="1"/>
  <c r="AA98" s="1"/>
  <c r="AB98" s="1"/>
  <c r="J33"/>
  <c r="K33" s="1"/>
  <c r="L33" s="1"/>
  <c r="M33" s="1"/>
  <c r="N33" s="1"/>
  <c r="W105" l="1"/>
  <c r="J6" i="52"/>
  <c r="J6" i="77" s="1"/>
  <c r="X93" i="13"/>
  <c r="J19" i="14" s="1"/>
  <c r="M14" i="42"/>
  <c r="K14" i="44"/>
  <c r="K15" s="1"/>
  <c r="M14"/>
  <c r="M15" s="1"/>
  <c r="E14"/>
  <c r="E15" s="1"/>
  <c r="K14" i="42"/>
  <c r="K15" s="1"/>
  <c r="E11" i="59"/>
  <c r="E11" i="77"/>
  <c r="D12"/>
  <c r="O14" i="42"/>
  <c r="O15" s="1"/>
  <c r="E14"/>
  <c r="F11" i="52"/>
  <c r="F11" i="77" s="1"/>
  <c r="G7" i="17"/>
  <c r="M15" i="42"/>
  <c r="J6" i="59"/>
  <c r="I6"/>
  <c r="E15" i="42"/>
  <c r="J9" i="52"/>
  <c r="J9" i="77" s="1"/>
  <c r="I5" i="52"/>
  <c r="I18" i="14"/>
  <c r="E4" i="52"/>
  <c r="G10"/>
  <c r="G10" i="77" s="1"/>
  <c r="H10" i="52"/>
  <c r="F14" i="44"/>
  <c r="F15" s="1"/>
  <c r="C12" i="59"/>
  <c r="J8"/>
  <c r="J7"/>
  <c r="N14" i="44"/>
  <c r="N15" s="1"/>
  <c r="F21" i="14"/>
  <c r="H6" i="17"/>
  <c r="I10" i="52" s="1"/>
  <c r="K8"/>
  <c r="K8" i="77" s="1"/>
  <c r="U41" i="13"/>
  <c r="V29"/>
  <c r="H17" i="14" s="1"/>
  <c r="F5" i="17"/>
  <c r="F4" i="52" s="1"/>
  <c r="I6" i="42"/>
  <c r="G10"/>
  <c r="L14"/>
  <c r="F14"/>
  <c r="N14"/>
  <c r="J14"/>
  <c r="G14" i="44"/>
  <c r="G15" s="1"/>
  <c r="D8"/>
  <c r="D6" s="1"/>
  <c r="D12"/>
  <c r="D10" s="1"/>
  <c r="D8" i="42"/>
  <c r="D7"/>
  <c r="J14" i="44"/>
  <c r="J15" s="1"/>
  <c r="L14"/>
  <c r="L15" s="1"/>
  <c r="I14"/>
  <c r="I15" s="1"/>
  <c r="D10" i="42"/>
  <c r="J6" i="14"/>
  <c r="J10"/>
  <c r="L62" i="13"/>
  <c r="Y66"/>
  <c r="Y31"/>
  <c r="Y62"/>
  <c r="W73"/>
  <c r="J97"/>
  <c r="I11" i="14"/>
  <c r="K158" i="13"/>
  <c r="M94"/>
  <c r="L30"/>
  <c r="X105"/>
  <c r="K157"/>
  <c r="J169"/>
  <c r="I105"/>
  <c r="K93"/>
  <c r="K61"/>
  <c r="K7" i="14" s="1"/>
  <c r="J73" i="13"/>
  <c r="K29"/>
  <c r="K6" i="14" s="1"/>
  <c r="J41" i="13"/>
  <c r="J98"/>
  <c r="K98" s="1"/>
  <c r="L98" s="1"/>
  <c r="M98" s="1"/>
  <c r="N98" s="1"/>
  <c r="Y99"/>
  <c r="Z99" s="1"/>
  <c r="AA99" s="1"/>
  <c r="AB99" s="1"/>
  <c r="X61"/>
  <c r="J18" i="14" s="1"/>
  <c r="K163" i="13"/>
  <c r="L163" s="1"/>
  <c r="M163" s="1"/>
  <c r="N163" s="1"/>
  <c r="Y35"/>
  <c r="Z35" s="1"/>
  <c r="AA35" s="1"/>
  <c r="AB35" s="1"/>
  <c r="Y67"/>
  <c r="Z67" s="1"/>
  <c r="AA67" s="1"/>
  <c r="AB67" s="1"/>
  <c r="I5" i="77" l="1"/>
  <c r="I5" i="59"/>
  <c r="E4" i="77"/>
  <c r="E12" s="1"/>
  <c r="F4" i="59"/>
  <c r="E4"/>
  <c r="Y93" i="13"/>
  <c r="F4" i="77"/>
  <c r="I10"/>
  <c r="H10"/>
  <c r="H11" i="52"/>
  <c r="G11"/>
  <c r="G11" i="77" s="1"/>
  <c r="H7" i="17"/>
  <c r="F11" i="59"/>
  <c r="N15" i="42"/>
  <c r="L15"/>
  <c r="I14"/>
  <c r="G10" i="59"/>
  <c r="J15" i="42"/>
  <c r="F15"/>
  <c r="G14"/>
  <c r="K6" i="52"/>
  <c r="K6" i="77" s="1"/>
  <c r="J5" i="52"/>
  <c r="K5"/>
  <c r="I10" i="59"/>
  <c r="H10"/>
  <c r="E12" i="52"/>
  <c r="D12" i="59"/>
  <c r="J9"/>
  <c r="K8"/>
  <c r="F12" i="52"/>
  <c r="L7"/>
  <c r="L8"/>
  <c r="L8" i="77" s="1"/>
  <c r="K7" i="52"/>
  <c r="K7" i="77" s="1"/>
  <c r="G21" i="14"/>
  <c r="I6" i="17"/>
  <c r="J10" i="52" s="1"/>
  <c r="J10" i="77" s="1"/>
  <c r="V41" i="13"/>
  <c r="W29"/>
  <c r="I17" i="14" s="1"/>
  <c r="G5" i="17"/>
  <c r="D14" i="44"/>
  <c r="D15" s="1"/>
  <c r="O17" s="1"/>
  <c r="D6" i="42"/>
  <c r="J8" i="14"/>
  <c r="K19"/>
  <c r="K10"/>
  <c r="M62" i="13"/>
  <c r="Z66"/>
  <c r="Z31"/>
  <c r="Z62"/>
  <c r="Y105"/>
  <c r="X73"/>
  <c r="K97"/>
  <c r="L158"/>
  <c r="N94"/>
  <c r="M30"/>
  <c r="L157"/>
  <c r="K169"/>
  <c r="J105"/>
  <c r="L61"/>
  <c r="L7" i="14" s="1"/>
  <c r="K73" i="13"/>
  <c r="L93"/>
  <c r="L29"/>
  <c r="K41"/>
  <c r="Z36"/>
  <c r="AA36" s="1"/>
  <c r="AB36" s="1"/>
  <c r="Y61"/>
  <c r="K18" i="14" s="1"/>
  <c r="Z93" i="13"/>
  <c r="Z68"/>
  <c r="AA68" s="1"/>
  <c r="AB68" s="1"/>
  <c r="Z100"/>
  <c r="AA100" s="1"/>
  <c r="AB100" s="1"/>
  <c r="L164"/>
  <c r="M164" s="1"/>
  <c r="N164" s="1"/>
  <c r="K99"/>
  <c r="L99" s="1"/>
  <c r="M99" s="1"/>
  <c r="N99" s="1"/>
  <c r="E12" i="59" l="1"/>
  <c r="K5" i="77"/>
  <c r="J5"/>
  <c r="K5" i="59"/>
  <c r="J5"/>
  <c r="F12" i="77"/>
  <c r="L7"/>
  <c r="H11"/>
  <c r="I11" i="52"/>
  <c r="I11" i="77" s="1"/>
  <c r="I7" i="17"/>
  <c r="I11" i="59"/>
  <c r="H11"/>
  <c r="G11"/>
  <c r="L8"/>
  <c r="G15" i="42"/>
  <c r="I15"/>
  <c r="D14"/>
  <c r="L6" i="52"/>
  <c r="L6" i="77" s="1"/>
  <c r="L5" i="52"/>
  <c r="J10" i="59"/>
  <c r="H4" i="52"/>
  <c r="G4"/>
  <c r="F12" i="59"/>
  <c r="L7"/>
  <c r="K7"/>
  <c r="K6"/>
  <c r="M8" i="52"/>
  <c r="M8" i="77" s="1"/>
  <c r="K9" i="52"/>
  <c r="K9" i="77" s="1"/>
  <c r="J6" i="17"/>
  <c r="H21" i="14"/>
  <c r="J11"/>
  <c r="X29" i="13"/>
  <c r="W41"/>
  <c r="H5" i="17"/>
  <c r="I4" i="52" s="1"/>
  <c r="K36" i="40"/>
  <c r="N36"/>
  <c r="H36"/>
  <c r="F36"/>
  <c r="K8" i="14"/>
  <c r="L10"/>
  <c r="L19"/>
  <c r="N62" i="13"/>
  <c r="AA66"/>
  <c r="AA31"/>
  <c r="AA62"/>
  <c r="Y73"/>
  <c r="L97"/>
  <c r="M158"/>
  <c r="N30"/>
  <c r="Z105"/>
  <c r="M157"/>
  <c r="L169"/>
  <c r="K105"/>
  <c r="M93"/>
  <c r="M61"/>
  <c r="M7" i="14" s="1"/>
  <c r="L73" i="13"/>
  <c r="M29"/>
  <c r="M165"/>
  <c r="N165" s="1"/>
  <c r="AA101"/>
  <c r="AB101" s="1"/>
  <c r="Z61"/>
  <c r="L18" i="14" s="1"/>
  <c r="L36" i="13"/>
  <c r="M36" s="1"/>
  <c r="N36" s="1"/>
  <c r="AA93"/>
  <c r="AA37"/>
  <c r="AB37" s="1"/>
  <c r="AA69"/>
  <c r="AB69" s="1"/>
  <c r="L100"/>
  <c r="M100" s="1"/>
  <c r="N100" s="1"/>
  <c r="L5" i="77" l="1"/>
  <c r="L5" i="59"/>
  <c r="G4" i="77"/>
  <c r="G4" i="59"/>
  <c r="I4" i="77"/>
  <c r="I4" i="59"/>
  <c r="H4"/>
  <c r="H4" i="77"/>
  <c r="I12"/>
  <c r="J11" i="52"/>
  <c r="J11" i="77" s="1"/>
  <c r="J7" i="17"/>
  <c r="M5" i="52"/>
  <c r="M6"/>
  <c r="M6" i="77" s="1"/>
  <c r="G12" i="52"/>
  <c r="K9" i="59"/>
  <c r="M8"/>
  <c r="L6"/>
  <c r="M19" i="14"/>
  <c r="I12" i="52"/>
  <c r="N8"/>
  <c r="N8" i="77" s="1"/>
  <c r="L9" i="52"/>
  <c r="L9" i="77" s="1"/>
  <c r="I21" i="14"/>
  <c r="K6" i="17"/>
  <c r="K10" i="52"/>
  <c r="K10" i="77" s="1"/>
  <c r="H12" i="52"/>
  <c r="J17" i="14"/>
  <c r="Y29" i="13"/>
  <c r="X41"/>
  <c r="I5" i="17"/>
  <c r="J4" i="52" s="1"/>
  <c r="K11" i="14"/>
  <c r="L36" i="40"/>
  <c r="E36"/>
  <c r="I36"/>
  <c r="J36"/>
  <c r="M36"/>
  <c r="D36"/>
  <c r="D15" i="42"/>
  <c r="C36" i="40"/>
  <c r="L8" i="14"/>
  <c r="L6"/>
  <c r="M6"/>
  <c r="M10"/>
  <c r="AB66" i="13"/>
  <c r="AB31"/>
  <c r="AB62"/>
  <c r="AA105"/>
  <c r="Z73"/>
  <c r="M97"/>
  <c r="N158"/>
  <c r="N10" i="14" s="1"/>
  <c r="M169" i="13"/>
  <c r="L105"/>
  <c r="N61"/>
  <c r="N7" i="14" s="1"/>
  <c r="M73" i="13"/>
  <c r="N93"/>
  <c r="N29"/>
  <c r="N6" i="14" s="1"/>
  <c r="M41" i="13"/>
  <c r="L41"/>
  <c r="AB102"/>
  <c r="N19" i="14" s="1"/>
  <c r="AB38" i="13"/>
  <c r="AA61"/>
  <c r="M18" i="14" s="1"/>
  <c r="N102" i="13"/>
  <c r="M101"/>
  <c r="N101" s="1"/>
  <c r="AB70"/>
  <c r="G12" i="77" l="1"/>
  <c r="M5"/>
  <c r="M5" i="59"/>
  <c r="J4" i="77"/>
  <c r="J12" s="1"/>
  <c r="J4" i="59"/>
  <c r="H12" i="77"/>
  <c r="K7" i="17"/>
  <c r="K11" i="52"/>
  <c r="K11" i="77" s="1"/>
  <c r="J11" i="59"/>
  <c r="G12"/>
  <c r="O16" i="42"/>
  <c r="K10" i="59"/>
  <c r="O6" i="52"/>
  <c r="N6"/>
  <c r="N6" i="77" s="1"/>
  <c r="N5" i="52"/>
  <c r="I12" i="59"/>
  <c r="H12"/>
  <c r="L9"/>
  <c r="N8"/>
  <c r="M6"/>
  <c r="J12" i="52"/>
  <c r="O7"/>
  <c r="N7"/>
  <c r="M9"/>
  <c r="M9" i="77" s="1"/>
  <c r="L6" i="17"/>
  <c r="L10" i="52"/>
  <c r="L10" i="77" s="1"/>
  <c r="O8" i="52"/>
  <c r="M7"/>
  <c r="M7" i="77" s="1"/>
  <c r="J21" i="14"/>
  <c r="K17"/>
  <c r="Y41" i="13"/>
  <c r="Z29"/>
  <c r="J5" i="17"/>
  <c r="K4" i="52" s="1"/>
  <c r="L11" i="14"/>
  <c r="M8"/>
  <c r="AB105" i="13"/>
  <c r="N41"/>
  <c r="AA73"/>
  <c r="N169"/>
  <c r="N97"/>
  <c r="N8" i="14" s="1"/>
  <c r="N73" i="13"/>
  <c r="M105"/>
  <c r="AB61"/>
  <c r="N18" i="14" s="1"/>
  <c r="N5" i="77" l="1"/>
  <c r="N5" i="59"/>
  <c r="K4" i="77"/>
  <c r="K4" i="59"/>
  <c r="O7" i="77"/>
  <c r="O6"/>
  <c r="K12"/>
  <c r="O8" i="59"/>
  <c r="O8" i="77"/>
  <c r="N7"/>
  <c r="L7" i="17"/>
  <c r="L11" i="52"/>
  <c r="L11" i="77" s="1"/>
  <c r="K11" i="59"/>
  <c r="N6"/>
  <c r="O5" i="52"/>
  <c r="O5" i="59" s="1"/>
  <c r="O6"/>
  <c r="O7"/>
  <c r="N7"/>
  <c r="M7"/>
  <c r="J12"/>
  <c r="M9"/>
  <c r="L10"/>
  <c r="K12" i="52"/>
  <c r="O9"/>
  <c r="K21" i="14"/>
  <c r="N9" i="52"/>
  <c r="N9" i="77" s="1"/>
  <c r="M6" i="17"/>
  <c r="M10" i="52"/>
  <c r="M10" i="77" s="1"/>
  <c r="M11" i="14"/>
  <c r="L17"/>
  <c r="Z41" i="13"/>
  <c r="AA29"/>
  <c r="K5" i="17"/>
  <c r="L4" i="52" s="1"/>
  <c r="N105" i="13"/>
  <c r="AB73"/>
  <c r="N11" i="14"/>
  <c r="L4" i="77" l="1"/>
  <c r="L12" s="1"/>
  <c r="L4" i="59"/>
  <c r="L11"/>
  <c r="O5" i="77"/>
  <c r="O9"/>
  <c r="M7" i="17"/>
  <c r="M11" i="52"/>
  <c r="M11" i="77" s="1"/>
  <c r="N9" i="59"/>
  <c r="K12"/>
  <c r="O9"/>
  <c r="M10"/>
  <c r="L12" i="52"/>
  <c r="L21" i="14"/>
  <c r="N6" i="17"/>
  <c r="N10" i="52"/>
  <c r="N10" i="77" s="1"/>
  <c r="M17" i="14"/>
  <c r="AB29" i="13"/>
  <c r="AA41"/>
  <c r="L5" i="17"/>
  <c r="M4" i="52" s="1"/>
  <c r="M4" i="77" l="1"/>
  <c r="M12" s="1"/>
  <c r="M4" i="59"/>
  <c r="M11"/>
  <c r="N7" i="17"/>
  <c r="O11" i="52" s="1"/>
  <c r="N11"/>
  <c r="N11" i="77" s="1"/>
  <c r="L12" i="59"/>
  <c r="N10"/>
  <c r="M12" i="52"/>
  <c r="M21" i="14"/>
  <c r="O10" i="52"/>
  <c r="N17" i="14"/>
  <c r="AB41" i="13"/>
  <c r="M5" i="17"/>
  <c r="N4" i="52" s="1"/>
  <c r="N4" i="77" l="1"/>
  <c r="N12" s="1"/>
  <c r="N4" i="59"/>
  <c r="N11"/>
  <c r="O11" i="77"/>
  <c r="O10" i="59"/>
  <c r="O10" i="77"/>
  <c r="O11" i="59"/>
  <c r="M12"/>
  <c r="N12" i="52"/>
  <c r="N21" i="14"/>
  <c r="N5" i="17"/>
  <c r="O4" i="52" s="1"/>
  <c r="O4" i="59" s="1"/>
  <c r="O4" i="77" l="1"/>
  <c r="N12" i="59"/>
  <c r="O12" i="77" l="1"/>
  <c r="O12" i="59"/>
  <c r="O12" i="52"/>
  <c r="D4" i="54" l="1"/>
  <c r="D5"/>
  <c r="E6" i="26" l="1"/>
  <c r="E5"/>
  <c r="E9" i="28"/>
  <c r="E7" s="1"/>
  <c r="D8"/>
  <c r="C17" i="41" s="1"/>
  <c r="D5" i="28"/>
  <c r="D4" s="1"/>
  <c r="E6"/>
  <c r="D10" i="41" s="1"/>
  <c r="D8" i="26"/>
  <c r="D9"/>
  <c r="C22" i="40" s="1"/>
  <c r="D12"/>
  <c r="D10" i="26" l="1"/>
  <c r="D11" s="1"/>
  <c r="E10"/>
  <c r="E11" s="1"/>
  <c r="D7" i="28"/>
  <c r="E4" i="26"/>
  <c r="D21" i="41"/>
  <c r="D10" i="28"/>
  <c r="D11" s="1"/>
  <c r="D8" i="40"/>
  <c r="C18"/>
  <c r="C6" i="41"/>
  <c r="D7" i="26"/>
  <c r="E4" i="28"/>
  <c r="E10"/>
  <c r="E11" s="1"/>
  <c r="O13" i="26" l="1"/>
  <c r="O13" i="28"/>
  <c r="L10" i="19" l="1"/>
  <c r="M10" l="1"/>
  <c r="J10"/>
  <c r="H10"/>
  <c r="H9" s="1"/>
  <c r="H11" s="1"/>
  <c r="H4" s="1"/>
  <c r="F10"/>
  <c r="K10"/>
  <c r="I10"/>
  <c r="G10"/>
  <c r="E10"/>
  <c r="E9" s="1"/>
  <c r="E11" s="1"/>
  <c r="E4" s="1"/>
  <c r="C10"/>
  <c r="C9" s="1"/>
  <c r="C11" s="1"/>
  <c r="C4" s="1"/>
  <c r="N10"/>
  <c r="M9"/>
  <c r="M11" s="1"/>
  <c r="M4" s="1"/>
  <c r="L9"/>
  <c r="L11" s="1"/>
  <c r="L4" s="1"/>
  <c r="J9"/>
  <c r="J11" s="1"/>
  <c r="J4" s="1"/>
  <c r="D10"/>
  <c r="D9" s="1"/>
  <c r="D11" s="1"/>
  <c r="D4" s="1"/>
  <c r="I5" i="56" l="1"/>
  <c r="I4"/>
  <c r="E5"/>
  <c r="E4"/>
  <c r="N9" i="19"/>
  <c r="N11" s="1"/>
  <c r="N4" s="1"/>
  <c r="K9"/>
  <c r="K11" s="1"/>
  <c r="K4" s="1"/>
  <c r="G9"/>
  <c r="G11" s="1"/>
  <c r="G4" s="1"/>
  <c r="F9"/>
  <c r="F11" s="1"/>
  <c r="F4" s="1"/>
  <c r="I9"/>
  <c r="I11" s="1"/>
  <c r="I4" s="1"/>
  <c r="J5" i="56" l="1"/>
  <c r="J4"/>
  <c r="F5"/>
  <c r="F4"/>
  <c r="H5"/>
  <c r="G5"/>
  <c r="H4"/>
  <c r="G4"/>
  <c r="M5"/>
  <c r="M4"/>
  <c r="N5"/>
  <c r="N4"/>
  <c r="K5"/>
  <c r="K4"/>
  <c r="D5"/>
  <c r="D4"/>
  <c r="O6"/>
  <c r="L11"/>
  <c r="F10"/>
  <c r="M9"/>
  <c r="K11"/>
  <c r="G10"/>
  <c r="D8"/>
  <c r="I6"/>
  <c r="O8"/>
  <c r="J6"/>
  <c r="H7"/>
  <c r="N9"/>
  <c r="I9"/>
  <c r="F8"/>
  <c r="N7"/>
  <c r="F11"/>
  <c r="D10"/>
  <c r="O7"/>
  <c r="M4" i="61" l="1"/>
  <c r="N4"/>
  <c r="L9" i="56"/>
  <c r="L6"/>
  <c r="L5"/>
  <c r="L4"/>
  <c r="O5"/>
  <c r="O4"/>
  <c r="C5"/>
  <c r="C4"/>
  <c r="N5" i="61"/>
  <c r="L11"/>
  <c r="K11"/>
  <c r="M9"/>
  <c r="O7"/>
  <c r="O8"/>
  <c r="O9" i="56"/>
  <c r="O11"/>
  <c r="O10"/>
  <c r="D10" i="61"/>
  <c r="D4"/>
  <c r="I9"/>
  <c r="H7"/>
  <c r="F5"/>
  <c r="I6"/>
  <c r="E4"/>
  <c r="G10"/>
  <c r="D5"/>
  <c r="F11"/>
  <c r="F8"/>
  <c r="J6"/>
  <c r="J5"/>
  <c r="D8"/>
  <c r="K8" i="56"/>
  <c r="M8"/>
  <c r="I11"/>
  <c r="H11"/>
  <c r="J11"/>
  <c r="L10"/>
  <c r="D7"/>
  <c r="D6"/>
  <c r="F6"/>
  <c r="N8"/>
  <c r="L7"/>
  <c r="F9"/>
  <c r="N6"/>
  <c r="L8"/>
  <c r="J10"/>
  <c r="D11"/>
  <c r="N10"/>
  <c r="J7"/>
  <c r="F7"/>
  <c r="K7"/>
  <c r="K9"/>
  <c r="E11"/>
  <c r="G11"/>
  <c r="M6"/>
  <c r="K6"/>
  <c r="E9"/>
  <c r="I7"/>
  <c r="I8"/>
  <c r="K4" i="61"/>
  <c r="I10" i="56"/>
  <c r="K10"/>
  <c r="E6"/>
  <c r="E7"/>
  <c r="G9"/>
  <c r="H8"/>
  <c r="G6"/>
  <c r="M11"/>
  <c r="H6"/>
  <c r="M10"/>
  <c r="E10"/>
  <c r="G8"/>
  <c r="G7"/>
  <c r="J8"/>
  <c r="E8"/>
  <c r="D9"/>
  <c r="N11"/>
  <c r="J9"/>
  <c r="M7"/>
  <c r="H9"/>
  <c r="H10"/>
  <c r="O6" i="61"/>
  <c r="N9"/>
  <c r="N7"/>
  <c r="C8" i="56"/>
  <c r="C10"/>
  <c r="C9"/>
  <c r="C6"/>
  <c r="C7"/>
  <c r="C11"/>
  <c r="L4" i="61" l="1"/>
  <c r="O5"/>
  <c r="L6"/>
  <c r="L5"/>
  <c r="L9"/>
  <c r="O4"/>
  <c r="N6"/>
  <c r="O11"/>
  <c r="M8"/>
  <c r="M10"/>
  <c r="M11"/>
  <c r="M6"/>
  <c r="K7"/>
  <c r="N10"/>
  <c r="L7"/>
  <c r="L10"/>
  <c r="M7"/>
  <c r="N11"/>
  <c r="K5"/>
  <c r="M5"/>
  <c r="K10"/>
  <c r="K6"/>
  <c r="K9"/>
  <c r="L8"/>
  <c r="N8"/>
  <c r="K8"/>
  <c r="O10"/>
  <c r="O9"/>
  <c r="C6"/>
  <c r="C8"/>
  <c r="E8"/>
  <c r="G7"/>
  <c r="E10"/>
  <c r="H6"/>
  <c r="H8"/>
  <c r="E7"/>
  <c r="I7"/>
  <c r="G11"/>
  <c r="G5"/>
  <c r="F7"/>
  <c r="D11"/>
  <c r="F9"/>
  <c r="D6"/>
  <c r="H5"/>
  <c r="F10"/>
  <c r="J4"/>
  <c r="G4"/>
  <c r="H11"/>
  <c r="I11"/>
  <c r="C7"/>
  <c r="C9"/>
  <c r="H10"/>
  <c r="C11"/>
  <c r="C4"/>
  <c r="C5"/>
  <c r="C10"/>
  <c r="H9"/>
  <c r="J9"/>
  <c r="D9"/>
  <c r="J8"/>
  <c r="G8"/>
  <c r="E5"/>
  <c r="G6"/>
  <c r="G9"/>
  <c r="E6"/>
  <c r="I10"/>
  <c r="I8"/>
  <c r="E9"/>
  <c r="I5"/>
  <c r="E11"/>
  <c r="J7"/>
  <c r="J10"/>
  <c r="F6"/>
  <c r="D7"/>
  <c r="F4"/>
  <c r="J11"/>
  <c r="H4"/>
  <c r="I4"/>
  <c r="L12" l="1"/>
  <c r="L15" s="1"/>
  <c r="M12"/>
  <c r="M15" s="1"/>
  <c r="J12"/>
  <c r="J15" s="1"/>
  <c r="I12"/>
  <c r="I15" s="1"/>
  <c r="H12"/>
  <c r="H15" s="1"/>
  <c r="K12"/>
  <c r="K15" s="1"/>
  <c r="O12"/>
  <c r="O15" s="1"/>
  <c r="N12"/>
  <c r="N15" s="1"/>
  <c r="F12"/>
  <c r="F15" s="1"/>
  <c r="G12"/>
  <c r="G15" s="1"/>
  <c r="D12"/>
  <c r="D15" s="1"/>
  <c r="E12"/>
  <c r="E15" s="1"/>
  <c r="C12"/>
  <c r="C15" s="1"/>
  <c r="L16" l="1"/>
  <c r="C16"/>
  <c r="E16"/>
  <c r="G16"/>
  <c r="O16"/>
  <c r="O29" s="1"/>
  <c r="H16"/>
  <c r="J16"/>
  <c r="J29" s="1"/>
  <c r="M16"/>
  <c r="D16"/>
  <c r="F16"/>
  <c r="N16"/>
  <c r="N25" s="1"/>
  <c r="K16"/>
  <c r="K27" s="1"/>
  <c r="I16"/>
  <c r="F24"/>
  <c r="E26"/>
  <c r="G27"/>
  <c r="C26" l="1"/>
  <c r="H26"/>
  <c r="H37" s="1"/>
  <c r="L28"/>
  <c r="L39" s="1"/>
  <c r="L22"/>
  <c r="L33" s="1"/>
  <c r="L25"/>
  <c r="L36" s="1"/>
  <c r="L23"/>
  <c r="L34" s="1"/>
  <c r="L26"/>
  <c r="L27"/>
  <c r="L38" s="1"/>
  <c r="L24"/>
  <c r="L35" s="1"/>
  <c r="L29"/>
  <c r="C27"/>
  <c r="G23"/>
  <c r="G34" s="1"/>
  <c r="L37"/>
  <c r="O22"/>
  <c r="N26"/>
  <c r="N37" s="1"/>
  <c r="L40"/>
  <c r="C23"/>
  <c r="C28"/>
  <c r="C39" s="1"/>
  <c r="E11" i="62" s="1"/>
  <c r="G29" i="61"/>
  <c r="G40" s="1"/>
  <c r="G26"/>
  <c r="G37" s="1"/>
  <c r="E25"/>
  <c r="E36" s="1"/>
  <c r="H28"/>
  <c r="J25"/>
  <c r="N29"/>
  <c r="N40" s="1"/>
  <c r="H27"/>
  <c r="H38" s="1"/>
  <c r="E27"/>
  <c r="H25"/>
  <c r="H36" s="1"/>
  <c r="E23"/>
  <c r="E34" s="1"/>
  <c r="K28"/>
  <c r="D25"/>
  <c r="D36" s="1"/>
  <c r="F26"/>
  <c r="F37" s="1"/>
  <c r="D22"/>
  <c r="I23"/>
  <c r="I34" s="1"/>
  <c r="C25"/>
  <c r="C29"/>
  <c r="C40" s="1"/>
  <c r="C24"/>
  <c r="C22"/>
  <c r="O23"/>
  <c r="O34" s="1"/>
  <c r="O25"/>
  <c r="O36" s="1"/>
  <c r="N22"/>
  <c r="K24"/>
  <c r="K35" s="1"/>
  <c r="K23"/>
  <c r="H24"/>
  <c r="H29"/>
  <c r="H40" s="1"/>
  <c r="H22"/>
  <c r="H23"/>
  <c r="H34" s="1"/>
  <c r="G25"/>
  <c r="G36" s="1"/>
  <c r="G24"/>
  <c r="G35" s="1"/>
  <c r="G22"/>
  <c r="G28"/>
  <c r="E28"/>
  <c r="E29"/>
  <c r="E24"/>
  <c r="E22"/>
  <c r="E33" s="1"/>
  <c r="F27"/>
  <c r="F38" s="1"/>
  <c r="F28"/>
  <c r="D24"/>
  <c r="D28"/>
  <c r="J28"/>
  <c r="J39" s="1"/>
  <c r="O26"/>
  <c r="O37" s="1"/>
  <c r="O24"/>
  <c r="N27"/>
  <c r="N38" s="1"/>
  <c r="N28"/>
  <c r="N39" s="1"/>
  <c r="N23"/>
  <c r="N34" s="1"/>
  <c r="K29"/>
  <c r="K22"/>
  <c r="K33" s="1"/>
  <c r="J22"/>
  <c r="J33" s="1"/>
  <c r="J27"/>
  <c r="I29"/>
  <c r="I26"/>
  <c r="I37" s="1"/>
  <c r="I24"/>
  <c r="I25"/>
  <c r="I36" s="1"/>
  <c r="I28"/>
  <c r="I39" s="1"/>
  <c r="I27"/>
  <c r="I22"/>
  <c r="I33" s="1"/>
  <c r="F25"/>
  <c r="F36" s="1"/>
  <c r="F23"/>
  <c r="F34" s="1"/>
  <c r="F22"/>
  <c r="F29"/>
  <c r="F40" s="1"/>
  <c r="D29"/>
  <c r="D40" s="1"/>
  <c r="D27"/>
  <c r="D38" s="1"/>
  <c r="D26"/>
  <c r="D23"/>
  <c r="D34" s="1"/>
  <c r="J26"/>
  <c r="J37" s="1"/>
  <c r="J24"/>
  <c r="G38"/>
  <c r="E37"/>
  <c r="F35"/>
  <c r="K25"/>
  <c r="K26"/>
  <c r="N24"/>
  <c r="M23"/>
  <c r="M26"/>
  <c r="M29"/>
  <c r="M22"/>
  <c r="M24"/>
  <c r="M28"/>
  <c r="M27"/>
  <c r="M25"/>
  <c r="J23"/>
  <c r="O27"/>
  <c r="O28"/>
  <c r="O40"/>
  <c r="K38"/>
  <c r="N36"/>
  <c r="J40"/>
  <c r="C37" l="1"/>
  <c r="J9" i="62" s="1"/>
  <c r="J8" i="60" s="1"/>
  <c r="J36" i="61"/>
  <c r="C34"/>
  <c r="C6" i="62" s="1"/>
  <c r="C5" i="60" s="1"/>
  <c r="O33" i="61"/>
  <c r="C38"/>
  <c r="K10" i="62" s="1"/>
  <c r="K9" i="60" s="1"/>
  <c r="K39" i="61"/>
  <c r="F39"/>
  <c r="L41"/>
  <c r="D33"/>
  <c r="I35"/>
  <c r="E35"/>
  <c r="E38"/>
  <c r="E39"/>
  <c r="E10" i="60" s="1"/>
  <c r="H33" i="61"/>
  <c r="H35"/>
  <c r="H39"/>
  <c r="I9" i="62"/>
  <c r="I8" i="60" s="1"/>
  <c r="N11" i="62"/>
  <c r="N10" i="60" s="1"/>
  <c r="E40" i="61"/>
  <c r="C35"/>
  <c r="D7" i="62" s="1"/>
  <c r="N33" i="61"/>
  <c r="D37"/>
  <c r="F33"/>
  <c r="I38"/>
  <c r="J38"/>
  <c r="D39"/>
  <c r="O12" i="62"/>
  <c r="O11" i="60" s="1"/>
  <c r="N12" i="62"/>
  <c r="N11" i="60" s="1"/>
  <c r="K12" i="62"/>
  <c r="D12"/>
  <c r="D11" i="60" s="1"/>
  <c r="G33" i="61"/>
  <c r="C33"/>
  <c r="J5" i="62" s="1"/>
  <c r="J4" i="60" s="1"/>
  <c r="D35" i="61"/>
  <c r="I40"/>
  <c r="L8" i="62"/>
  <c r="L7" i="60" s="1"/>
  <c r="M8" i="62"/>
  <c r="H8"/>
  <c r="H7" i="60" s="1"/>
  <c r="N8" i="62"/>
  <c r="N7" i="60" s="1"/>
  <c r="K8" i="62"/>
  <c r="E8"/>
  <c r="E7" i="60" s="1"/>
  <c r="C12" i="62"/>
  <c r="C11" i="60" s="1"/>
  <c r="J12" i="62"/>
  <c r="J11" i="60" s="1"/>
  <c r="L11" i="62"/>
  <c r="L10" i="60" s="1"/>
  <c r="L12" i="62"/>
  <c r="L11" i="60" s="1"/>
  <c r="I12" i="62"/>
  <c r="F12"/>
  <c r="F11" i="60" s="1"/>
  <c r="F6" i="62"/>
  <c r="F5" i="60" s="1"/>
  <c r="D11" i="62"/>
  <c r="M11"/>
  <c r="G39" i="61"/>
  <c r="C36"/>
  <c r="K34"/>
  <c r="M12" i="62"/>
  <c r="G12"/>
  <c r="G11" i="60" s="1"/>
  <c r="F11" i="62"/>
  <c r="H12"/>
  <c r="H11" i="60" s="1"/>
  <c r="E12" i="62"/>
  <c r="K11"/>
  <c r="J35" i="61"/>
  <c r="K40"/>
  <c r="O35"/>
  <c r="F8" i="62"/>
  <c r="F7" i="60" s="1"/>
  <c r="I8" i="62"/>
  <c r="I7" i="60" s="1"/>
  <c r="D8" i="62"/>
  <c r="D7" i="60" s="1"/>
  <c r="J8" i="62"/>
  <c r="G8"/>
  <c r="G7" i="60" s="1"/>
  <c r="O8" i="62"/>
  <c r="O7" i="60" s="1"/>
  <c r="O39" i="61"/>
  <c r="O38"/>
  <c r="J34"/>
  <c r="M38"/>
  <c r="M35"/>
  <c r="M40"/>
  <c r="K37"/>
  <c r="K36"/>
  <c r="M36"/>
  <c r="M39"/>
  <c r="M33"/>
  <c r="M37"/>
  <c r="M34"/>
  <c r="N35"/>
  <c r="H11" i="62"/>
  <c r="O11"/>
  <c r="G11"/>
  <c r="J11"/>
  <c r="J10" i="60" s="1"/>
  <c r="C11" i="62"/>
  <c r="C10" i="60" s="1"/>
  <c r="I11" i="62"/>
  <c r="I10" i="60" s="1"/>
  <c r="O6" i="62" l="1"/>
  <c r="O5" i="60" s="1"/>
  <c r="M6" i="62"/>
  <c r="M5" i="60" s="1"/>
  <c r="D9" i="62"/>
  <c r="D8" i="60" s="1"/>
  <c r="F9" i="62"/>
  <c r="F8" i="60" s="1"/>
  <c r="J7"/>
  <c r="M9" i="62"/>
  <c r="M8" i="60" s="1"/>
  <c r="C9" i="62"/>
  <c r="C8" i="60" s="1"/>
  <c r="L9" i="62"/>
  <c r="L8" i="60" s="1"/>
  <c r="H10"/>
  <c r="G6" i="62"/>
  <c r="G5" i="60" s="1"/>
  <c r="L6" i="62"/>
  <c r="L5" i="60" s="1"/>
  <c r="E10" i="62"/>
  <c r="E9"/>
  <c r="E8" i="60" s="1"/>
  <c r="H9" i="62"/>
  <c r="H8" i="60" s="1"/>
  <c r="K9" i="62"/>
  <c r="G10"/>
  <c r="G9" i="60" s="1"/>
  <c r="N9" i="62"/>
  <c r="N8" i="60" s="1"/>
  <c r="G9" i="62"/>
  <c r="G8" i="60" s="1"/>
  <c r="O9" i="62"/>
  <c r="O8" i="60" s="1"/>
  <c r="H10" i="62"/>
  <c r="H9" i="60" s="1"/>
  <c r="H6" i="62"/>
  <c r="H5" i="60" s="1"/>
  <c r="J6" i="62"/>
  <c r="J5" i="60" s="1"/>
  <c r="E6" i="62"/>
  <c r="E5" i="60" s="1"/>
  <c r="K6" i="62"/>
  <c r="K5" i="60" s="1"/>
  <c r="I6" i="62"/>
  <c r="I5" i="60" s="1"/>
  <c r="D6" i="62"/>
  <c r="D5" i="60" s="1"/>
  <c r="N6" i="62"/>
  <c r="N5" i="60" s="1"/>
  <c r="O10" i="62"/>
  <c r="O9" i="60" s="1"/>
  <c r="L10" i="62"/>
  <c r="L9" i="60" s="1"/>
  <c r="D10" i="62"/>
  <c r="D9" i="60" s="1"/>
  <c r="C10" i="62"/>
  <c r="C9" i="60" s="1"/>
  <c r="F10" i="62"/>
  <c r="F9" i="60" s="1"/>
  <c r="J10" i="62"/>
  <c r="I10"/>
  <c r="I9" i="60" s="1"/>
  <c r="M10" i="62"/>
  <c r="M9" i="60" s="1"/>
  <c r="N10" i="62"/>
  <c r="N9" i="60" s="1"/>
  <c r="D10"/>
  <c r="E9"/>
  <c r="F10"/>
  <c r="C41" i="61"/>
  <c r="I41"/>
  <c r="G10" i="60"/>
  <c r="K10"/>
  <c r="J9"/>
  <c r="F41" i="61"/>
  <c r="C5" i="62"/>
  <c r="C4" i="60" s="1"/>
  <c r="H41" i="61"/>
  <c r="L7" i="62"/>
  <c r="L6" i="60" s="1"/>
  <c r="N41" i="61"/>
  <c r="K8" i="60"/>
  <c r="O5" i="62"/>
  <c r="O4" i="60" s="1"/>
  <c r="E11"/>
  <c r="G41" i="61"/>
  <c r="E41"/>
  <c r="O10" i="60"/>
  <c r="F7" i="62"/>
  <c r="F6" i="60" s="1"/>
  <c r="N7" i="62"/>
  <c r="N6" i="60" s="1"/>
  <c r="I7" i="62"/>
  <c r="I6" i="60" s="1"/>
  <c r="K7" i="62"/>
  <c r="K6" i="60" s="1"/>
  <c r="G7" i="62"/>
  <c r="G6" i="60" s="1"/>
  <c r="J7" i="62"/>
  <c r="J6" i="60" s="1"/>
  <c r="M7" i="62"/>
  <c r="M6" i="60" s="1"/>
  <c r="C7" i="62"/>
  <c r="C6" i="60" s="1"/>
  <c r="O7" i="62"/>
  <c r="O6" i="60" s="1"/>
  <c r="E7" i="62"/>
  <c r="E6" i="60" s="1"/>
  <c r="H7" i="62"/>
  <c r="H6" i="60" s="1"/>
  <c r="L5" i="62"/>
  <c r="L4" i="60" s="1"/>
  <c r="N5" i="62"/>
  <c r="N4" i="60" s="1"/>
  <c r="K11"/>
  <c r="H5" i="62"/>
  <c r="H4" i="60" s="1"/>
  <c r="G5" i="62"/>
  <c r="G4" i="60" s="1"/>
  <c r="F5" i="62"/>
  <c r="F4" i="60" s="1"/>
  <c r="I5" i="62"/>
  <c r="I4" i="60" s="1"/>
  <c r="M7"/>
  <c r="M5" i="62"/>
  <c r="M4" i="60" s="1"/>
  <c r="I11"/>
  <c r="D41" i="61"/>
  <c r="K5" i="62"/>
  <c r="K4" i="60" s="1"/>
  <c r="D5" i="62"/>
  <c r="D4" i="60" s="1"/>
  <c r="E5" i="62"/>
  <c r="D6" i="60"/>
  <c r="M10"/>
  <c r="M11"/>
  <c r="J41" i="61"/>
  <c r="K41"/>
  <c r="O41"/>
  <c r="M41"/>
  <c r="K7" i="60"/>
  <c r="D7" i="39" l="1"/>
  <c r="C9" i="41" s="1"/>
  <c r="C8" s="1"/>
  <c r="M7" i="39"/>
  <c r="L9" i="41" s="1"/>
  <c r="L8" s="1"/>
  <c r="G6" i="39"/>
  <c r="F5" i="41" s="1"/>
  <c r="F4" s="1"/>
  <c r="K7" i="39"/>
  <c r="J9" i="41" s="1"/>
  <c r="J8" s="1"/>
  <c r="G9" i="39"/>
  <c r="F16" i="41" s="1"/>
  <c r="F15" s="1"/>
  <c r="G9" i="18"/>
  <c r="F17" i="40" s="1"/>
  <c r="F16" s="1"/>
  <c r="I10" i="39"/>
  <c r="H20" i="41" s="1"/>
  <c r="H19" s="1"/>
  <c r="L9" i="39"/>
  <c r="K16" i="41" s="1"/>
  <c r="K15" s="1"/>
  <c r="D7" i="18"/>
  <c r="C11" i="40" s="1"/>
  <c r="C10" s="1"/>
  <c r="J9" i="18"/>
  <c r="I17" i="40" s="1"/>
  <c r="I16" s="1"/>
  <c r="J10" i="18"/>
  <c r="I21" i="40" s="1"/>
  <c r="I20" s="1"/>
  <c r="O7" i="18"/>
  <c r="N11" i="40" s="1"/>
  <c r="N10" s="1"/>
  <c r="M6" i="18"/>
  <c r="L7" i="40" s="1"/>
  <c r="L6" s="1"/>
  <c r="I9" i="39"/>
  <c r="H16" i="41" s="1"/>
  <c r="H15" s="1"/>
  <c r="F9" i="18"/>
  <c r="E17" i="40" s="1"/>
  <c r="E16" s="1"/>
  <c r="I7" i="39"/>
  <c r="H9" i="41" s="1"/>
  <c r="H8" s="1"/>
  <c r="L10" i="18"/>
  <c r="K21" i="40" s="1"/>
  <c r="K20" s="1"/>
  <c r="M10" i="39"/>
  <c r="L20" i="41" s="1"/>
  <c r="L19" s="1"/>
  <c r="M7" i="18"/>
  <c r="L11" i="40" s="1"/>
  <c r="L10" s="1"/>
  <c r="O6" i="39"/>
  <c r="N5" i="41" s="1"/>
  <c r="N4" s="1"/>
  <c r="D10" i="18"/>
  <c r="C21" i="40" s="1"/>
  <c r="C20" s="1"/>
  <c r="J6" i="39"/>
  <c r="I5" i="41" s="1"/>
  <c r="I4" s="1"/>
  <c r="J10" i="39"/>
  <c r="I20" i="41" s="1"/>
  <c r="I19" s="1"/>
  <c r="D9" i="18"/>
  <c r="C17" i="40" s="1"/>
  <c r="C16" s="1"/>
  <c r="I10" i="18"/>
  <c r="H21" i="40" s="1"/>
  <c r="H20" s="1"/>
  <c r="E7" i="39"/>
  <c r="D9" i="41" s="1"/>
  <c r="D8" s="1"/>
  <c r="K9" i="39"/>
  <c r="J16" i="41" s="1"/>
  <c r="J15" s="1"/>
  <c r="D6" i="39"/>
  <c r="O10"/>
  <c r="N20" i="41" s="1"/>
  <c r="N19" s="1"/>
  <c r="I7" i="18"/>
  <c r="H11" i="40" s="1"/>
  <c r="H10" s="1"/>
  <c r="I6" i="18"/>
  <c r="H7" i="40" s="1"/>
  <c r="H6" s="1"/>
  <c r="D10" i="39"/>
  <c r="C20" i="41" s="1"/>
  <c r="C19" s="1"/>
  <c r="O10" i="18"/>
  <c r="N21" i="40" s="1"/>
  <c r="N20" s="1"/>
  <c r="J9" i="39"/>
  <c r="I16" i="41" s="1"/>
  <c r="I15" s="1"/>
  <c r="K10" i="39"/>
  <c r="J20" i="41" s="1"/>
  <c r="J19" s="1"/>
  <c r="G7" i="39"/>
  <c r="F9" i="41" s="1"/>
  <c r="F8" s="1"/>
  <c r="E7" i="18"/>
  <c r="D11" i="40" s="1"/>
  <c r="D10" s="1"/>
  <c r="D9" i="39"/>
  <c r="C16" i="41" s="1"/>
  <c r="C15" s="1"/>
  <c r="C23" s="1"/>
  <c r="C28" s="1"/>
  <c r="L9" i="18"/>
  <c r="K17" i="40" s="1"/>
  <c r="K16" s="1"/>
  <c r="K7" i="18"/>
  <c r="J11" i="40" s="1"/>
  <c r="J10" s="1"/>
  <c r="G7" i="18"/>
  <c r="F11" i="40" s="1"/>
  <c r="F10" s="1"/>
  <c r="D6" i="18"/>
  <c r="C7" i="40" s="1"/>
  <c r="C6" s="1"/>
  <c r="G10" i="18"/>
  <c r="F21" i="40" s="1"/>
  <c r="F20" s="1"/>
  <c r="K6" i="18"/>
  <c r="J7" i="40" s="1"/>
  <c r="J6" s="1"/>
  <c r="O9" i="18"/>
  <c r="N17" i="40" s="1"/>
  <c r="N16" s="1"/>
  <c r="E10" i="39"/>
  <c r="D20" i="41" s="1"/>
  <c r="D19" s="1"/>
  <c r="L10" i="39"/>
  <c r="K20" i="41" s="1"/>
  <c r="K19" s="1"/>
  <c r="I9" i="18"/>
  <c r="H17" i="40" s="1"/>
  <c r="H16" s="1"/>
  <c r="N6" i="18"/>
  <c r="M7" i="40" s="1"/>
  <c r="M6" s="1"/>
  <c r="M6" i="39"/>
  <c r="M5" s="1"/>
  <c r="M9" i="18"/>
  <c r="L17" i="40" s="1"/>
  <c r="L16" s="1"/>
  <c r="M10" i="18"/>
  <c r="L21" i="40" s="1"/>
  <c r="L20" s="1"/>
  <c r="N7" i="39"/>
  <c r="M9" i="41" s="1"/>
  <c r="M8" s="1"/>
  <c r="N7" i="18"/>
  <c r="M11" i="40" s="1"/>
  <c r="M10" s="1"/>
  <c r="J6" i="18"/>
  <c r="I7" i="40" s="1"/>
  <c r="I6" s="1"/>
  <c r="I6" i="39"/>
  <c r="J7"/>
  <c r="I9" i="41" s="1"/>
  <c r="I8" s="1"/>
  <c r="F9" i="39"/>
  <c r="E16" i="41" s="1"/>
  <c r="E15" s="1"/>
  <c r="G10" i="39"/>
  <c r="E6" i="18"/>
  <c r="D7" i="40" s="1"/>
  <c r="D6" s="1"/>
  <c r="G6" i="18"/>
  <c r="F7" i="40" s="1"/>
  <c r="F6" s="1"/>
  <c r="F14" s="1"/>
  <c r="J7" i="18"/>
  <c r="I11" i="40" s="1"/>
  <c r="I10" s="1"/>
  <c r="L7" i="18"/>
  <c r="K11" i="40" s="1"/>
  <c r="K10" s="1"/>
  <c r="L7" i="39"/>
  <c r="K9" i="41" s="1"/>
  <c r="K8" s="1"/>
  <c r="E4" i="60"/>
  <c r="N10" i="18"/>
  <c r="M21" i="40" s="1"/>
  <c r="M20" s="1"/>
  <c r="K9" i="18"/>
  <c r="J17" i="40" s="1"/>
  <c r="J16" s="1"/>
  <c r="F6" i="39"/>
  <c r="E5" i="41" s="1"/>
  <c r="E4" s="1"/>
  <c r="L6" i="39"/>
  <c r="K5" i="41" s="1"/>
  <c r="K4" s="1"/>
  <c r="K10" i="18"/>
  <c r="J21" i="40" s="1"/>
  <c r="J20" s="1"/>
  <c r="M9" i="39"/>
  <c r="N10"/>
  <c r="M20" i="41" s="1"/>
  <c r="M19" s="1"/>
  <c r="K6" i="39"/>
  <c r="J5" i="41" s="1"/>
  <c r="J4" s="1"/>
  <c r="O7" i="39"/>
  <c r="N9" i="41" s="1"/>
  <c r="N8" s="1"/>
  <c r="O6" i="18"/>
  <c r="N7" i="40" s="1"/>
  <c r="N6" s="1"/>
  <c r="N9" i="18"/>
  <c r="M17" i="40" s="1"/>
  <c r="M16" s="1"/>
  <c r="F10" i="18"/>
  <c r="O9" i="39"/>
  <c r="N6"/>
  <c r="M5" i="41" s="1"/>
  <c r="M4" s="1"/>
  <c r="N9" i="39"/>
  <c r="L6" i="18"/>
  <c r="K7" i="40" s="1"/>
  <c r="K6" s="1"/>
  <c r="K5" i="18"/>
  <c r="D5" i="39" l="1"/>
  <c r="F24" i="40"/>
  <c r="F30" s="1"/>
  <c r="O8" i="18"/>
  <c r="I8" i="39"/>
  <c r="I11"/>
  <c r="I12" s="1"/>
  <c r="C14" i="40"/>
  <c r="C29" s="1"/>
  <c r="D8" i="18"/>
  <c r="D11" i="39"/>
  <c r="D12" s="1"/>
  <c r="D5" i="18"/>
  <c r="I24" i="40"/>
  <c r="I30" s="1"/>
  <c r="D8" i="39"/>
  <c r="C5" i="41"/>
  <c r="C4" s="1"/>
  <c r="C12" s="1"/>
  <c r="C27" s="1"/>
  <c r="I5" i="39"/>
  <c r="G5"/>
  <c r="J8" i="18"/>
  <c r="O5" i="39"/>
  <c r="D11" i="18"/>
  <c r="D12" s="1"/>
  <c r="L5" i="41"/>
  <c r="L4" s="1"/>
  <c r="L12" s="1"/>
  <c r="L27" s="1"/>
  <c r="N14" i="40"/>
  <c r="N29" s="1"/>
  <c r="M8" i="39"/>
  <c r="G11"/>
  <c r="G12" s="1"/>
  <c r="H14" i="40"/>
  <c r="H29" s="1"/>
  <c r="J11" i="39"/>
  <c r="J12" s="1"/>
  <c r="E5" i="18"/>
  <c r="K8" i="39"/>
  <c r="L8"/>
  <c r="M5" i="18"/>
  <c r="J11"/>
  <c r="J12" s="1"/>
  <c r="N11"/>
  <c r="N12" s="1"/>
  <c r="L8"/>
  <c r="K5" i="39"/>
  <c r="J8"/>
  <c r="G8" i="18"/>
  <c r="I5"/>
  <c r="O8" i="39"/>
  <c r="F20" i="41"/>
  <c r="F19" s="1"/>
  <c r="F23" s="1"/>
  <c r="F28" s="1"/>
  <c r="K14" i="40"/>
  <c r="K29" s="1"/>
  <c r="L5" i="18"/>
  <c r="L5" i="39"/>
  <c r="H5" i="41"/>
  <c r="H4" s="1"/>
  <c r="H12" s="1"/>
  <c r="H27" s="1"/>
  <c r="N16"/>
  <c r="N15" s="1"/>
  <c r="N23" s="1"/>
  <c r="N28" s="1"/>
  <c r="I11" i="18"/>
  <c r="I12" s="1"/>
  <c r="I8"/>
  <c r="J5"/>
  <c r="N5"/>
  <c r="O11" i="39"/>
  <c r="O12" s="1"/>
  <c r="G8"/>
  <c r="J5"/>
  <c r="N8" i="18"/>
  <c r="G11"/>
  <c r="G12" s="1"/>
  <c r="G5"/>
  <c r="M11"/>
  <c r="M12" s="1"/>
  <c r="N11" i="39"/>
  <c r="N12" s="1"/>
  <c r="N5"/>
  <c r="M8" i="18"/>
  <c r="O11"/>
  <c r="O12" s="1"/>
  <c r="L16" i="41"/>
  <c r="L15" s="1"/>
  <c r="L23" s="1"/>
  <c r="L28" s="1"/>
  <c r="M11" i="39"/>
  <c r="M12" s="1"/>
  <c r="K8" i="18"/>
  <c r="E21" i="40"/>
  <c r="E20" s="1"/>
  <c r="E24" s="1"/>
  <c r="F8" i="18"/>
  <c r="F7"/>
  <c r="E11" i="40" s="1"/>
  <c r="E10" s="1"/>
  <c r="F6" i="18"/>
  <c r="F7" i="39"/>
  <c r="E6"/>
  <c r="E10" i="18"/>
  <c r="D21" i="40" s="1"/>
  <c r="D20" s="1"/>
  <c r="F10" i="39"/>
  <c r="E9"/>
  <c r="K11" i="18"/>
  <c r="K12" s="1"/>
  <c r="M16" i="41"/>
  <c r="M15" s="1"/>
  <c r="M23" s="1"/>
  <c r="M28" s="1"/>
  <c r="K11" i="39"/>
  <c r="K12" s="1"/>
  <c r="L11"/>
  <c r="L12" s="1"/>
  <c r="O5" i="18"/>
  <c r="E9"/>
  <c r="N8" i="39"/>
  <c r="L11" i="18"/>
  <c r="L12" s="1"/>
  <c r="I14" i="40"/>
  <c r="J14"/>
  <c r="M24"/>
  <c r="E30"/>
  <c r="M14"/>
  <c r="L24"/>
  <c r="N24"/>
  <c r="L14"/>
  <c r="K24"/>
  <c r="F29"/>
  <c r="H24"/>
  <c r="H23" i="41"/>
  <c r="H28" s="1"/>
  <c r="J12"/>
  <c r="J27" s="1"/>
  <c r="K12"/>
  <c r="K27" s="1"/>
  <c r="I23"/>
  <c r="I28" s="1"/>
  <c r="M12"/>
  <c r="M27" s="1"/>
  <c r="J23"/>
  <c r="J28" s="1"/>
  <c r="K23"/>
  <c r="K28" s="1"/>
  <c r="I12"/>
  <c r="I27" s="1"/>
  <c r="F12"/>
  <c r="F27" s="1"/>
  <c r="C24" i="40"/>
  <c r="N12" i="41"/>
  <c r="N27" s="1"/>
  <c r="D14" i="40"/>
  <c r="J24"/>
  <c r="C29" i="41" l="1"/>
  <c r="C30" s="1"/>
  <c r="N29"/>
  <c r="F31" i="40"/>
  <c r="D17"/>
  <c r="D16" s="1"/>
  <c r="D24" s="1"/>
  <c r="D30" s="1"/>
  <c r="E8" i="18"/>
  <c r="E11"/>
  <c r="E12" s="1"/>
  <c r="D16" i="41"/>
  <c r="D15" s="1"/>
  <c r="D23" s="1"/>
  <c r="D28" s="1"/>
  <c r="E8" i="39"/>
  <c r="E9" i="41"/>
  <c r="E8" s="1"/>
  <c r="E12" s="1"/>
  <c r="E27" s="1"/>
  <c r="F11" i="39"/>
  <c r="F12" s="1"/>
  <c r="F5"/>
  <c r="E20" i="41"/>
  <c r="E19" s="1"/>
  <c r="E23" s="1"/>
  <c r="E28" s="1"/>
  <c r="F8" i="39"/>
  <c r="E5"/>
  <c r="E11"/>
  <c r="E12" s="1"/>
  <c r="D5" i="41"/>
  <c r="D4" s="1"/>
  <c r="D12" s="1"/>
  <c r="D27" s="1"/>
  <c r="F11" i="18"/>
  <c r="F12" s="1"/>
  <c r="F5"/>
  <c r="E7" i="40"/>
  <c r="E6" s="1"/>
  <c r="E14" s="1"/>
  <c r="E29" s="1"/>
  <c r="H29" i="41"/>
  <c r="I29"/>
  <c r="F37" i="40"/>
  <c r="J30"/>
  <c r="D29"/>
  <c r="C30"/>
  <c r="H30"/>
  <c r="K30"/>
  <c r="L29"/>
  <c r="N30"/>
  <c r="L30"/>
  <c r="M29"/>
  <c r="M30"/>
  <c r="J29"/>
  <c r="I29"/>
  <c r="F32"/>
  <c r="L29" i="41"/>
  <c r="F29"/>
  <c r="K29"/>
  <c r="J29"/>
  <c r="M29"/>
  <c r="M30" l="1"/>
  <c r="K30"/>
  <c r="L30"/>
  <c r="H30"/>
  <c r="N30"/>
  <c r="J30"/>
  <c r="F30"/>
  <c r="I30"/>
  <c r="J31" i="40"/>
  <c r="J32" s="1"/>
  <c r="D29" i="41"/>
  <c r="E29"/>
  <c r="F38" i="40"/>
  <c r="F39" s="1"/>
  <c r="C31"/>
  <c r="C32" s="1"/>
  <c r="O14" i="39"/>
  <c r="O14" i="18"/>
  <c r="D31" i="40"/>
  <c r="D32" s="1"/>
  <c r="D37"/>
  <c r="J37"/>
  <c r="C37"/>
  <c r="J38"/>
  <c r="I37"/>
  <c r="I31"/>
  <c r="E31"/>
  <c r="E37"/>
  <c r="M37"/>
  <c r="M31"/>
  <c r="N31"/>
  <c r="N37"/>
  <c r="L37"/>
  <c r="L31"/>
  <c r="K31"/>
  <c r="K37"/>
  <c r="H37"/>
  <c r="H31"/>
  <c r="E30" i="41" l="1"/>
  <c r="D30"/>
  <c r="C38" i="40"/>
  <c r="D38"/>
  <c r="K38"/>
  <c r="N38"/>
  <c r="E38"/>
  <c r="J39"/>
  <c r="H38"/>
  <c r="L38"/>
  <c r="M38"/>
  <c r="I38"/>
  <c r="K32"/>
  <c r="N32"/>
  <c r="E32"/>
  <c r="H32"/>
  <c r="L32"/>
  <c r="M32"/>
  <c r="I32"/>
  <c r="N31" i="41" l="1"/>
  <c r="D6" i="76" s="1"/>
  <c r="E8" s="1"/>
  <c r="C39" i="40"/>
  <c r="D39"/>
  <c r="N33"/>
  <c r="I39"/>
  <c r="M39"/>
  <c r="L39"/>
  <c r="H39"/>
  <c r="E39"/>
  <c r="N39"/>
  <c r="K39"/>
  <c r="N40" l="1"/>
  <c r="D10" i="76" s="1"/>
  <c r="E13" l="1"/>
  <c r="E15" s="1"/>
</calcChain>
</file>

<file path=xl/sharedStrings.xml><?xml version="1.0" encoding="utf-8"?>
<sst xmlns="http://schemas.openxmlformats.org/spreadsheetml/2006/main" count="1501" uniqueCount="556">
  <si>
    <t>Cantidad</t>
  </si>
  <si>
    <t>Parking Internacional</t>
  </si>
  <si>
    <t>Parking Nacional</t>
  </si>
  <si>
    <t>Boarding Bridges (PLB)</t>
  </si>
  <si>
    <t>Cargo</t>
  </si>
  <si>
    <t>Ground Handling</t>
  </si>
  <si>
    <t>Fuel</t>
  </si>
  <si>
    <t>Parking Lot</t>
  </si>
  <si>
    <t>Counter - Terminal</t>
  </si>
  <si>
    <t>Oficinas - Terminal</t>
  </si>
  <si>
    <t>Oficinas - Fuera Terminal</t>
  </si>
  <si>
    <t xml:space="preserve">Almacen </t>
  </si>
  <si>
    <t>Talleres</t>
  </si>
  <si>
    <t>Terrenos</t>
  </si>
  <si>
    <t>Bancos</t>
  </si>
  <si>
    <t xml:space="preserve">Arrendamiento de locales </t>
  </si>
  <si>
    <t>Tiendas Comerciales</t>
  </si>
  <si>
    <t>Comidas y bebidas</t>
  </si>
  <si>
    <t>Transporte terrestre de pasajeros</t>
  </si>
  <si>
    <t>Publicidad</t>
  </si>
  <si>
    <t>Otros Comerciales</t>
  </si>
  <si>
    <t>Terminal - International (TUUA)</t>
  </si>
  <si>
    <t>Terminal - National (TUUA)</t>
  </si>
  <si>
    <t>Duty Free</t>
  </si>
  <si>
    <t>Retribucion Estado</t>
  </si>
  <si>
    <t>TUUA Intl</t>
  </si>
  <si>
    <t>A/D</t>
  </si>
  <si>
    <t>Retribucion Corpac</t>
  </si>
  <si>
    <t>Tasa Regulatoria</t>
  </si>
  <si>
    <t>TASAS DEPREC MED</t>
  </si>
  <si>
    <t>PERIODO</t>
  </si>
  <si>
    <t>Eq Diversos</t>
  </si>
  <si>
    <t>Unidades Transporte</t>
  </si>
  <si>
    <t>Muebles y Enseres</t>
  </si>
  <si>
    <t>Eq Computo</t>
  </si>
  <si>
    <t>DEPRECIACÓN  DE LAS MEJORAS</t>
  </si>
  <si>
    <t>Mejoras Aeropuerto</t>
  </si>
  <si>
    <t>Costos Concesion</t>
  </si>
  <si>
    <t>Otros</t>
  </si>
  <si>
    <t>ESR2001</t>
  </si>
  <si>
    <t>M2001</t>
  </si>
  <si>
    <t>ESR2002</t>
  </si>
  <si>
    <t>M2002</t>
  </si>
  <si>
    <t>ESR2003</t>
  </si>
  <si>
    <t>M2003</t>
  </si>
  <si>
    <t>ESR2004</t>
  </si>
  <si>
    <t>M2004</t>
  </si>
  <si>
    <t>ESR2005</t>
  </si>
  <si>
    <t>M2005</t>
  </si>
  <si>
    <t>ESR2006</t>
  </si>
  <si>
    <t>M2006</t>
  </si>
  <si>
    <t>ESR2007</t>
  </si>
  <si>
    <t>M2007</t>
  </si>
  <si>
    <t>ESR2008</t>
  </si>
  <si>
    <t>M2008</t>
  </si>
  <si>
    <t>ESR2009</t>
  </si>
  <si>
    <t>M2009</t>
  </si>
  <si>
    <t>ESR2010</t>
  </si>
  <si>
    <t>M2010</t>
  </si>
  <si>
    <t>ESR2011</t>
  </si>
  <si>
    <t>M2011</t>
  </si>
  <si>
    <t>Inversión remanente</t>
  </si>
  <si>
    <t>EC2001</t>
  </si>
  <si>
    <t>EC2002</t>
  </si>
  <si>
    <t>CC2001</t>
  </si>
  <si>
    <t>EC2003</t>
  </si>
  <si>
    <t>CC2002</t>
  </si>
  <si>
    <t>EC2004</t>
  </si>
  <si>
    <t>C2003</t>
  </si>
  <si>
    <t>EC2005</t>
  </si>
  <si>
    <t>CC2004</t>
  </si>
  <si>
    <t>EC2006</t>
  </si>
  <si>
    <t>CC2005</t>
  </si>
  <si>
    <t>EC2007</t>
  </si>
  <si>
    <t>CC2006</t>
  </si>
  <si>
    <t>EC2008</t>
  </si>
  <si>
    <t>CC2007</t>
  </si>
  <si>
    <t>EC2009</t>
  </si>
  <si>
    <t>CC2008</t>
  </si>
  <si>
    <t>EC2010</t>
  </si>
  <si>
    <t>CC2009</t>
  </si>
  <si>
    <t>EC2011</t>
  </si>
  <si>
    <t>CC2010</t>
  </si>
  <si>
    <t>CC2011</t>
  </si>
  <si>
    <t>ED2001</t>
  </si>
  <si>
    <t>ED2002</t>
  </si>
  <si>
    <t>O2001</t>
  </si>
  <si>
    <t>ED2003</t>
  </si>
  <si>
    <t>O2002</t>
  </si>
  <si>
    <t>ED2004</t>
  </si>
  <si>
    <t>O2003</t>
  </si>
  <si>
    <t>ED2005</t>
  </si>
  <si>
    <t>O2004</t>
  </si>
  <si>
    <t>ED2006</t>
  </si>
  <si>
    <t>O2005</t>
  </si>
  <si>
    <t>ED2007</t>
  </si>
  <si>
    <t>O2006</t>
  </si>
  <si>
    <t>ED2008</t>
  </si>
  <si>
    <t>O2007</t>
  </si>
  <si>
    <t>ED2009</t>
  </si>
  <si>
    <t>O2008</t>
  </si>
  <si>
    <t>ED2010</t>
  </si>
  <si>
    <t>O2009</t>
  </si>
  <si>
    <t>ED2011</t>
  </si>
  <si>
    <t>O2010</t>
  </si>
  <si>
    <t>O2011</t>
  </si>
  <si>
    <t>Stock de capital ED</t>
  </si>
  <si>
    <t>UT2001</t>
  </si>
  <si>
    <t>UT2002</t>
  </si>
  <si>
    <t>UT2003</t>
  </si>
  <si>
    <t>UT2004</t>
  </si>
  <si>
    <t>UT2005</t>
  </si>
  <si>
    <t>UT2006</t>
  </si>
  <si>
    <t>UT2007</t>
  </si>
  <si>
    <t>UT2008</t>
  </si>
  <si>
    <t>UT2009</t>
  </si>
  <si>
    <t>UT2010</t>
  </si>
  <si>
    <t>UT2011</t>
  </si>
  <si>
    <t>Stock de capital UT</t>
  </si>
  <si>
    <t>ME2001</t>
  </si>
  <si>
    <t>ME2002</t>
  </si>
  <si>
    <t>ME2003</t>
  </si>
  <si>
    <t>ME2004</t>
  </si>
  <si>
    <t>ME2005</t>
  </si>
  <si>
    <t>ME2006</t>
  </si>
  <si>
    <t>ME2007</t>
  </si>
  <si>
    <t>ME2008</t>
  </si>
  <si>
    <t>ME2009</t>
  </si>
  <si>
    <t>ME2010</t>
  </si>
  <si>
    <t>ME2011</t>
  </si>
  <si>
    <t>Stock de capital ME</t>
  </si>
  <si>
    <t>ACTIVO FIJO - US$ Miles</t>
  </si>
  <si>
    <t>INTANGIBLES - US$ Miles</t>
  </si>
  <si>
    <t>Eq Seguridad y Rescate (Depreciación)</t>
  </si>
  <si>
    <t>Eq Segur. y Rescate</t>
  </si>
  <si>
    <t>Equipos de Seguridad y Rescate</t>
  </si>
  <si>
    <t>Equipos de Computo</t>
  </si>
  <si>
    <t>Equipos Diversos</t>
  </si>
  <si>
    <t>Unidades de Transporte</t>
  </si>
  <si>
    <t>Total</t>
  </si>
  <si>
    <t>Obras en Curso y DPI</t>
  </si>
  <si>
    <t>Mejoras Aeropuerto (Depreciación)</t>
  </si>
  <si>
    <t>Equipos de Computo (Depreciaciones)</t>
  </si>
  <si>
    <t>Periodo</t>
  </si>
  <si>
    <t>Equipos Diversos (Depreciación)</t>
  </si>
  <si>
    <t>Stock  de Capital</t>
  </si>
  <si>
    <t>Unidades de Transporte (Depreciaciones)</t>
  </si>
  <si>
    <t>Promedio</t>
  </si>
  <si>
    <t>Muebles y Enseres (Depreciaciones)</t>
  </si>
  <si>
    <t>Costos Concesion (Depreciación)</t>
  </si>
  <si>
    <t>Otros (Depreciaciön)</t>
  </si>
  <si>
    <t>Valor Neto de los Inmuebles, Maquinaria y Equipos tranferidos al MTC. Al 31 de Diciembre de 2001</t>
  </si>
  <si>
    <t>Inmuebles, Maquinaria y Equipos. Al 31 de Diciembre de 2001</t>
  </si>
  <si>
    <t>Depreciación acumulda de Inmuebles, Maquinaria y Equipos. Al 31 de Diciembre de 2001</t>
  </si>
  <si>
    <t>Cuenta</t>
  </si>
  <si>
    <t>Saldos finales</t>
  </si>
  <si>
    <t>% Incl terreno</t>
  </si>
  <si>
    <t>% excl terreno</t>
  </si>
  <si>
    <t>Saldos iniciales</t>
  </si>
  <si>
    <t xml:space="preserve">  </t>
  </si>
  <si>
    <t>retiros o ventas</t>
  </si>
  <si>
    <t>Ajustes y transferencias</t>
  </si>
  <si>
    <t>adiciones al costo</t>
  </si>
  <si>
    <t>Edificios y otras construcciones</t>
  </si>
  <si>
    <t>Maq y equipo y otras unidades de explotación</t>
  </si>
  <si>
    <t>Unid transp</t>
  </si>
  <si>
    <t>Muebles y enseres</t>
  </si>
  <si>
    <t>Equipos diversos de servicio</t>
  </si>
  <si>
    <t>Unidades de reemplazo</t>
  </si>
  <si>
    <t>Unidades por recibir</t>
  </si>
  <si>
    <t>Trabajos en curso</t>
  </si>
  <si>
    <t>TOTAL</t>
  </si>
  <si>
    <t>Valor (US$)</t>
  </si>
  <si>
    <t>Terminal</t>
  </si>
  <si>
    <t>Pista</t>
  </si>
  <si>
    <t>Mejoras</t>
  </si>
  <si>
    <t>Capital ( US$)</t>
  </si>
  <si>
    <t>Indice de Precios</t>
  </si>
  <si>
    <t>indice de Precios Mejoras Aeropuerto</t>
  </si>
  <si>
    <t>Indice de Precios resto</t>
  </si>
  <si>
    <t>Cantidades del Capital</t>
  </si>
  <si>
    <t>Valor Nominal Implícito</t>
  </si>
  <si>
    <t>Impuesto a la Renta</t>
  </si>
  <si>
    <t>Costo del Capital
a precios  del año 2001</t>
  </si>
  <si>
    <t>Tasa Impuesto Renta</t>
  </si>
  <si>
    <t>Cantidades Laspeyres</t>
  </si>
  <si>
    <t>Numerador</t>
  </si>
  <si>
    <t>Denominador</t>
  </si>
  <si>
    <t>Cantidades Paasche</t>
  </si>
  <si>
    <t>Índice de Cantidades Fisher</t>
  </si>
  <si>
    <t>Variación Indice de Capital</t>
  </si>
  <si>
    <t>Average</t>
  </si>
  <si>
    <t>Precios Laspeyres</t>
  </si>
  <si>
    <t>Precios Paasche</t>
  </si>
  <si>
    <t>Índice de Precios Fisher</t>
  </si>
  <si>
    <t>Base de Capital 2001 (BK) Depreciaciones</t>
  </si>
  <si>
    <t>Activo</t>
  </si>
  <si>
    <t>INVERSION Y DEPRECIACION EN PLB</t>
  </si>
  <si>
    <t>Mangas</t>
  </si>
  <si>
    <t>Inversión Anual</t>
  </si>
  <si>
    <t>Depreciación Anual</t>
  </si>
  <si>
    <t>IPC  LIMA</t>
  </si>
  <si>
    <t> Enero</t>
  </si>
  <si>
    <t> Febrero</t>
  </si>
  <si>
    <t> Marzo</t>
  </si>
  <si>
    <t> Abril</t>
  </si>
  <si>
    <t> Mayo</t>
  </si>
  <si>
    <t> Junio</t>
  </si>
  <si>
    <t> Julio</t>
  </si>
  <si>
    <t> Agosto</t>
  </si>
  <si>
    <t> Setiembre</t>
  </si>
  <si>
    <t> Octubre</t>
  </si>
  <si>
    <t> Noviembre</t>
  </si>
  <si>
    <t> Diciembre</t>
  </si>
  <si>
    <t>Setiembre</t>
  </si>
  <si>
    <t>Octubre</t>
  </si>
  <si>
    <t>Noviembre</t>
  </si>
  <si>
    <t>Diciembre</t>
  </si>
  <si>
    <t>TIPO CAMBIO</t>
  </si>
  <si>
    <t>Ene00  </t>
  </si>
  <si>
    <t>Feb00  </t>
  </si>
  <si>
    <t>Mar00  </t>
  </si>
  <si>
    <t>Abr00  </t>
  </si>
  <si>
    <t>May00  </t>
  </si>
  <si>
    <t>Jun00  </t>
  </si>
  <si>
    <t>Jul00  </t>
  </si>
  <si>
    <t>Ago00  </t>
  </si>
  <si>
    <t>Sep00  </t>
  </si>
  <si>
    <t>Oct00  </t>
  </si>
  <si>
    <t>Nov00  </t>
  </si>
  <si>
    <t>Dic00  </t>
  </si>
  <si>
    <t>Ene01  </t>
  </si>
  <si>
    <t>Feb01  </t>
  </si>
  <si>
    <t>Mar01  </t>
  </si>
  <si>
    <t>Abr01  </t>
  </si>
  <si>
    <t>May01  </t>
  </si>
  <si>
    <t>Jun01  </t>
  </si>
  <si>
    <t>Jul01  </t>
  </si>
  <si>
    <t>Ago01  </t>
  </si>
  <si>
    <t>Sep01  </t>
  </si>
  <si>
    <t>Oct01  </t>
  </si>
  <si>
    <t>Nov01  </t>
  </si>
  <si>
    <t>Dic01  </t>
  </si>
  <si>
    <t>Ene02  </t>
  </si>
  <si>
    <t>Feb02  </t>
  </si>
  <si>
    <t>Mar02  </t>
  </si>
  <si>
    <t>Abr02  </t>
  </si>
  <si>
    <t>May02  </t>
  </si>
  <si>
    <t>Jun02  </t>
  </si>
  <si>
    <t>Jul02  </t>
  </si>
  <si>
    <t>Ago02  </t>
  </si>
  <si>
    <t>Sep02  </t>
  </si>
  <si>
    <t>Oct02  </t>
  </si>
  <si>
    <t>Nov02  </t>
  </si>
  <si>
    <t>Dic02  </t>
  </si>
  <si>
    <t>Ene03  </t>
  </si>
  <si>
    <t>Feb03  </t>
  </si>
  <si>
    <t>Mar03  </t>
  </si>
  <si>
    <t>Abr03  </t>
  </si>
  <si>
    <t>May03  </t>
  </si>
  <si>
    <t>Jun03  </t>
  </si>
  <si>
    <t>Jul03  </t>
  </si>
  <si>
    <t>Ago03  </t>
  </si>
  <si>
    <t>Sep03  </t>
  </si>
  <si>
    <t>Oct03  </t>
  </si>
  <si>
    <t>Nov03  </t>
  </si>
  <si>
    <t>Dic03  </t>
  </si>
  <si>
    <t>Ene04  </t>
  </si>
  <si>
    <t>Feb04  </t>
  </si>
  <si>
    <t>Mar04  </t>
  </si>
  <si>
    <t>Abr04  </t>
  </si>
  <si>
    <t>May04  </t>
  </si>
  <si>
    <t>Jun04  </t>
  </si>
  <si>
    <t>Jul04  </t>
  </si>
  <si>
    <t>Ago04  </t>
  </si>
  <si>
    <t>Sep04  </t>
  </si>
  <si>
    <t>Oct04  </t>
  </si>
  <si>
    <t>Nov04  </t>
  </si>
  <si>
    <t>Dic04  </t>
  </si>
  <si>
    <t>Ene05  </t>
  </si>
  <si>
    <t>Feb05  </t>
  </si>
  <si>
    <t>Mar05  </t>
  </si>
  <si>
    <t>Abr05  </t>
  </si>
  <si>
    <t>May05  </t>
  </si>
  <si>
    <t>Jun05  </t>
  </si>
  <si>
    <t>Jul05  </t>
  </si>
  <si>
    <t>Ago05  </t>
  </si>
  <si>
    <t>Sep05  </t>
  </si>
  <si>
    <t>Oct05  </t>
  </si>
  <si>
    <t>Nov05  </t>
  </si>
  <si>
    <t>Dic05  </t>
  </si>
  <si>
    <t>Ene06  </t>
  </si>
  <si>
    <t>Feb06  </t>
  </si>
  <si>
    <t>Mar06  </t>
  </si>
  <si>
    <t>Abr06  </t>
  </si>
  <si>
    <t>May06  </t>
  </si>
  <si>
    <t>Jun06  </t>
  </si>
  <si>
    <t>Jul06  </t>
  </si>
  <si>
    <t>Ago06  </t>
  </si>
  <si>
    <t>Sep06  </t>
  </si>
  <si>
    <t>Oct06  </t>
  </si>
  <si>
    <t>Nov06  </t>
  </si>
  <si>
    <t>Dic06  </t>
  </si>
  <si>
    <t>Ene07  </t>
  </si>
  <si>
    <t>Feb07  </t>
  </si>
  <si>
    <t>Mar07  </t>
  </si>
  <si>
    <t>Abr07  </t>
  </si>
  <si>
    <t>May07  </t>
  </si>
  <si>
    <t>Jun07  </t>
  </si>
  <si>
    <t>Jul07  </t>
  </si>
  <si>
    <t>Ago07  </t>
  </si>
  <si>
    <t>Sep07  </t>
  </si>
  <si>
    <t>Oct07  </t>
  </si>
  <si>
    <t>Nov07  </t>
  </si>
  <si>
    <t>Dic07  </t>
  </si>
  <si>
    <t>PTF Eco</t>
  </si>
  <si>
    <t>Rubro</t>
  </si>
  <si>
    <t>2001*</t>
  </si>
  <si>
    <t>Personal Estable (planilla)</t>
  </si>
  <si>
    <t>Funcionarios (Gerentes)</t>
  </si>
  <si>
    <t>Empleados</t>
  </si>
  <si>
    <t>US$ MILES</t>
  </si>
  <si>
    <t>Distribución de Participación de Trabajadores</t>
  </si>
  <si>
    <t>Ponderación Horas Hombre</t>
  </si>
  <si>
    <t>Gerente</t>
  </si>
  <si>
    <t>Gastos M.O. a precios 2001</t>
  </si>
  <si>
    <t>Precio relativo a 2001</t>
  </si>
  <si>
    <t>Numerados</t>
  </si>
  <si>
    <t>Variación Indice de Mano Obra</t>
  </si>
  <si>
    <t>2. Ponderacion Otros Gastos de Personal</t>
  </si>
  <si>
    <t>Porcentaje Personal</t>
  </si>
  <si>
    <t>3. Participacion de trabajadores</t>
  </si>
  <si>
    <t>Indice de Cantidades</t>
  </si>
  <si>
    <t xml:space="preserve">Total Gastos Personal </t>
  </si>
  <si>
    <t>Servicios Básicos</t>
  </si>
  <si>
    <t>Mantenimiento</t>
  </si>
  <si>
    <t>Materiales</t>
  </si>
  <si>
    <t>Retribución al Estado</t>
  </si>
  <si>
    <t>Gastos (US$)</t>
  </si>
  <si>
    <t>Operator Fee</t>
  </si>
  <si>
    <t>Costo Gerencia</t>
  </si>
  <si>
    <t>Outsourcing</t>
  </si>
  <si>
    <t>Servicios Tecnicos</t>
  </si>
  <si>
    <t>Servicios Basicos</t>
  </si>
  <si>
    <t>Impuestos</t>
  </si>
  <si>
    <t>Seguros</t>
  </si>
  <si>
    <t>Consultorias</t>
  </si>
  <si>
    <t>Servicios de Terceros</t>
  </si>
  <si>
    <t>Otros Gastos</t>
  </si>
  <si>
    <t>Gastos Materiales a precios 2001</t>
  </si>
  <si>
    <t>Variación Indice de Materiales</t>
  </si>
  <si>
    <t>Cantidades Fisher</t>
  </si>
  <si>
    <t>Gastos</t>
  </si>
  <si>
    <t>Precios Fisher</t>
  </si>
  <si>
    <t>Numerador Ind Cant Laspeyres</t>
  </si>
  <si>
    <t>indice de capital</t>
  </si>
  <si>
    <t>indice mano de Obra</t>
  </si>
  <si>
    <t>indice de materiales</t>
  </si>
  <si>
    <t>Denominador Ind Cant Laspeyres</t>
  </si>
  <si>
    <t>Ind Cant Laspeyres</t>
  </si>
  <si>
    <t>Numerador Ind Cant Paasche</t>
  </si>
  <si>
    <t>Denominador Ind Cant Paasche</t>
  </si>
  <si>
    <t>Ind Cant Paasche</t>
  </si>
  <si>
    <t>PROMEDIO PERIODO 2001 - 2012</t>
  </si>
  <si>
    <t>INDICE CANTIDADES</t>
  </si>
  <si>
    <t>Índice de Fisher Servicios</t>
  </si>
  <si>
    <t>Índice de Fisher Insumos</t>
  </si>
  <si>
    <t>Índice de Fisher</t>
  </si>
  <si>
    <t>Índice de Precios Insumos</t>
  </si>
  <si>
    <t>Numerador Indice de Precios Laspeyres</t>
  </si>
  <si>
    <t>Ind Precios Laspeyres</t>
  </si>
  <si>
    <t>Ind Precios Paasche</t>
  </si>
  <si>
    <t>Factor X</t>
  </si>
  <si>
    <t>Unidades Físicas</t>
  </si>
  <si>
    <t>Servicios</t>
  </si>
  <si>
    <t>Unidad</t>
  </si>
  <si>
    <t>Pasajeros salida</t>
  </si>
  <si>
    <t>Operación</t>
  </si>
  <si>
    <t>Catering</t>
  </si>
  <si>
    <t>Galones</t>
  </si>
  <si>
    <t>2001</t>
  </si>
  <si>
    <t>2002</t>
  </si>
  <si>
    <t>2003</t>
  </si>
  <si>
    <t>2004</t>
  </si>
  <si>
    <t>2006</t>
  </si>
  <si>
    <t>2007</t>
  </si>
  <si>
    <t>2008</t>
  </si>
  <si>
    <t>2009</t>
  </si>
  <si>
    <t>2010</t>
  </si>
  <si>
    <t>2011</t>
  </si>
  <si>
    <t>2012</t>
  </si>
  <si>
    <t>Pasajeros totales</t>
  </si>
  <si>
    <t>Producción de servicios</t>
  </si>
  <si>
    <t>USD Corrrientes</t>
  </si>
  <si>
    <t>Pago a CORPAC</t>
  </si>
  <si>
    <t>Ingresos brutos por servicios</t>
  </si>
  <si>
    <t>Variacion anual</t>
  </si>
  <si>
    <t>Índices de cantidades</t>
  </si>
  <si>
    <t>Índice de Laspeyres</t>
  </si>
  <si>
    <t>Índice de Paasche</t>
  </si>
  <si>
    <t>Propuesta Ositran</t>
  </si>
  <si>
    <t>TC Bancario Nuevo Sol / Dólar - Venta (S/. por US$)</t>
  </si>
  <si>
    <t>Var. Prom. Anual</t>
  </si>
  <si>
    <t>IPC Lima</t>
  </si>
  <si>
    <t>fuente : INEI</t>
  </si>
  <si>
    <t xml:space="preserve">IPC Ajustado </t>
  </si>
  <si>
    <t>IPC Ajustado</t>
  </si>
  <si>
    <t>Devaluacion</t>
  </si>
  <si>
    <t xml:space="preserve"> </t>
  </si>
  <si>
    <t>cuadro 23</t>
  </si>
  <si>
    <t>Tasa Libre de Riesgo</t>
  </si>
  <si>
    <t>Riesgo pais</t>
  </si>
  <si>
    <t>Prima de Mercado</t>
  </si>
  <si>
    <t xml:space="preserve">Costo de  deuda </t>
  </si>
  <si>
    <t>Equity</t>
  </si>
  <si>
    <t>Diferencia</t>
  </si>
  <si>
    <t>Fuente:  Modelo Lap</t>
  </si>
  <si>
    <t>Precio Unitario del Capital
normalizado al año 2001</t>
  </si>
  <si>
    <t>Fuente: Modelo Lap</t>
  </si>
  <si>
    <t>Deuda neta</t>
  </si>
  <si>
    <t>Estacionamiento</t>
  </si>
  <si>
    <t>Puertas de Embarque</t>
  </si>
  <si>
    <t>Pasajeros Salida</t>
  </si>
  <si>
    <t>Kilos de Carga</t>
  </si>
  <si>
    <t>m2</t>
  </si>
  <si>
    <t>Operaciones</t>
  </si>
  <si>
    <t>Horas</t>
  </si>
  <si>
    <t xml:space="preserve">                           </t>
  </si>
  <si>
    <t>Ingresos Brutos</t>
  </si>
  <si>
    <t>Generales</t>
  </si>
  <si>
    <t>Ingresos - Egresos</t>
  </si>
  <si>
    <t>Pago Corpac</t>
  </si>
  <si>
    <t>Retribucion Ositran</t>
  </si>
  <si>
    <t>Ingresos Netos</t>
  </si>
  <si>
    <t>Cantidad De Producto</t>
  </si>
  <si>
    <t>Precios Implicitos</t>
  </si>
  <si>
    <t>Indice Cantidades Servicios</t>
  </si>
  <si>
    <t>Indice Precios Servicios</t>
  </si>
  <si>
    <t>Capital</t>
  </si>
  <si>
    <t>Base Capital</t>
  </si>
  <si>
    <t>Valor Contable Base Capital</t>
  </si>
  <si>
    <t>Inversiones</t>
  </si>
  <si>
    <t>Depreciaciones</t>
  </si>
  <si>
    <t>Valor Contable Inversiones</t>
  </si>
  <si>
    <t>Stock Capital</t>
  </si>
  <si>
    <t>Precios De Capital</t>
  </si>
  <si>
    <t>Costo Unitario Capital</t>
  </si>
  <si>
    <t>Cantidades de Capital</t>
  </si>
  <si>
    <t>Valor Nominal Implicito</t>
  </si>
  <si>
    <t>Costo Capital 2001</t>
  </si>
  <si>
    <t>Precio Capital 2001</t>
  </si>
  <si>
    <t>Indice Cantidades Capital</t>
  </si>
  <si>
    <t>Indice Precios Capital</t>
  </si>
  <si>
    <t>Trabajo</t>
  </si>
  <si>
    <t>Cantidad De Trabajo</t>
  </si>
  <si>
    <t>Gasto En Salarios</t>
  </si>
  <si>
    <t>Gasto En Salarios A Precios 2001</t>
  </si>
  <si>
    <t>Precio Implicito Del Trabajo Al 2001</t>
  </si>
  <si>
    <t>Indice Cantidades Trabajo</t>
  </si>
  <si>
    <t>Indice Precios Trabajo</t>
  </si>
  <si>
    <t>Gasto Materiales</t>
  </si>
  <si>
    <t>Cantidades Materaliales Indexados</t>
  </si>
  <si>
    <t>Precios Implicito De Materiales</t>
  </si>
  <si>
    <t>Indice Cantidades Materiales</t>
  </si>
  <si>
    <t>Indice Precios Materiales</t>
  </si>
  <si>
    <t>Externos</t>
  </si>
  <si>
    <t>WACC</t>
  </si>
  <si>
    <t>Variación</t>
  </si>
  <si>
    <t>Deuda 2008</t>
  </si>
  <si>
    <t>2005 1/</t>
  </si>
  <si>
    <t>AID-Hasta 10 t</t>
  </si>
  <si>
    <t>AID-Más de 10 t hasta 35 t</t>
  </si>
  <si>
    <t>AID-Más de 35 t hasta 70 t</t>
  </si>
  <si>
    <t>AID-Más de 70 t hasta 100 t</t>
  </si>
  <si>
    <t>AID-Más de 100 t</t>
  </si>
  <si>
    <t>AIN-Hasta 10 t</t>
  </si>
  <si>
    <t>AIN-Más de 10 t hasta 35 t</t>
  </si>
  <si>
    <t>AIN-Más de 35 t hasta 70 t</t>
  </si>
  <si>
    <t>AIN-Más de 70 t hasta 100 t</t>
  </si>
  <si>
    <t>AIN-Más de 100 t</t>
  </si>
  <si>
    <t>DID-Hasta 10 t</t>
  </si>
  <si>
    <t>DID-Más de 10 t hasta 35 t</t>
  </si>
  <si>
    <t>DID-Más de 35 t hasta 70 t</t>
  </si>
  <si>
    <t>DID-Más de 70 t hasta 100 t</t>
  </si>
  <si>
    <t>DID-Más de 100 t</t>
  </si>
  <si>
    <t>DIN-Hasta 10 t</t>
  </si>
  <si>
    <t>DIN-Más de 10 t hasta 35 t</t>
  </si>
  <si>
    <t>DIN-Más de 35 t hasta 70 t</t>
  </si>
  <si>
    <t>DIN-Más de 70 t hasta 100 t</t>
  </si>
  <si>
    <t>DIN-Más de 100 t</t>
  </si>
  <si>
    <t>AND-Hasta 10 t</t>
  </si>
  <si>
    <t>AND-Más de 10 t hasta 35 t</t>
  </si>
  <si>
    <t>AND-Más de 35 t hasta 70 t</t>
  </si>
  <si>
    <t>AND-Más de 70 t hasta 100 t</t>
  </si>
  <si>
    <t>AND-Más de 100 t</t>
  </si>
  <si>
    <t>ANN-Hasta 10 t</t>
  </si>
  <si>
    <t>ANN-Más de 10 t hasta 35 t</t>
  </si>
  <si>
    <t>ANN-Más de 35 t hasta 70 t</t>
  </si>
  <si>
    <t>ANN-Más de 70 t hasta 100 t</t>
  </si>
  <si>
    <t>ANN-Más de 100 t</t>
  </si>
  <si>
    <t>DND-Hasta 10 t</t>
  </si>
  <si>
    <t>DND-Más de 10 t hasta 35 t</t>
  </si>
  <si>
    <t>DND-Más de 35 t hasta 70 t</t>
  </si>
  <si>
    <t>DND-Más de 70 t hasta 100 t</t>
  </si>
  <si>
    <t>DND-Más de 100 t</t>
  </si>
  <si>
    <t>DNN-Hasta 10 t</t>
  </si>
  <si>
    <t>DNN-Más de 10 t hasta 35 t</t>
  </si>
  <si>
    <t>DNN-Más de 35 t hasta 70 t</t>
  </si>
  <si>
    <t>DNN-Más de 70 t hasta 100 t</t>
  </si>
  <si>
    <t>DNN-Más de 100 t</t>
  </si>
  <si>
    <t>MILES DE HORAS - HOMBRE</t>
  </si>
  <si>
    <t>Factor de Productividad</t>
  </si>
  <si>
    <t xml:space="preserve"> Propuesta O S I T R A N</t>
  </si>
  <si>
    <t>Diferencia en el Crecimiento en Precios Insumos con la Economía</t>
  </si>
  <si>
    <t>Crecimiento en Precios Insumos Economia</t>
  </si>
  <si>
    <t>Crecimiento en Precios Insumos Empresa</t>
  </si>
  <si>
    <t>Diferencia en el Crecimiento en la PTF con la Economía</t>
  </si>
  <si>
    <t xml:space="preserve">Crecimiento en la PTF de la Empresa </t>
  </si>
  <si>
    <t>Crecimiento en la PTF de la Economía</t>
  </si>
  <si>
    <t>IPM Ajustado - LAP</t>
  </si>
  <si>
    <t>Funcionarios (gerentes)</t>
  </si>
  <si>
    <t>Promedio 2002-2012</t>
  </si>
  <si>
    <t>Laspeyres</t>
  </si>
  <si>
    <t>Paasche</t>
  </si>
  <si>
    <t>Fisher</t>
  </si>
  <si>
    <t>Variación anual índice de Fisher</t>
  </si>
  <si>
    <t>Índice de cantidades</t>
  </si>
  <si>
    <t>Promedio 2002 - 2012</t>
  </si>
  <si>
    <t>Variación anual indice de Fisher</t>
  </si>
  <si>
    <t>Variación índice de Fisher</t>
  </si>
  <si>
    <t>Miles de horas - hombre</t>
  </si>
  <si>
    <t>Personal en planilla</t>
  </si>
  <si>
    <t>Costos Concesión</t>
  </si>
  <si>
    <t>Capital (USD)</t>
  </si>
  <si>
    <t>Deflactores del capital</t>
  </si>
  <si>
    <t>Equipos de Cómputo</t>
  </si>
  <si>
    <t>Costo Económico</t>
  </si>
  <si>
    <t>Participación de los trabajadores</t>
  </si>
  <si>
    <t>Fuente :Osiptel</t>
  </si>
  <si>
    <t xml:space="preserve">Variación </t>
  </si>
  <si>
    <t>Variación  Promedio Anual</t>
  </si>
  <si>
    <t>Devaluación</t>
  </si>
  <si>
    <t>IPM ajustado con devaluación</t>
  </si>
  <si>
    <t>Promedio del año</t>
  </si>
  <si>
    <t>Wacc</t>
  </si>
  <si>
    <t>Tipo  de cambio</t>
  </si>
  <si>
    <t xml:space="preserve">IPM Ajustado </t>
  </si>
  <si>
    <t>IPM ajustado (con devaluación)</t>
  </si>
  <si>
    <t>ESTADOS FINANCIEROS AUDITADOS LAP S.A.</t>
  </si>
  <si>
    <t>Componentes</t>
  </si>
  <si>
    <t>Beta desapalancado</t>
  </si>
  <si>
    <t>Beta Apalancada</t>
  </si>
  <si>
    <t>Costo de Capital</t>
  </si>
  <si>
    <t>Tax Objetivo</t>
  </si>
  <si>
    <t>Stock Capital Promedio</t>
  </si>
  <si>
    <t>INDICE DE CONTENIDOS</t>
  </si>
</sst>
</file>

<file path=xl/styles.xml><?xml version="1.0" encoding="utf-8"?>
<styleSheet xmlns="http://schemas.openxmlformats.org/spreadsheetml/2006/main">
  <numFmts count="57">
    <numFmt numFmtId="43" formatCode="_ * #,##0.00_ ;_ * \-#,##0.00_ ;_ * &quot;-&quot;??_ ;_ @_ "/>
    <numFmt numFmtId="164" formatCode="_-* #,##0.00\ _€_-;\-* #,##0.00\ _€_-;_-* &quot;-&quot;??\ _€_-;_-@_-"/>
    <numFmt numFmtId="165" formatCode="_-* #,##0\ _€_-;\-* #,##0\ _€_-;_-* &quot;-&quot;??\ _€_-;_-@_-"/>
    <numFmt numFmtId="166" formatCode="0.000%"/>
    <numFmt numFmtId="167" formatCode="0.0%"/>
    <numFmt numFmtId="168" formatCode="#,##0.000000"/>
    <numFmt numFmtId="169" formatCode="0.000"/>
    <numFmt numFmtId="170" formatCode="#,##0.000"/>
    <numFmt numFmtId="171" formatCode="0.00000"/>
    <numFmt numFmtId="172" formatCode="_ * #,##0_ ;_ * \-#,##0_ ;_ * &quot;-&quot;??_ ;_ @_ "/>
    <numFmt numFmtId="173" formatCode="_(* #,##0_);_(* \(#,##0\);_(* &quot;-&quot;??_);_(@_)"/>
    <numFmt numFmtId="174" formatCode="hh:mm\ \a\.m\./\p\.m\._)"/>
    <numFmt numFmtId="175" formatCode="#,##0.0;\(#,##0.0\)"/>
    <numFmt numFmtId="176" formatCode="#,##0_%_);\(#,##0\)_%;#,##0_%_);@_%_)"/>
    <numFmt numFmtId="177" formatCode="#,##0.00_%_);\(#,##0.00\)_%;#,##0.00_%_);@_%_)"/>
    <numFmt numFmtId="178" formatCode="&quot;$&quot;#,##0_%_);\(&quot;$&quot;#,##0\)_%;&quot;$&quot;#,##0_%_);@_%_)"/>
    <numFmt numFmtId="179" formatCode="&quot;$&quot;#,##0.00_%_);\(&quot;$&quot;#,##0.00\)_%;&quot;$&quot;#,##0.00_%_);@_%_)"/>
    <numFmt numFmtId="180" formatCode="_(&quot;$&quot;* #,##0_);_(&quot;$&quot;* \(#,##0\);_(&quot;$&quot;* &quot;-&quot;_);_(@_)"/>
    <numFmt numFmtId="181" formatCode="m/d"/>
    <numFmt numFmtId="182" formatCode="m/d/yy_%_)"/>
    <numFmt numFmtId="183" formatCode="dd\ mmm\ yyyy_);&quot;Error &lt;0  &quot;;dd\ mmm\ yyyy_);&quot;  &quot;@"/>
    <numFmt numFmtId="184" formatCode="mmm\ yyyy_);&quot;Error &lt;0  &quot;;dd\ mmm\ yyyy_);&quot;  &quot;@"/>
    <numFmt numFmtId="185" formatCode="0_%_);\(0\)_%;0_%_);@_%_)"/>
    <numFmt numFmtId="186" formatCode="_([$€-2]\ * #,##0.00_);_([$€-2]\ * \(#,##0.00\);_([$€-2]\ * &quot;-&quot;??_)"/>
    <numFmt numFmtId="187" formatCode="#,##0.0000_);\(#,##0.0000\);&quot;-  &quot;;&quot;  &quot;@"/>
    <numFmt numFmtId="188" formatCode="0.00%;\(0.00%\)"/>
    <numFmt numFmtId="189" formatCode="0.0\%_);\(0.0\%\);0.0\%_);@_%_)"/>
    <numFmt numFmtId="190" formatCode="0.0000\x"/>
    <numFmt numFmtId="191" formatCode="mmm\ yyyy"/>
    <numFmt numFmtId="192" formatCode="0.0\x_)_);&quot;NM&quot;_x_)_);0.0\x_)_);@_%_)"/>
    <numFmt numFmtId="193" formatCode="#,##0.0;[Red]\(#,##0.0\)"/>
    <numFmt numFmtId="194" formatCode="0.00000000000000000000"/>
    <numFmt numFmtId="195" formatCode="_(* #,##0_);_(* \(#,##0\);_(* &quot;-&quot;?_);_(@_)"/>
    <numFmt numFmtId="196" formatCode="_-* #,##0.00\ _m_k_-;\-* #,##0.00\ _m_k_-;_-* &quot;-&quot;??\ _m_k_-;_-@_-"/>
    <numFmt numFmtId="197" formatCode="_-* #,##0\ _m_k_-;\-* #,##0\ _m_k_-;_-* &quot;-&quot;\ _m_k_-;_-@_-"/>
    <numFmt numFmtId="198" formatCode="_-* #,##0\ &quot;mk&quot;_-;\-* #,##0\ &quot;mk&quot;_-;_-* &quot;-&quot;\ &quot;mk&quot;_-;_-@_-"/>
    <numFmt numFmtId="199" formatCode="0.0%;\(0.0%\)"/>
    <numFmt numFmtId="200" formatCode="_-* #,##0.00\ &quot;mk&quot;_-;\-* #,##0.00\ &quot;mk&quot;_-;_-* &quot;-&quot;??\ &quot;mk&quot;_-;_-@_-"/>
    <numFmt numFmtId="201" formatCode="_(&quot;$&quot;* #,##0.00_);_(&quot;$&quot;* \(#,##0.00\);_(&quot;$&quot;* &quot;-&quot;??_);_(@_)"/>
    <numFmt numFmtId="202" formatCode="_-* #,##0.000\ _€_-;\-* #,##0.000\ _€_-;_-* &quot;-&quot;??\ _€_-;_-@_-"/>
    <numFmt numFmtId="203" formatCode="_(* #,##0.00_);_(* \(#,##0.00\);_(* &quot;-&quot;??_);_(@_)"/>
    <numFmt numFmtId="204" formatCode="0.0000%"/>
    <numFmt numFmtId="205" formatCode="0.0000000"/>
    <numFmt numFmtId="206" formatCode="0.0"/>
    <numFmt numFmtId="207" formatCode="_ * #,##0.000_ ;_ * \-#,##0.000_ ;_ * &quot;-&quot;??_ ;_ @_ "/>
    <numFmt numFmtId="208" formatCode="#,##0.00000"/>
    <numFmt numFmtId="209" formatCode="#,##0.0000;[Red]\-#,##0.0000"/>
    <numFmt numFmtId="210" formatCode="#,##0.00000;[Red]\-#,##0.00000"/>
    <numFmt numFmtId="211" formatCode="0.000000%"/>
    <numFmt numFmtId="212" formatCode="0.00000%"/>
    <numFmt numFmtId="213" formatCode="_ * #,##0.0_ ;_ * \-#,##0.0_ ;_ * &quot;-&quot;??_ ;_ @_ "/>
    <numFmt numFmtId="214" formatCode="_ * #,##0.0000_ ;_ * \-#,##0.0000_ ;_ * &quot;-&quot;??_ ;_ @_ "/>
    <numFmt numFmtId="215" formatCode="#,##0_ ;\-#,##0\ "/>
    <numFmt numFmtId="216" formatCode="0.0000000%"/>
    <numFmt numFmtId="217" formatCode="_ * #,##0.00000_ ;_ * \-#,##0.00000_ ;_ * &quot;-&quot;??_ ;_ @_ "/>
    <numFmt numFmtId="218" formatCode="0.000000000%"/>
    <numFmt numFmtId="219" formatCode="#,##0.0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b/>
      <sz val="18"/>
      <name val="Helv"/>
    </font>
    <font>
      <sz val="14"/>
      <name val="Helv"/>
    </font>
    <font>
      <b/>
      <sz val="14"/>
      <name val="Helv"/>
    </font>
    <font>
      <b/>
      <sz val="12"/>
      <name val="Palatino"/>
      <family val="1"/>
    </font>
    <font>
      <b/>
      <sz val="10"/>
      <name val="Palatino"/>
      <family val="1"/>
    </font>
    <font>
      <b/>
      <u/>
      <sz val="10"/>
      <name val="Palatino"/>
      <family val="1"/>
    </font>
    <font>
      <b/>
      <sz val="12"/>
      <name val="Helv"/>
    </font>
    <font>
      <sz val="9"/>
      <color indexed="18"/>
      <name val="Arial"/>
      <family val="2"/>
    </font>
    <font>
      <sz val="8"/>
      <name val="Palatino"/>
      <family val="1"/>
    </font>
    <font>
      <sz val="10"/>
      <name val="Tms Rmn"/>
    </font>
    <font>
      <sz val="8"/>
      <color indexed="16"/>
      <name val="Palatino"/>
      <family val="1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7"/>
      <name val="Palatino"/>
      <family val="1"/>
    </font>
    <font>
      <i/>
      <sz val="8"/>
      <name val="Arial"/>
      <family val="2"/>
    </font>
    <font>
      <sz val="6"/>
      <color indexed="16"/>
      <name val="Palatino"/>
      <family val="1"/>
    </font>
    <font>
      <b/>
      <sz val="10"/>
      <name val="Helv"/>
    </font>
    <font>
      <sz val="9"/>
      <color indexed="12"/>
      <name val="Times New Roman"/>
      <family val="1"/>
    </font>
    <font>
      <sz val="10"/>
      <name val="Courier"/>
      <family val="3"/>
    </font>
    <font>
      <sz val="10"/>
      <color indexed="16"/>
      <name val="Helvetica-Black"/>
    </font>
    <font>
      <sz val="10"/>
      <name val="MS Sans Serif"/>
      <family val="2"/>
    </font>
    <font>
      <sz val="10"/>
      <name val="Palatino"/>
      <family val="1"/>
    </font>
    <font>
      <sz val="10"/>
      <name val="Geneva"/>
    </font>
    <font>
      <sz val="10"/>
      <color indexed="10"/>
      <name val="Times New Roman"/>
      <family val="1"/>
    </font>
    <font>
      <sz val="8"/>
      <name val="Arial"/>
      <family val="2"/>
    </font>
    <font>
      <sz val="10"/>
      <color indexed="8"/>
      <name val="MS Sans Serif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7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 Narrow"/>
      <family val="2"/>
    </font>
    <font>
      <sz val="7"/>
      <color indexed="10"/>
      <name val="Arial"/>
      <family val="2"/>
    </font>
    <font>
      <sz val="7"/>
      <color theme="1"/>
      <name val="Corbel"/>
      <family val="2"/>
    </font>
    <font>
      <b/>
      <sz val="7"/>
      <color theme="0"/>
      <name val="Corbel"/>
      <family val="2"/>
    </font>
    <font>
      <b/>
      <sz val="7"/>
      <color theme="1"/>
      <name val="Corbel"/>
      <family val="2"/>
    </font>
    <font>
      <sz val="7"/>
      <name val="Corbel"/>
      <family val="2"/>
    </font>
    <font>
      <b/>
      <sz val="7"/>
      <color rgb="FFCC0000"/>
      <name val="Corbel"/>
      <family val="2"/>
    </font>
    <font>
      <sz val="7"/>
      <color theme="0"/>
      <name val="Corbel"/>
      <family val="2"/>
    </font>
    <font>
      <sz val="11"/>
      <color theme="1"/>
      <name val="Corbel"/>
      <family val="2"/>
    </font>
    <font>
      <b/>
      <sz val="7"/>
      <color indexed="9"/>
      <name val="Corbel"/>
      <family val="2"/>
    </font>
    <font>
      <b/>
      <sz val="7"/>
      <name val="Corbel"/>
      <family val="2"/>
    </font>
    <font>
      <sz val="10"/>
      <name val="Corbel"/>
      <family val="2"/>
    </font>
    <font>
      <b/>
      <sz val="10"/>
      <name val="Corbel"/>
      <family val="2"/>
    </font>
    <font>
      <b/>
      <i/>
      <sz val="7"/>
      <name val="Corbel"/>
      <family val="2"/>
    </font>
    <font>
      <sz val="7"/>
      <color indexed="10"/>
      <name val="Corbel"/>
      <family val="2"/>
    </font>
    <font>
      <sz val="7"/>
      <color rgb="FF000000"/>
      <name val="Corbel"/>
      <family val="2"/>
    </font>
    <font>
      <b/>
      <sz val="7"/>
      <color rgb="FF000000"/>
      <name val="Corbel"/>
      <family val="2"/>
    </font>
    <font>
      <b/>
      <sz val="10"/>
      <color indexed="10"/>
      <name val="Corbel"/>
      <family val="2"/>
    </font>
    <font>
      <sz val="8"/>
      <name val="Corbel"/>
      <family val="2"/>
    </font>
    <font>
      <sz val="10"/>
      <color indexed="9"/>
      <name val="Corbel"/>
      <family val="2"/>
    </font>
    <font>
      <u/>
      <sz val="14.3"/>
      <color theme="10"/>
      <name val="Calibri"/>
      <family val="2"/>
    </font>
    <font>
      <u/>
      <sz val="7"/>
      <color theme="10"/>
      <name val="Corbel"/>
      <family val="2"/>
    </font>
    <font>
      <sz val="12"/>
      <name val="Corbel"/>
      <family val="2"/>
    </font>
    <font>
      <sz val="10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</font>
    <font>
      <b/>
      <sz val="10"/>
      <color theme="0"/>
      <name val="Corbel"/>
      <family val="2"/>
    </font>
    <font>
      <b/>
      <sz val="20"/>
      <name val="Corbel"/>
      <family val="2"/>
    </font>
  </fonts>
  <fills count="14">
    <fill>
      <patternFill patternType="none"/>
    </fill>
    <fill>
      <patternFill patternType="gray125"/>
    </fill>
    <fill>
      <patternFill patternType="solid">
        <fgColor rgb="FFCC0000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9" tint="0.59999389629810485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9" tint="0.39997558519241921"/>
      </left>
      <right style="thin">
        <color theme="0"/>
      </right>
      <top style="thin">
        <color theme="9" tint="0.39997558519241921"/>
      </top>
      <bottom style="thick">
        <color theme="0"/>
      </bottom>
      <diagonal/>
    </border>
    <border>
      <left/>
      <right style="thin">
        <color theme="0"/>
      </right>
      <top style="thin">
        <color theme="9" tint="0.39997558519241921"/>
      </top>
      <bottom style="thick">
        <color theme="0"/>
      </bottom>
      <diagonal/>
    </border>
    <border>
      <left style="thin">
        <color theme="9" tint="0.39997558519241921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ck">
        <color theme="0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4" fontId="2" fillId="0" borderId="0" applyFont="0" applyFill="0" applyBorder="0" applyAlignment="0" applyProtection="0">
      <alignment horizontal="right"/>
    </xf>
    <xf numFmtId="37" fontId="4" fillId="0" borderId="0"/>
    <xf numFmtId="37" fontId="5" fillId="0" borderId="0"/>
    <xf numFmtId="37" fontId="6" fillId="0" borderId="0"/>
    <xf numFmtId="0" fontId="7" fillId="0" borderId="0" applyNumberFormat="0"/>
    <xf numFmtId="0" fontId="8" fillId="0" borderId="6"/>
    <xf numFmtId="0" fontId="9" fillId="0" borderId="0" applyNumberFormat="0"/>
    <xf numFmtId="37" fontId="10" fillId="0" borderId="8" applyNumberFormat="0" applyFont="0" applyFill="0" applyAlignment="0" applyProtection="0"/>
    <xf numFmtId="37" fontId="10" fillId="0" borderId="2" applyNumberFormat="0" applyFont="0" applyFill="0" applyAlignment="0" applyProtection="0"/>
    <xf numFmtId="175" fontId="11" fillId="0" borderId="0" applyFont="0" applyFill="0" applyBorder="0" applyAlignment="0" applyProtection="0">
      <protection locked="0"/>
    </xf>
    <xf numFmtId="176" fontId="12" fillId="0" borderId="0" applyFont="0" applyFill="0" applyBorder="0" applyAlignment="0" applyProtection="0">
      <alignment horizontal="right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177" fontId="12" fillId="0" borderId="0" applyFont="0" applyFill="0" applyBorder="0" applyAlignment="0" applyProtection="0">
      <alignment horizontal="right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3" fillId="0" borderId="0"/>
    <xf numFmtId="178" fontId="12" fillId="0" borderId="0" applyFont="0" applyFill="0" applyBorder="0" applyAlignment="0" applyProtection="0">
      <alignment horizontal="right"/>
    </xf>
    <xf numFmtId="179" fontId="12" fillId="0" borderId="0" applyFont="0" applyFill="0" applyBorder="0" applyAlignment="0" applyProtection="0">
      <alignment horizontal="right"/>
    </xf>
    <xf numFmtId="0" fontId="14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3" fontId="15" fillId="0" borderId="0" applyFont="0" applyFill="0" applyBorder="0" applyAlignment="0" applyProtection="0">
      <alignment vertical="top"/>
    </xf>
    <xf numFmtId="184" fontId="16" fillId="0" borderId="0" applyFont="0" applyFill="0" applyBorder="0" applyAlignment="0" applyProtection="0"/>
    <xf numFmtId="175" fontId="11" fillId="0" borderId="0">
      <protection locked="0"/>
    </xf>
    <xf numFmtId="0" fontId="2" fillId="0" borderId="0"/>
    <xf numFmtId="185" fontId="12" fillId="0" borderId="9" applyNumberFormat="0" applyFont="0" applyFill="0" applyAlignment="0" applyProtection="0"/>
    <xf numFmtId="186" fontId="2" fillId="0" borderId="0" applyFont="0" applyFill="0" applyBorder="0" applyAlignment="0" applyProtection="0"/>
    <xf numFmtId="187" fontId="17" fillId="0" borderId="0" applyFont="0" applyFill="0" applyBorder="0" applyAlignment="0" applyProtection="0">
      <alignment horizontal="right"/>
    </xf>
    <xf numFmtId="2" fontId="2" fillId="0" borderId="0" applyFont="0" applyFill="0" applyBorder="0" applyAlignment="0" applyProtection="0"/>
    <xf numFmtId="0" fontId="18" fillId="0" borderId="0" applyFill="0" applyBorder="0" applyProtection="0">
      <alignment horizontal="left"/>
    </xf>
    <xf numFmtId="188" fontId="19" fillId="0" borderId="0" applyFill="0" applyBorder="0" applyAlignment="0" applyProtection="0"/>
    <xf numFmtId="189" fontId="12" fillId="0" borderId="0" applyFont="0" applyFill="0" applyBorder="0" applyAlignment="0" applyProtection="0">
      <alignment horizontal="right"/>
    </xf>
    <xf numFmtId="0" fontId="20" fillId="0" borderId="0" applyProtection="0">
      <alignment horizontal="right"/>
    </xf>
    <xf numFmtId="37" fontId="21" fillId="0" borderId="0" applyNumberFormat="0" applyFill="0" applyBorder="0" applyAlignment="0" applyProtection="0"/>
    <xf numFmtId="37" fontId="10" fillId="0" borderId="0" applyNumberFormat="0" applyFill="0" applyBorder="0" applyAlignment="0" applyProtection="0"/>
    <xf numFmtId="190" fontId="2" fillId="0" borderId="0" applyNumberFormat="0" applyFill="0" applyBorder="0" applyAlignment="0" applyProtection="0"/>
    <xf numFmtId="191" fontId="2" fillId="0" borderId="0">
      <alignment horizontal="right"/>
    </xf>
    <xf numFmtId="192" fontId="12" fillId="0" borderId="0" applyFont="0" applyFill="0" applyBorder="0" applyAlignment="0" applyProtection="0">
      <alignment horizontal="right"/>
    </xf>
    <xf numFmtId="0" fontId="12" fillId="0" borderId="0" applyFont="0" applyFill="0" applyBorder="0" applyAlignment="0" applyProtection="0">
      <alignment horizontal="right"/>
    </xf>
    <xf numFmtId="193" fontId="22" fillId="0" borderId="10" applyBorder="0" applyAlignment="0" applyProtection="0">
      <alignment horizontal="center"/>
    </xf>
    <xf numFmtId="0" fontId="23" fillId="0" borderId="0"/>
    <xf numFmtId="194" fontId="2" fillId="0" borderId="0" applyNumberFormat="0" applyFill="0" applyBorder="0" applyAlignment="0"/>
    <xf numFmtId="0" fontId="2" fillId="0" borderId="0"/>
    <xf numFmtId="0" fontId="13" fillId="0" borderId="0"/>
    <xf numFmtId="0" fontId="2" fillId="0" borderId="0"/>
    <xf numFmtId="1" fontId="24" fillId="0" borderId="0" applyProtection="0">
      <alignment horizontal="right" vertical="center"/>
    </xf>
    <xf numFmtId="195" fontId="2" fillId="0" borderId="0" applyFont="0" applyFill="0" applyBorder="0" applyAlignment="0" applyProtection="0"/>
    <xf numFmtId="167" fontId="25" fillId="0" borderId="0"/>
    <xf numFmtId="167" fontId="25" fillId="0" borderId="0"/>
    <xf numFmtId="0" fontId="14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37" fontId="28" fillId="0" borderId="0" applyNumberFormat="0" applyFill="0" applyBorder="0" applyAlignment="0" applyProtection="0"/>
    <xf numFmtId="199" fontId="29" fillId="0" borderId="0" applyFill="0" applyBorder="0" applyAlignment="0" applyProtection="0"/>
    <xf numFmtId="0" fontId="30" fillId="0" borderId="0"/>
    <xf numFmtId="0" fontId="31" fillId="0" borderId="0" applyBorder="0" applyProtection="0">
      <alignment vertical="center"/>
    </xf>
    <xf numFmtId="185" fontId="31" fillId="0" borderId="6" applyBorder="0" applyProtection="0">
      <alignment horizontal="right" vertical="center"/>
    </xf>
    <xf numFmtId="0" fontId="32" fillId="4" borderId="0" applyBorder="0" applyProtection="0">
      <alignment horizontal="centerContinuous" vertical="center"/>
    </xf>
    <xf numFmtId="0" fontId="32" fillId="5" borderId="6" applyBorder="0" applyProtection="0">
      <alignment horizontal="centerContinuous" vertical="center"/>
    </xf>
    <xf numFmtId="0" fontId="33" fillId="0" borderId="0" applyFill="0" applyBorder="0" applyProtection="0">
      <alignment horizontal="left"/>
    </xf>
    <xf numFmtId="0" fontId="18" fillId="0" borderId="3" applyFill="0" applyBorder="0" applyProtection="0">
      <alignment horizontal="left" vertical="top"/>
    </xf>
    <xf numFmtId="200" fontId="2" fillId="0" borderId="0" applyFont="0" applyFill="0" applyBorder="0" applyAlignment="0" applyProtection="0"/>
    <xf numFmtId="180" fontId="30" fillId="0" borderId="0" applyFont="0" applyFill="0" applyBorder="0" applyAlignment="0" applyProtection="0"/>
    <xf numFmtId="201" fontId="30" fillId="0" borderId="0" applyFont="0" applyFill="0" applyBorder="0" applyAlignment="0" applyProtection="0"/>
    <xf numFmtId="0" fontId="37" fillId="0" borderId="0"/>
    <xf numFmtId="0" fontId="1" fillId="0" borderId="0"/>
    <xf numFmtId="0" fontId="57" fillId="0" borderId="0" applyNumberFormat="0" applyFill="0" applyBorder="0" applyAlignment="0" applyProtection="0">
      <alignment vertical="top"/>
      <protection locked="0"/>
    </xf>
    <xf numFmtId="0" fontId="2" fillId="0" borderId="0"/>
    <xf numFmtId="37" fontId="3" fillId="7" borderId="0">
      <alignment horizont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1" fillId="0" borderId="0"/>
  </cellStyleXfs>
  <cellXfs count="445">
    <xf numFmtId="0" fontId="0" fillId="0" borderId="0" xfId="0"/>
    <xf numFmtId="0" fontId="34" fillId="0" borderId="0" xfId="0" applyFont="1" applyFill="1"/>
    <xf numFmtId="0" fontId="36" fillId="0" borderId="0" xfId="0" applyFont="1" applyAlignment="1">
      <alignment vertical="center"/>
    </xf>
    <xf numFmtId="0" fontId="36" fillId="0" borderId="0" xfId="0" applyFont="1" applyFill="1" applyBorder="1" applyAlignment="1">
      <alignment vertical="center"/>
    </xf>
    <xf numFmtId="167" fontId="36" fillId="0" borderId="0" xfId="3" applyNumberFormat="1" applyFont="1" applyFill="1" applyBorder="1" applyAlignment="1">
      <alignment vertical="center"/>
    </xf>
    <xf numFmtId="9" fontId="35" fillId="8" borderId="0" xfId="0" applyNumberFormat="1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/>
    <xf numFmtId="0" fontId="34" fillId="0" borderId="0" xfId="0" applyFont="1" applyFill="1" applyBorder="1"/>
    <xf numFmtId="164" fontId="35" fillId="0" borderId="0" xfId="1" applyNumberFormat="1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10" fontId="36" fillId="0" borderId="0" xfId="0" applyNumberFormat="1" applyFont="1" applyAlignment="1">
      <alignment vertical="center"/>
    </xf>
    <xf numFmtId="2" fontId="36" fillId="0" borderId="0" xfId="0" applyNumberFormat="1" applyFont="1" applyAlignment="1">
      <alignment vertical="center"/>
    </xf>
    <xf numFmtId="0" fontId="36" fillId="7" borderId="0" xfId="0" applyFont="1" applyFill="1" applyBorder="1" applyAlignment="1">
      <alignment vertical="center"/>
    </xf>
    <xf numFmtId="206" fontId="36" fillId="7" borderId="0" xfId="3" applyNumberFormat="1" applyFont="1" applyFill="1" applyBorder="1" applyAlignment="1">
      <alignment horizontal="right" vertical="center"/>
    </xf>
    <xf numFmtId="206" fontId="38" fillId="0" borderId="0" xfId="0" applyNumberFormat="1" applyFont="1" applyAlignment="1">
      <alignment horizontal="right"/>
    </xf>
    <xf numFmtId="206" fontId="36" fillId="0" borderId="0" xfId="0" applyNumberFormat="1" applyFont="1" applyAlignment="1">
      <alignment horizontal="right" vertical="center"/>
    </xf>
    <xf numFmtId="4" fontId="36" fillId="6" borderId="0" xfId="0" applyNumberFormat="1" applyFont="1" applyFill="1" applyBorder="1" applyAlignment="1">
      <alignment horizontal="right" vertical="center"/>
    </xf>
    <xf numFmtId="2" fontId="36" fillId="0" borderId="0" xfId="0" applyNumberFormat="1" applyFont="1" applyAlignment="1">
      <alignment horizontal="right" vertical="center"/>
    </xf>
    <xf numFmtId="2" fontId="36" fillId="0" borderId="0" xfId="0" applyNumberFormat="1" applyFont="1" applyBorder="1" applyAlignment="1">
      <alignment horizontal="right" vertical="center"/>
    </xf>
    <xf numFmtId="0" fontId="36" fillId="0" borderId="0" xfId="0" applyFont="1" applyAlignment="1">
      <alignment horizontal="right" vertical="center"/>
    </xf>
    <xf numFmtId="10" fontId="36" fillId="7" borderId="0" xfId="3" applyNumberFormat="1" applyFont="1" applyFill="1" applyBorder="1" applyAlignment="1">
      <alignment horizontal="center" vertical="center"/>
    </xf>
    <xf numFmtId="10" fontId="36" fillId="7" borderId="0" xfId="0" applyNumberFormat="1" applyFont="1" applyFill="1" applyBorder="1" applyAlignment="1">
      <alignment vertical="center"/>
    </xf>
    <xf numFmtId="10" fontId="36" fillId="7" borderId="0" xfId="0" applyNumberFormat="1" applyFont="1" applyFill="1" applyBorder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3" fontId="36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4" fontId="35" fillId="6" borderId="0" xfId="0" applyNumberFormat="1" applyFont="1" applyFill="1" applyBorder="1" applyAlignment="1">
      <alignment horizontal="right" vertical="center"/>
    </xf>
    <xf numFmtId="2" fontId="35" fillId="0" borderId="0" xfId="0" applyNumberFormat="1" applyFont="1" applyAlignment="1">
      <alignment horizontal="right" vertical="center"/>
    </xf>
    <xf numFmtId="0" fontId="39" fillId="0" borderId="0" xfId="0" applyFont="1" applyFill="1"/>
    <xf numFmtId="0" fontId="42" fillId="0" borderId="0" xfId="0" applyFont="1" applyFill="1" applyBorder="1" applyAlignment="1">
      <alignment vertical="center"/>
    </xf>
    <xf numFmtId="3" fontId="39" fillId="0" borderId="0" xfId="0" applyNumberFormat="1" applyFont="1" applyFill="1" applyBorder="1"/>
    <xf numFmtId="0" fontId="39" fillId="0" borderId="0" xfId="0" applyFont="1" applyFill="1" applyBorder="1"/>
    <xf numFmtId="38" fontId="39" fillId="0" borderId="0" xfId="0" applyNumberFormat="1" applyFont="1" applyFill="1" applyBorder="1"/>
    <xf numFmtId="0" fontId="43" fillId="6" borderId="0" xfId="62" applyFont="1" applyFill="1" applyBorder="1"/>
    <xf numFmtId="0" fontId="42" fillId="6" borderId="0" xfId="62" applyFont="1" applyFill="1" applyBorder="1"/>
    <xf numFmtId="0" fontId="39" fillId="0" borderId="0" xfId="0" applyFont="1" applyFill="1" applyAlignment="1">
      <alignment horizontal="left" vertical="center"/>
    </xf>
    <xf numFmtId="0" fontId="42" fillId="0" borderId="0" xfId="0" applyFont="1" applyFill="1" applyBorder="1"/>
    <xf numFmtId="0" fontId="42" fillId="0" borderId="0" xfId="0" applyFont="1" applyFill="1"/>
    <xf numFmtId="0" fontId="40" fillId="3" borderId="11" xfId="0" applyFont="1" applyFill="1" applyBorder="1" applyAlignment="1">
      <alignment horizontal="center" vertical="center"/>
    </xf>
    <xf numFmtId="0" fontId="40" fillId="3" borderId="13" xfId="0" applyFont="1" applyFill="1" applyBorder="1" applyAlignment="1">
      <alignment horizontal="center" vertical="center"/>
    </xf>
    <xf numFmtId="0" fontId="42" fillId="10" borderId="14" xfId="0" applyFont="1" applyFill="1" applyBorder="1" applyAlignment="1">
      <alignment vertical="center"/>
    </xf>
    <xf numFmtId="3" fontId="42" fillId="10" borderId="14" xfId="0" applyNumberFormat="1" applyFont="1" applyFill="1" applyBorder="1"/>
    <xf numFmtId="0" fontId="42" fillId="11" borderId="14" xfId="0" applyFont="1" applyFill="1" applyBorder="1" applyAlignment="1">
      <alignment vertical="center"/>
    </xf>
    <xf numFmtId="3" fontId="42" fillId="11" borderId="14" xfId="0" applyNumberFormat="1" applyFont="1" applyFill="1" applyBorder="1"/>
    <xf numFmtId="3" fontId="42" fillId="11" borderId="15" xfId="0" applyNumberFormat="1" applyFont="1" applyFill="1" applyBorder="1"/>
    <xf numFmtId="0" fontId="40" fillId="9" borderId="16" xfId="0" applyFont="1" applyFill="1" applyBorder="1" applyAlignment="1">
      <alignment horizontal="center" vertical="center"/>
    </xf>
    <xf numFmtId="0" fontId="45" fillId="0" borderId="0" xfId="0" applyFont="1" applyFill="1"/>
    <xf numFmtId="0" fontId="40" fillId="7" borderId="11" xfId="0" applyFont="1" applyFill="1" applyBorder="1" applyAlignment="1">
      <alignment horizontal="center" vertical="center"/>
    </xf>
    <xf numFmtId="0" fontId="40" fillId="3" borderId="18" xfId="0" applyFont="1" applyFill="1" applyBorder="1" applyAlignment="1">
      <alignment horizontal="center" vertical="center"/>
    </xf>
    <xf numFmtId="0" fontId="42" fillId="10" borderId="19" xfId="0" applyFont="1" applyFill="1" applyBorder="1" applyAlignment="1">
      <alignment vertical="center"/>
    </xf>
    <xf numFmtId="9" fontId="42" fillId="10" borderId="14" xfId="3" applyFont="1" applyFill="1" applyBorder="1"/>
    <xf numFmtId="0" fontId="43" fillId="6" borderId="0" xfId="62" applyFont="1" applyFill="1" applyBorder="1" applyAlignment="1">
      <alignment horizontal="left" vertical="center"/>
    </xf>
    <xf numFmtId="0" fontId="42" fillId="6" borderId="0" xfId="62" applyFont="1" applyFill="1" applyBorder="1" applyAlignment="1">
      <alignment horizontal="left" vertical="center"/>
    </xf>
    <xf numFmtId="0" fontId="45" fillId="0" borderId="0" xfId="0" applyFont="1" applyFill="1" applyAlignment="1">
      <alignment horizontal="left" vertical="center"/>
    </xf>
    <xf numFmtId="0" fontId="40" fillId="3" borderId="17" xfId="0" applyFont="1" applyFill="1" applyBorder="1" applyAlignment="1">
      <alignment horizontal="left" vertical="center"/>
    </xf>
    <xf numFmtId="0" fontId="42" fillId="10" borderId="19" xfId="0" applyFont="1" applyFill="1" applyBorder="1" applyAlignment="1">
      <alignment horizontal="left" vertical="center"/>
    </xf>
    <xf numFmtId="0" fontId="42" fillId="11" borderId="19" xfId="0" applyFont="1" applyFill="1" applyBorder="1" applyAlignment="1">
      <alignment vertical="center"/>
    </xf>
    <xf numFmtId="166" fontId="42" fillId="10" borderId="14" xfId="3" applyNumberFormat="1" applyFont="1" applyFill="1" applyBorder="1"/>
    <xf numFmtId="1" fontId="42" fillId="11" borderId="14" xfId="0" quotePrefix="1" applyNumberFormat="1" applyFont="1" applyFill="1" applyBorder="1" applyAlignment="1">
      <alignment horizontal="right" vertical="center"/>
    </xf>
    <xf numFmtId="3" fontId="42" fillId="10" borderId="14" xfId="0" applyNumberFormat="1" applyFont="1" applyFill="1" applyBorder="1" applyAlignment="1">
      <alignment horizontal="right" vertical="center"/>
    </xf>
    <xf numFmtId="3" fontId="42" fillId="11" borderId="14" xfId="0" applyNumberFormat="1" applyFont="1" applyFill="1" applyBorder="1" applyAlignment="1">
      <alignment horizontal="right" vertical="center"/>
    </xf>
    <xf numFmtId="3" fontId="39" fillId="0" borderId="0" xfId="0" applyNumberFormat="1" applyFont="1" applyFill="1"/>
    <xf numFmtId="0" fontId="39" fillId="0" borderId="0" xfId="0" applyFont="1" applyFill="1" applyBorder="1" applyAlignment="1">
      <alignment horizontal="center" vertical="center"/>
    </xf>
    <xf numFmtId="166" fontId="41" fillId="0" borderId="0" xfId="0" applyNumberFormat="1" applyFont="1" applyFill="1" applyBorder="1" applyAlignment="1">
      <alignment horizontal="center" vertical="center"/>
    </xf>
    <xf numFmtId="38" fontId="39" fillId="0" borderId="0" xfId="0" applyNumberFormat="1" applyFont="1" applyFill="1"/>
    <xf numFmtId="4" fontId="42" fillId="11" borderId="14" xfId="0" applyNumberFormat="1" applyFont="1" applyFill="1" applyBorder="1" applyAlignment="1">
      <alignment horizontal="right" vertical="center"/>
    </xf>
    <xf numFmtId="0" fontId="46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4" fontId="39" fillId="0" borderId="0" xfId="0" applyNumberFormat="1" applyFont="1" applyFill="1" applyBorder="1"/>
    <xf numFmtId="170" fontId="39" fillId="0" borderId="0" xfId="0" applyNumberFormat="1" applyFont="1" applyFill="1" applyBorder="1"/>
    <xf numFmtId="3" fontId="42" fillId="0" borderId="0" xfId="0" applyNumberFormat="1" applyFont="1" applyFill="1" applyBorder="1" applyAlignment="1">
      <alignment vertical="center"/>
    </xf>
    <xf numFmtId="3" fontId="41" fillId="0" borderId="0" xfId="0" applyNumberFormat="1" applyFont="1" applyFill="1" applyBorder="1"/>
    <xf numFmtId="0" fontId="39" fillId="0" borderId="0" xfId="0" applyFont="1" applyFill="1" applyBorder="1" applyAlignment="1">
      <alignment horizontal="left" vertical="center"/>
    </xf>
    <xf numFmtId="0" fontId="48" fillId="0" borderId="0" xfId="0" applyFont="1" applyFill="1"/>
    <xf numFmtId="0" fontId="42" fillId="0" borderId="0" xfId="4" applyFont="1"/>
    <xf numFmtId="167" fontId="42" fillId="0" borderId="0" xfId="6" applyNumberFormat="1" applyFont="1" applyAlignment="1">
      <alignment horizontal="center"/>
    </xf>
    <xf numFmtId="0" fontId="42" fillId="0" borderId="0" xfId="4" applyFont="1" applyFill="1" applyBorder="1"/>
    <xf numFmtId="0" fontId="42" fillId="0" borderId="0" xfId="4" applyFont="1" applyFill="1" applyBorder="1" applyAlignment="1">
      <alignment vertical="center"/>
    </xf>
    <xf numFmtId="0" fontId="47" fillId="0" borderId="0" xfId="4" applyFont="1" applyAlignment="1">
      <alignment vertical="center"/>
    </xf>
    <xf numFmtId="0" fontId="42" fillId="0" borderId="6" xfId="4" applyFont="1" applyBorder="1" applyAlignment="1">
      <alignment vertical="center"/>
    </xf>
    <xf numFmtId="0" fontId="42" fillId="0" borderId="0" xfId="4" applyFont="1" applyAlignment="1">
      <alignment vertical="center"/>
    </xf>
    <xf numFmtId="0" fontId="42" fillId="0" borderId="0" xfId="4" applyFont="1" applyAlignment="1">
      <alignment vertical="center" wrapText="1"/>
    </xf>
    <xf numFmtId="0" fontId="47" fillId="0" borderId="0" xfId="4" applyFont="1" applyAlignment="1">
      <alignment horizontal="left"/>
    </xf>
    <xf numFmtId="37" fontId="42" fillId="0" borderId="0" xfId="4" applyNumberFormat="1" applyFont="1"/>
    <xf numFmtId="3" fontId="40" fillId="3" borderId="11" xfId="0" applyNumberFormat="1" applyFont="1" applyFill="1" applyBorder="1" applyAlignment="1">
      <alignment horizontal="center" vertical="center"/>
    </xf>
    <xf numFmtId="0" fontId="40" fillId="3" borderId="11" xfId="0" applyFont="1" applyFill="1" applyBorder="1" applyAlignment="1">
      <alignment horizontal="right" vertical="center"/>
    </xf>
    <xf numFmtId="3" fontId="40" fillId="3" borderId="11" xfId="0" applyNumberFormat="1" applyFont="1" applyFill="1" applyBorder="1" applyAlignment="1">
      <alignment horizontal="right" vertical="center"/>
    </xf>
    <xf numFmtId="0" fontId="42" fillId="0" borderId="0" xfId="0" applyFont="1"/>
    <xf numFmtId="0" fontId="39" fillId="0" borderId="0" xfId="0" applyFont="1"/>
    <xf numFmtId="3" fontId="39" fillId="0" borderId="0" xfId="0" applyNumberFormat="1" applyFont="1"/>
    <xf numFmtId="0" fontId="40" fillId="3" borderId="11" xfId="0" applyFont="1" applyFill="1" applyBorder="1" applyAlignment="1">
      <alignment horizontal="center"/>
    </xf>
    <xf numFmtId="0" fontId="40" fillId="3" borderId="13" xfId="0" applyFont="1" applyFill="1" applyBorder="1" applyAlignment="1">
      <alignment horizontal="center"/>
    </xf>
    <xf numFmtId="0" fontId="39" fillId="0" borderId="0" xfId="0" applyFont="1" applyAlignment="1"/>
    <xf numFmtId="3" fontId="39" fillId="0" borderId="0" xfId="0" applyNumberFormat="1" applyFont="1" applyAlignment="1"/>
    <xf numFmtId="3" fontId="40" fillId="3" borderId="13" xfId="0" applyNumberFormat="1" applyFont="1" applyFill="1" applyBorder="1" applyAlignment="1">
      <alignment horizontal="center" vertical="center"/>
    </xf>
    <xf numFmtId="0" fontId="40" fillId="3" borderId="11" xfId="0" applyFont="1" applyFill="1" applyBorder="1" applyAlignment="1">
      <alignment horizontal="left" vertical="center"/>
    </xf>
    <xf numFmtId="1" fontId="40" fillId="3" borderId="11" xfId="0" applyNumberFormat="1" applyFont="1" applyFill="1" applyBorder="1" applyAlignment="1">
      <alignment horizontal="center" vertical="center"/>
    </xf>
    <xf numFmtId="0" fontId="40" fillId="3" borderId="12" xfId="0" applyFont="1" applyFill="1" applyBorder="1" applyAlignment="1">
      <alignment horizontal="center" vertical="center"/>
    </xf>
    <xf numFmtId="0" fontId="40" fillId="3" borderId="12" xfId="0" applyFont="1" applyFill="1" applyBorder="1" applyAlignment="1">
      <alignment horizontal="left" vertical="center"/>
    </xf>
    <xf numFmtId="3" fontId="39" fillId="0" borderId="0" xfId="0" applyNumberFormat="1" applyFont="1" applyBorder="1"/>
    <xf numFmtId="167" fontId="42" fillId="0" borderId="0" xfId="3" applyNumberFormat="1" applyFont="1" applyBorder="1" applyAlignment="1">
      <alignment horizontal="right" vertical="center"/>
    </xf>
    <xf numFmtId="3" fontId="42" fillId="0" borderId="0" xfId="4" applyNumberFormat="1" applyFont="1" applyBorder="1"/>
    <xf numFmtId="170" fontId="39" fillId="0" borderId="0" xfId="0" applyNumberFormat="1" applyFont="1" applyBorder="1"/>
    <xf numFmtId="3" fontId="47" fillId="0" borderId="0" xfId="4" applyNumberFormat="1" applyFont="1"/>
    <xf numFmtId="3" fontId="42" fillId="0" borderId="0" xfId="4" applyNumberFormat="1" applyFont="1" applyFill="1" applyBorder="1"/>
    <xf numFmtId="3" fontId="42" fillId="0" borderId="0" xfId="4" applyNumberFormat="1" applyFont="1"/>
    <xf numFmtId="3" fontId="42" fillId="0" borderId="3" xfId="4" applyNumberFormat="1" applyFont="1" applyFill="1" applyBorder="1"/>
    <xf numFmtId="3" fontId="42" fillId="0" borderId="4" xfId="4" applyNumberFormat="1" applyFont="1" applyBorder="1"/>
    <xf numFmtId="3" fontId="42" fillId="0" borderId="3" xfId="4" applyNumberFormat="1" applyFont="1" applyBorder="1"/>
    <xf numFmtId="3" fontId="40" fillId="3" borderId="7" xfId="4" applyNumberFormat="1" applyFont="1" applyFill="1" applyBorder="1" applyAlignment="1">
      <alignment horizontal="left"/>
    </xf>
    <xf numFmtId="3" fontId="39" fillId="0" borderId="0" xfId="0" applyNumberFormat="1" applyFont="1" applyAlignment="1">
      <alignment wrapText="1"/>
    </xf>
    <xf numFmtId="3" fontId="39" fillId="0" borderId="0" xfId="0" applyNumberFormat="1" applyFont="1" applyAlignment="1">
      <alignment vertical="center"/>
    </xf>
    <xf numFmtId="0" fontId="41" fillId="0" borderId="0" xfId="0" applyFont="1"/>
    <xf numFmtId="1" fontId="39" fillId="0" borderId="0" xfId="0" applyNumberFormat="1" applyFont="1"/>
    <xf numFmtId="0" fontId="47" fillId="0" borderId="0" xfId="62" applyFont="1"/>
    <xf numFmtId="0" fontId="42" fillId="0" borderId="0" xfId="62" applyFont="1"/>
    <xf numFmtId="0" fontId="42" fillId="0" borderId="0" xfId="62" applyFont="1" applyAlignment="1">
      <alignment horizontal="center" vertical="center"/>
    </xf>
    <xf numFmtId="3" fontId="47" fillId="0" borderId="0" xfId="62" applyNumberFormat="1" applyFont="1" applyAlignment="1">
      <alignment horizontal="left" vertical="center"/>
    </xf>
    <xf numFmtId="0" fontId="42" fillId="0" borderId="0" xfId="62" applyFont="1" applyAlignment="1">
      <alignment vertical="center"/>
    </xf>
    <xf numFmtId="0" fontId="50" fillId="0" borderId="0" xfId="62" applyFont="1" applyAlignment="1">
      <alignment horizontal="left" vertical="center"/>
    </xf>
    <xf numFmtId="0" fontId="42" fillId="0" borderId="0" xfId="62" applyFont="1" applyFill="1" applyBorder="1" applyAlignment="1">
      <alignment horizontal="left" vertical="center"/>
    </xf>
    <xf numFmtId="0" fontId="42" fillId="0" borderId="0" xfId="62" applyFont="1" applyBorder="1" applyAlignment="1">
      <alignment horizontal="center" vertical="center"/>
    </xf>
    <xf numFmtId="0" fontId="42" fillId="0" borderId="0" xfId="62" applyFont="1" applyAlignment="1">
      <alignment horizontal="left" vertical="center"/>
    </xf>
    <xf numFmtId="3" fontId="42" fillId="0" borderId="0" xfId="62" applyNumberFormat="1" applyFont="1" applyAlignment="1">
      <alignment horizontal="left" vertical="center"/>
    </xf>
    <xf numFmtId="0" fontId="42" fillId="0" borderId="0" xfId="62" applyFont="1" applyBorder="1" applyAlignment="1">
      <alignment horizontal="left" vertical="center"/>
    </xf>
    <xf numFmtId="0" fontId="42" fillId="0" borderId="0" xfId="62" applyFont="1" applyAlignment="1">
      <alignment horizontal="right" vertical="center"/>
    </xf>
    <xf numFmtId="164" fontId="42" fillId="0" borderId="0" xfId="2" applyFont="1" applyAlignment="1">
      <alignment horizontal="right" vertical="center"/>
    </xf>
    <xf numFmtId="167" fontId="51" fillId="0" borderId="0" xfId="5" applyNumberFormat="1" applyFont="1" applyAlignment="1">
      <alignment horizontal="right" vertical="center"/>
    </xf>
    <xf numFmtId="169" fontId="51" fillId="0" borderId="0" xfId="5" applyNumberFormat="1" applyFont="1" applyAlignment="1">
      <alignment horizontal="right" vertical="center"/>
    </xf>
    <xf numFmtId="3" fontId="42" fillId="0" borderId="0" xfId="62" applyNumberFormat="1" applyFont="1" applyAlignment="1">
      <alignment vertical="center"/>
    </xf>
    <xf numFmtId="0" fontId="42" fillId="0" borderId="0" xfId="62" applyFont="1" applyBorder="1" applyAlignment="1">
      <alignment vertical="center"/>
    </xf>
    <xf numFmtId="10" fontId="42" fillId="0" borderId="0" xfId="62" applyNumberFormat="1" applyFont="1" applyAlignment="1">
      <alignment horizontal="right" vertical="center"/>
    </xf>
    <xf numFmtId="0" fontId="42" fillId="0" borderId="0" xfId="62" applyFont="1" applyFill="1" applyAlignment="1">
      <alignment horizontal="right" vertical="center"/>
    </xf>
    <xf numFmtId="165" fontId="42" fillId="0" borderId="0" xfId="62" applyNumberFormat="1" applyFont="1" applyFill="1" applyAlignment="1">
      <alignment horizontal="right" vertical="center"/>
    </xf>
    <xf numFmtId="202" fontId="42" fillId="0" borderId="0" xfId="62" applyNumberFormat="1" applyFont="1" applyFill="1" applyAlignment="1">
      <alignment horizontal="right" vertical="center"/>
    </xf>
    <xf numFmtId="203" fontId="42" fillId="0" borderId="0" xfId="62" applyNumberFormat="1" applyFont="1" applyFill="1" applyAlignment="1">
      <alignment horizontal="right" vertical="center"/>
    </xf>
    <xf numFmtId="165" fontId="42" fillId="0" borderId="0" xfId="62" applyNumberFormat="1" applyFont="1" applyAlignment="1">
      <alignment horizontal="right" vertical="center"/>
    </xf>
    <xf numFmtId="202" fontId="42" fillId="0" borderId="0" xfId="62" applyNumberFormat="1" applyFont="1" applyAlignment="1">
      <alignment horizontal="right" vertical="center"/>
    </xf>
    <xf numFmtId="203" fontId="42" fillId="0" borderId="0" xfId="62" applyNumberFormat="1" applyFont="1" applyAlignment="1">
      <alignment horizontal="right" vertical="center"/>
    </xf>
    <xf numFmtId="43" fontId="42" fillId="0" borderId="0" xfId="62" applyNumberFormat="1" applyFont="1" applyAlignment="1">
      <alignment vertical="center"/>
    </xf>
    <xf numFmtId="43" fontId="42" fillId="0" borderId="0" xfId="2" applyNumberFormat="1" applyFont="1" applyFill="1" applyBorder="1" applyAlignment="1">
      <alignment horizontal="right" vertical="center"/>
    </xf>
    <xf numFmtId="0" fontId="42" fillId="0" borderId="0" xfId="62" applyFont="1" applyFill="1" applyBorder="1" applyAlignment="1">
      <alignment vertical="center"/>
    </xf>
    <xf numFmtId="0" fontId="47" fillId="0" borderId="0" xfId="62" applyFont="1" applyBorder="1" applyAlignment="1">
      <alignment vertical="center"/>
    </xf>
    <xf numFmtId="165" fontId="42" fillId="0" borderId="0" xfId="2" applyNumberFormat="1" applyFont="1" applyFill="1" applyBorder="1" applyAlignment="1">
      <alignment horizontal="right" vertical="center"/>
    </xf>
    <xf numFmtId="164" fontId="42" fillId="0" borderId="0" xfId="62" applyNumberFormat="1" applyFont="1" applyFill="1" applyBorder="1" applyAlignment="1">
      <alignment horizontal="right" vertical="center"/>
    </xf>
    <xf numFmtId="0" fontId="42" fillId="0" borderId="0" xfId="62" applyFont="1" applyFill="1" applyAlignment="1">
      <alignment horizontal="left" vertical="center"/>
    </xf>
    <xf numFmtId="0" fontId="47" fillId="0" borderId="0" xfId="62" applyFont="1" applyAlignment="1">
      <alignment vertical="center"/>
    </xf>
    <xf numFmtId="0" fontId="42" fillId="0" borderId="0" xfId="62" applyFont="1" applyFill="1" applyAlignment="1">
      <alignment vertical="center"/>
    </xf>
    <xf numFmtId="165" fontId="42" fillId="0" borderId="0" xfId="62" applyNumberFormat="1" applyFont="1" applyBorder="1" applyAlignment="1">
      <alignment horizontal="right" vertical="center"/>
    </xf>
    <xf numFmtId="203" fontId="42" fillId="0" borderId="0" xfId="62" applyNumberFormat="1" applyFont="1" applyBorder="1" applyAlignment="1">
      <alignment horizontal="right" vertical="center"/>
    </xf>
    <xf numFmtId="0" fontId="42" fillId="0" borderId="0" xfId="62" applyFont="1" applyBorder="1" applyAlignment="1">
      <alignment horizontal="right" vertical="center"/>
    </xf>
    <xf numFmtId="164" fontId="42" fillId="0" borderId="0" xfId="2" applyNumberFormat="1" applyFont="1" applyFill="1" applyBorder="1" applyAlignment="1">
      <alignment vertical="center"/>
    </xf>
    <xf numFmtId="0" fontId="39" fillId="0" borderId="0" xfId="86" applyFont="1"/>
    <xf numFmtId="0" fontId="47" fillId="0" borderId="0" xfId="86" applyFont="1" applyAlignment="1" applyProtection="1"/>
    <xf numFmtId="0" fontId="42" fillId="0" borderId="0" xfId="86" applyFont="1" applyAlignment="1" applyProtection="1"/>
    <xf numFmtId="2" fontId="42" fillId="0" borderId="0" xfId="86" applyNumberFormat="1" applyFont="1" applyAlignment="1" applyProtection="1"/>
    <xf numFmtId="10" fontId="52" fillId="0" borderId="0" xfId="86" applyNumberFormat="1" applyFont="1" applyAlignment="1">
      <alignment vertical="center"/>
    </xf>
    <xf numFmtId="0" fontId="52" fillId="0" borderId="0" xfId="86" applyFont="1"/>
    <xf numFmtId="0" fontId="48" fillId="0" borderId="0" xfId="0" applyFont="1"/>
    <xf numFmtId="0" fontId="54" fillId="0" borderId="0" xfId="0" applyFont="1"/>
    <xf numFmtId="206" fontId="48" fillId="0" borderId="0" xfId="0" applyNumberFormat="1" applyFont="1"/>
    <xf numFmtId="0" fontId="46" fillId="2" borderId="0" xfId="62" applyFont="1" applyFill="1" applyBorder="1" applyAlignment="1">
      <alignment vertical="center"/>
    </xf>
    <xf numFmtId="2" fontId="48" fillId="0" borderId="0" xfId="0" applyNumberFormat="1" applyFont="1"/>
    <xf numFmtId="0" fontId="45" fillId="0" borderId="0" xfId="0" applyFont="1"/>
    <xf numFmtId="169" fontId="48" fillId="0" borderId="0" xfId="0" applyNumberFormat="1" applyFont="1"/>
    <xf numFmtId="0" fontId="52" fillId="0" borderId="0" xfId="0" applyFont="1"/>
    <xf numFmtId="10" fontId="48" fillId="0" borderId="0" xfId="0" applyNumberFormat="1" applyFont="1"/>
    <xf numFmtId="9" fontId="40" fillId="3" borderId="11" xfId="3" applyFont="1" applyFill="1" applyBorder="1" applyAlignment="1">
      <alignment horizontal="center" vertical="center"/>
    </xf>
    <xf numFmtId="10" fontId="40" fillId="3" borderId="11" xfId="3" applyNumberFormat="1" applyFont="1" applyFill="1" applyBorder="1" applyAlignment="1">
      <alignment horizontal="center" vertical="center"/>
    </xf>
    <xf numFmtId="10" fontId="40" fillId="3" borderId="12" xfId="3" applyNumberFormat="1" applyFont="1" applyFill="1" applyBorder="1" applyAlignment="1">
      <alignment horizontal="center" vertical="center"/>
    </xf>
    <xf numFmtId="0" fontId="42" fillId="0" borderId="0" xfId="62" applyFont="1" applyAlignment="1">
      <alignment horizontal="right"/>
    </xf>
    <xf numFmtId="0" fontId="39" fillId="0" borderId="0" xfId="0" applyFont="1" applyBorder="1" applyAlignment="1">
      <alignment horizontal="left" vertical="center"/>
    </xf>
    <xf numFmtId="0" fontId="39" fillId="0" borderId="0" xfId="0" applyFont="1" applyBorder="1"/>
    <xf numFmtId="0" fontId="42" fillId="0" borderId="0" xfId="0" applyFont="1" applyAlignment="1">
      <alignment vertical="center"/>
    </xf>
    <xf numFmtId="0" fontId="47" fillId="0" borderId="0" xfId="0" applyFont="1" applyFill="1" applyBorder="1" applyAlignment="1">
      <alignment vertical="center"/>
    </xf>
    <xf numFmtId="0" fontId="42" fillId="0" borderId="0" xfId="0" applyFont="1" applyBorder="1" applyAlignment="1">
      <alignment vertical="center"/>
    </xf>
    <xf numFmtId="167" fontId="42" fillId="0" borderId="0" xfId="3" applyNumberFormat="1" applyFont="1" applyFill="1" applyBorder="1" applyAlignment="1">
      <alignment vertical="center"/>
    </xf>
    <xf numFmtId="3" fontId="40" fillId="9" borderId="16" xfId="0" applyNumberFormat="1" applyFont="1" applyFill="1" applyBorder="1" applyAlignment="1">
      <alignment horizontal="center" vertical="center"/>
    </xf>
    <xf numFmtId="3" fontId="40" fillId="3" borderId="0" xfId="4" applyNumberFormat="1" applyFont="1" applyFill="1" applyBorder="1" applyAlignment="1">
      <alignment horizontal="center"/>
    </xf>
    <xf numFmtId="0" fontId="42" fillId="0" borderId="0" xfId="62" applyFont="1" applyBorder="1"/>
    <xf numFmtId="204" fontId="42" fillId="0" borderId="0" xfId="62" applyNumberFormat="1" applyFont="1"/>
    <xf numFmtId="4" fontId="42" fillId="0" borderId="0" xfId="62" applyNumberFormat="1" applyFont="1" applyBorder="1"/>
    <xf numFmtId="3" fontId="42" fillId="0" borderId="0" xfId="62" applyNumberFormat="1" applyFont="1"/>
    <xf numFmtId="3" fontId="41" fillId="0" borderId="0" xfId="85" applyNumberFormat="1" applyFont="1" applyFill="1" applyBorder="1" applyAlignment="1" applyProtection="1">
      <alignment horizontal="center"/>
      <protection locked="0"/>
    </xf>
    <xf numFmtId="0" fontId="39" fillId="0" borderId="0" xfId="62" applyFont="1"/>
    <xf numFmtId="10" fontId="42" fillId="0" borderId="0" xfId="62" applyNumberFormat="1" applyFont="1"/>
    <xf numFmtId="4" fontId="42" fillId="0" borderId="0" xfId="62" applyNumberFormat="1" applyFont="1"/>
    <xf numFmtId="0" fontId="48" fillId="0" borderId="0" xfId="0" applyFont="1" applyFill="1" applyBorder="1"/>
    <xf numFmtId="167" fontId="48" fillId="0" borderId="0" xfId="3" applyNumberFormat="1" applyFont="1" applyBorder="1"/>
    <xf numFmtId="0" fontId="52" fillId="0" borderId="0" xfId="0" applyFont="1" applyFill="1" applyAlignment="1">
      <alignment wrapText="1"/>
    </xf>
    <xf numFmtId="2" fontId="52" fillId="0" borderId="0" xfId="0" applyNumberFormat="1" applyFont="1" applyFill="1"/>
    <xf numFmtId="0" fontId="53" fillId="0" borderId="0" xfId="0" applyFont="1" applyFill="1" applyAlignment="1">
      <alignment wrapText="1"/>
    </xf>
    <xf numFmtId="10" fontId="52" fillId="0" borderId="0" xfId="3" applyNumberFormat="1" applyFont="1" applyFill="1"/>
    <xf numFmtId="2" fontId="53" fillId="0" borderId="0" xfId="0" applyNumberFormat="1" applyFont="1" applyFill="1"/>
    <xf numFmtId="206" fontId="42" fillId="0" borderId="0" xfId="0" applyNumberFormat="1" applyFont="1"/>
    <xf numFmtId="10" fontId="42" fillId="0" borderId="0" xfId="3" applyNumberFormat="1" applyFont="1"/>
    <xf numFmtId="206" fontId="42" fillId="0" borderId="0" xfId="0" applyNumberFormat="1" applyFont="1" applyFill="1"/>
    <xf numFmtId="206" fontId="42" fillId="0" borderId="0" xfId="3" applyNumberFormat="1" applyFont="1" applyAlignment="1">
      <alignment horizontal="center"/>
    </xf>
    <xf numFmtId="206" fontId="42" fillId="0" borderId="0" xfId="0" applyNumberFormat="1" applyFont="1" applyFill="1" applyAlignment="1">
      <alignment horizontal="center"/>
    </xf>
    <xf numFmtId="10" fontId="42" fillId="0" borderId="0" xfId="0" applyNumberFormat="1" applyFont="1" applyFill="1"/>
    <xf numFmtId="212" fontId="42" fillId="0" borderId="0" xfId="3" applyNumberFormat="1" applyFont="1"/>
    <xf numFmtId="0" fontId="49" fillId="0" borderId="0" xfId="0" applyFont="1" applyFill="1"/>
    <xf numFmtId="206" fontId="49" fillId="0" borderId="0" xfId="0" applyNumberFormat="1" applyFont="1"/>
    <xf numFmtId="0" fontId="49" fillId="0" borderId="0" xfId="0" applyFont="1"/>
    <xf numFmtId="0" fontId="42" fillId="10" borderId="20" xfId="0" applyFont="1" applyFill="1" applyBorder="1" applyAlignment="1">
      <alignment horizontal="left" vertical="center"/>
    </xf>
    <xf numFmtId="0" fontId="42" fillId="10" borderId="14" xfId="0" applyFont="1" applyFill="1" applyBorder="1" applyAlignment="1">
      <alignment horizontal="left" vertical="center"/>
    </xf>
    <xf numFmtId="0" fontId="42" fillId="11" borderId="14" xfId="0" applyFont="1" applyFill="1" applyBorder="1" applyAlignment="1">
      <alignment horizontal="left" vertical="center"/>
    </xf>
    <xf numFmtId="3" fontId="42" fillId="10" borderId="20" xfId="0" applyNumberFormat="1" applyFont="1" applyFill="1" applyBorder="1" applyAlignment="1">
      <alignment horizontal="right" vertical="center"/>
    </xf>
    <xf numFmtId="9" fontId="40" fillId="3" borderId="11" xfId="3" applyFont="1" applyFill="1" applyBorder="1" applyAlignment="1">
      <alignment horizontal="right" vertical="center"/>
    </xf>
    <xf numFmtId="3" fontId="42" fillId="10" borderId="20" xfId="0" applyNumberFormat="1" applyFont="1" applyFill="1" applyBorder="1" applyAlignment="1">
      <alignment horizontal="left" vertical="center"/>
    </xf>
    <xf numFmtId="3" fontId="42" fillId="11" borderId="14" xfId="0" applyNumberFormat="1" applyFont="1" applyFill="1" applyBorder="1" applyAlignment="1">
      <alignment horizontal="left" vertical="center"/>
    </xf>
    <xf numFmtId="3" fontId="42" fillId="10" borderId="14" xfId="0" applyNumberFormat="1" applyFont="1" applyFill="1" applyBorder="1" applyAlignment="1">
      <alignment horizontal="left" vertical="center"/>
    </xf>
    <xf numFmtId="10" fontId="42" fillId="0" borderId="0" xfId="4" applyNumberFormat="1" applyFont="1"/>
    <xf numFmtId="213" fontId="42" fillId="10" borderId="20" xfId="1" applyNumberFormat="1" applyFont="1" applyFill="1" applyBorder="1" applyAlignment="1">
      <alignment horizontal="left" vertical="center"/>
    </xf>
    <xf numFmtId="213" fontId="42" fillId="11" borderId="14" xfId="1" applyNumberFormat="1" applyFont="1" applyFill="1" applyBorder="1" applyAlignment="1">
      <alignment vertical="center"/>
    </xf>
    <xf numFmtId="172" fontId="42" fillId="10" borderId="20" xfId="1" applyNumberFormat="1" applyFont="1" applyFill="1" applyBorder="1" applyAlignment="1">
      <alignment horizontal="left" vertical="center"/>
    </xf>
    <xf numFmtId="172" fontId="42" fillId="11" borderId="14" xfId="1" applyNumberFormat="1" applyFont="1" applyFill="1" applyBorder="1" applyAlignment="1">
      <alignment vertical="center"/>
    </xf>
    <xf numFmtId="172" fontId="42" fillId="10" borderId="14" xfId="1" applyNumberFormat="1" applyFont="1" applyFill="1" applyBorder="1" applyAlignment="1">
      <alignment horizontal="left" vertical="center"/>
    </xf>
    <xf numFmtId="172" fontId="42" fillId="11" borderId="14" xfId="1" applyNumberFormat="1" applyFont="1" applyFill="1" applyBorder="1" applyAlignment="1">
      <alignment horizontal="left" vertical="center"/>
    </xf>
    <xf numFmtId="172" fontId="47" fillId="11" borderId="14" xfId="1" applyNumberFormat="1" applyFont="1" applyFill="1" applyBorder="1" applyAlignment="1">
      <alignment horizontal="left" vertical="center"/>
    </xf>
    <xf numFmtId="172" fontId="47" fillId="10" borderId="14" xfId="1" applyNumberFormat="1" applyFont="1" applyFill="1" applyBorder="1" applyAlignment="1">
      <alignment horizontal="left" vertical="center"/>
    </xf>
    <xf numFmtId="172" fontId="47" fillId="10" borderId="20" xfId="1" applyNumberFormat="1" applyFont="1" applyFill="1" applyBorder="1" applyAlignment="1">
      <alignment horizontal="left" vertical="center"/>
    </xf>
    <xf numFmtId="0" fontId="40" fillId="3" borderId="11" xfId="0" applyFont="1" applyFill="1" applyBorder="1" applyAlignment="1">
      <alignment vertical="center"/>
    </xf>
    <xf numFmtId="43" fontId="42" fillId="10" borderId="20" xfId="1" applyNumberFormat="1" applyFont="1" applyFill="1" applyBorder="1" applyAlignment="1">
      <alignment horizontal="left" vertical="center"/>
    </xf>
    <xf numFmtId="43" fontId="42" fillId="11" borderId="14" xfId="1" applyNumberFormat="1" applyFont="1" applyFill="1" applyBorder="1" applyAlignment="1">
      <alignment vertical="center"/>
    </xf>
    <xf numFmtId="207" fontId="42" fillId="10" borderId="20" xfId="1" applyNumberFormat="1" applyFont="1" applyFill="1" applyBorder="1" applyAlignment="1">
      <alignment horizontal="left" vertical="center"/>
    </xf>
    <xf numFmtId="207" fontId="42" fillId="11" borderId="14" xfId="1" applyNumberFormat="1" applyFont="1" applyFill="1" applyBorder="1" applyAlignment="1">
      <alignment vertical="center"/>
    </xf>
    <xf numFmtId="207" fontId="42" fillId="10" borderId="14" xfId="1" applyNumberFormat="1" applyFont="1" applyFill="1" applyBorder="1" applyAlignment="1">
      <alignment horizontal="left" vertical="center"/>
    </xf>
    <xf numFmtId="207" fontId="42" fillId="11" borderId="14" xfId="1" applyNumberFormat="1" applyFont="1" applyFill="1" applyBorder="1" applyAlignment="1">
      <alignment horizontal="left" vertical="center"/>
    </xf>
    <xf numFmtId="172" fontId="42" fillId="0" borderId="0" xfId="62" applyNumberFormat="1" applyFont="1" applyAlignment="1">
      <alignment vertical="center"/>
    </xf>
    <xf numFmtId="43" fontId="47" fillId="10" borderId="20" xfId="1" applyNumberFormat="1" applyFont="1" applyFill="1" applyBorder="1" applyAlignment="1">
      <alignment horizontal="left" vertical="center"/>
    </xf>
    <xf numFmtId="43" fontId="47" fillId="11" borderId="14" xfId="1" applyNumberFormat="1" applyFont="1" applyFill="1" applyBorder="1" applyAlignment="1">
      <alignment horizontal="left" vertical="center"/>
    </xf>
    <xf numFmtId="43" fontId="47" fillId="10" borderId="14" xfId="1" applyNumberFormat="1" applyFont="1" applyFill="1" applyBorder="1" applyAlignment="1">
      <alignment horizontal="left" vertical="center"/>
    </xf>
    <xf numFmtId="43" fontId="47" fillId="11" borderId="14" xfId="1" applyNumberFormat="1" applyFont="1" applyFill="1" applyBorder="1" applyAlignment="1">
      <alignment vertical="center"/>
    </xf>
    <xf numFmtId="213" fontId="47" fillId="10" borderId="20" xfId="1" applyNumberFormat="1" applyFont="1" applyFill="1" applyBorder="1" applyAlignment="1">
      <alignment horizontal="left" vertical="center"/>
    </xf>
    <xf numFmtId="167" fontId="47" fillId="10" borderId="20" xfId="3" applyNumberFormat="1" applyFont="1" applyFill="1" applyBorder="1" applyAlignment="1">
      <alignment horizontal="left" vertical="center"/>
    </xf>
    <xf numFmtId="167" fontId="42" fillId="11" borderId="14" xfId="3" applyNumberFormat="1" applyFont="1" applyFill="1" applyBorder="1" applyAlignment="1">
      <alignment vertical="center"/>
    </xf>
    <xf numFmtId="167" fontId="42" fillId="11" borderId="14" xfId="3" applyNumberFormat="1" applyFont="1" applyFill="1" applyBorder="1" applyAlignment="1">
      <alignment horizontal="right" vertical="center"/>
    </xf>
    <xf numFmtId="167" fontId="42" fillId="11" borderId="14" xfId="3" applyNumberFormat="1" applyFont="1" applyFill="1" applyBorder="1" applyAlignment="1">
      <alignment horizontal="left" vertical="center"/>
    </xf>
    <xf numFmtId="172" fontId="47" fillId="11" borderId="14" xfId="1" applyNumberFormat="1" applyFont="1" applyFill="1" applyBorder="1" applyAlignment="1">
      <alignment vertical="center"/>
    </xf>
    <xf numFmtId="165" fontId="42" fillId="0" borderId="0" xfId="62" applyNumberFormat="1" applyFont="1"/>
    <xf numFmtId="38" fontId="42" fillId="0" borderId="0" xfId="62" applyNumberFormat="1" applyFont="1"/>
    <xf numFmtId="1" fontId="42" fillId="0" borderId="0" xfId="62" applyNumberFormat="1" applyFont="1"/>
    <xf numFmtId="213" fontId="42" fillId="11" borderId="14" xfId="3" applyNumberFormat="1" applyFont="1" applyFill="1" applyBorder="1" applyAlignment="1">
      <alignment vertical="center"/>
    </xf>
    <xf numFmtId="43" fontId="42" fillId="11" borderId="14" xfId="3" applyNumberFormat="1" applyFont="1" applyFill="1" applyBorder="1" applyAlignment="1">
      <alignment vertical="center"/>
    </xf>
    <xf numFmtId="10" fontId="42" fillId="11" borderId="14" xfId="3" applyNumberFormat="1" applyFont="1" applyFill="1" applyBorder="1" applyAlignment="1">
      <alignment horizontal="right" vertical="center"/>
    </xf>
    <xf numFmtId="10" fontId="42" fillId="10" borderId="20" xfId="3" applyNumberFormat="1" applyFont="1" applyFill="1" applyBorder="1" applyAlignment="1">
      <alignment horizontal="right" vertical="center"/>
    </xf>
    <xf numFmtId="10" fontId="47" fillId="10" borderId="20" xfId="3" applyNumberFormat="1" applyFont="1" applyFill="1" applyBorder="1" applyAlignment="1">
      <alignment horizontal="right" vertical="center"/>
    </xf>
    <xf numFmtId="10" fontId="47" fillId="11" borderId="14" xfId="3" applyNumberFormat="1" applyFont="1" applyFill="1" applyBorder="1" applyAlignment="1">
      <alignment horizontal="right" vertical="center"/>
    </xf>
    <xf numFmtId="204" fontId="48" fillId="0" borderId="0" xfId="0" applyNumberFormat="1" applyFont="1"/>
    <xf numFmtId="0" fontId="55" fillId="0" borderId="0" xfId="0" applyFont="1"/>
    <xf numFmtId="172" fontId="42" fillId="10" borderId="20" xfId="1" applyNumberFormat="1" applyFont="1" applyFill="1" applyBorder="1" applyAlignment="1">
      <alignment horizontal="right" vertical="center"/>
    </xf>
    <xf numFmtId="213" fontId="42" fillId="10" borderId="20" xfId="1" applyNumberFormat="1" applyFont="1" applyFill="1" applyBorder="1" applyAlignment="1">
      <alignment horizontal="right" vertical="center"/>
    </xf>
    <xf numFmtId="0" fontId="47" fillId="10" borderId="19" xfId="0" applyFont="1" applyFill="1" applyBorder="1" applyAlignment="1">
      <alignment vertical="center"/>
    </xf>
    <xf numFmtId="0" fontId="47" fillId="11" borderId="19" xfId="0" applyFont="1" applyFill="1" applyBorder="1" applyAlignment="1">
      <alignment vertical="center"/>
    </xf>
    <xf numFmtId="4" fontId="47" fillId="10" borderId="14" xfId="0" applyNumberFormat="1" applyFont="1" applyFill="1" applyBorder="1" applyAlignment="1">
      <alignment horizontal="right" vertical="center"/>
    </xf>
    <xf numFmtId="167" fontId="47" fillId="11" borderId="14" xfId="3" applyNumberFormat="1" applyFont="1" applyFill="1" applyBorder="1" applyAlignment="1">
      <alignment horizontal="right" vertical="center"/>
    </xf>
    <xf numFmtId="167" fontId="39" fillId="0" borderId="0" xfId="3" applyNumberFormat="1" applyFont="1" applyFill="1" applyBorder="1"/>
    <xf numFmtId="167" fontId="47" fillId="10" borderId="14" xfId="3" applyNumberFormat="1" applyFont="1" applyFill="1" applyBorder="1" applyAlignment="1">
      <alignment horizontal="right" vertical="center"/>
    </xf>
    <xf numFmtId="167" fontId="39" fillId="0" borderId="0" xfId="0" applyNumberFormat="1" applyFont="1" applyFill="1" applyBorder="1"/>
    <xf numFmtId="167" fontId="42" fillId="10" borderId="20" xfId="3" applyNumberFormat="1" applyFont="1" applyFill="1" applyBorder="1" applyAlignment="1">
      <alignment horizontal="right" vertical="center"/>
    </xf>
    <xf numFmtId="167" fontId="42" fillId="10" borderId="14" xfId="3" applyNumberFormat="1" applyFont="1" applyFill="1" applyBorder="1" applyAlignment="1">
      <alignment horizontal="right" vertical="center"/>
    </xf>
    <xf numFmtId="172" fontId="42" fillId="0" borderId="0" xfId="62" applyNumberFormat="1" applyFont="1" applyBorder="1" applyAlignment="1">
      <alignment vertical="center"/>
    </xf>
    <xf numFmtId="214" fontId="42" fillId="11" borderId="14" xfId="1" applyNumberFormat="1" applyFont="1" applyFill="1" applyBorder="1" applyAlignment="1">
      <alignment vertical="center"/>
    </xf>
    <xf numFmtId="214" fontId="42" fillId="10" borderId="20" xfId="1" applyNumberFormat="1" applyFont="1" applyFill="1" applyBorder="1" applyAlignment="1">
      <alignment horizontal="left" vertical="center"/>
    </xf>
    <xf numFmtId="214" fontId="42" fillId="10" borderId="14" xfId="1" applyNumberFormat="1" applyFont="1" applyFill="1" applyBorder="1" applyAlignment="1">
      <alignment horizontal="left" vertical="center"/>
    </xf>
    <xf numFmtId="211" fontId="39" fillId="0" borderId="0" xfId="86" applyNumberFormat="1" applyFont="1"/>
    <xf numFmtId="207" fontId="47" fillId="10" borderId="20" xfId="1" applyNumberFormat="1" applyFont="1" applyFill="1" applyBorder="1" applyAlignment="1">
      <alignment horizontal="left" vertical="center"/>
    </xf>
    <xf numFmtId="10" fontId="42" fillId="0" borderId="0" xfId="0" applyNumberFormat="1" applyFont="1"/>
    <xf numFmtId="166" fontId="42" fillId="11" borderId="14" xfId="3" applyNumberFormat="1" applyFont="1" applyFill="1" applyBorder="1" applyAlignment="1">
      <alignment horizontal="right" vertical="center"/>
    </xf>
    <xf numFmtId="211" fontId="42" fillId="0" borderId="0" xfId="0" applyNumberFormat="1" applyFont="1"/>
    <xf numFmtId="43" fontId="42" fillId="0" borderId="0" xfId="62" applyNumberFormat="1" applyFont="1" applyBorder="1"/>
    <xf numFmtId="40" fontId="42" fillId="0" borderId="0" xfId="62" applyNumberFormat="1" applyFont="1" applyBorder="1"/>
    <xf numFmtId="40" fontId="42" fillId="0" borderId="0" xfId="62" applyNumberFormat="1" applyFont="1"/>
    <xf numFmtId="0" fontId="42" fillId="7" borderId="0" xfId="62" applyFont="1" applyFill="1"/>
    <xf numFmtId="0" fontId="42" fillId="7" borderId="0" xfId="62" applyFont="1" applyFill="1" applyBorder="1"/>
    <xf numFmtId="10" fontId="51" fillId="7" borderId="0" xfId="62" applyNumberFormat="1" applyFont="1" applyFill="1" applyBorder="1" applyAlignment="1">
      <alignment horizontal="right"/>
    </xf>
    <xf numFmtId="0" fontId="42" fillId="7" borderId="0" xfId="62" applyFont="1" applyFill="1" applyBorder="1" applyAlignment="1">
      <alignment horizontal="right"/>
    </xf>
    <xf numFmtId="0" fontId="42" fillId="0" borderId="0" xfId="62" applyFont="1" applyBorder="1" applyAlignment="1">
      <alignment horizontal="right"/>
    </xf>
    <xf numFmtId="0" fontId="52" fillId="0" borderId="0" xfId="0" applyFont="1" applyAlignment="1">
      <alignment horizontal="left"/>
    </xf>
    <xf numFmtId="0" fontId="42" fillId="0" borderId="0" xfId="0" applyFont="1" applyBorder="1"/>
    <xf numFmtId="0" fontId="56" fillId="0" borderId="0" xfId="0" applyFont="1"/>
    <xf numFmtId="0" fontId="48" fillId="0" borderId="0" xfId="0" applyFont="1" applyAlignment="1">
      <alignment vertical="center"/>
    </xf>
    <xf numFmtId="3" fontId="42" fillId="0" borderId="0" xfId="0" applyNumberFormat="1" applyFont="1" applyAlignment="1">
      <alignment vertical="center"/>
    </xf>
    <xf numFmtId="0" fontId="39" fillId="0" borderId="0" xfId="0" applyFont="1" applyFill="1" applyAlignment="1">
      <alignment vertical="center"/>
    </xf>
    <xf numFmtId="0" fontId="47" fillId="0" borderId="0" xfId="0" applyFont="1" applyAlignment="1">
      <alignment vertical="center"/>
    </xf>
    <xf numFmtId="4" fontId="42" fillId="0" borderId="0" xfId="0" applyNumberFormat="1" applyFont="1" applyAlignment="1">
      <alignment vertical="center"/>
    </xf>
    <xf numFmtId="0" fontId="42" fillId="0" borderId="0" xfId="0" applyFont="1" applyFill="1" applyAlignment="1">
      <alignment vertical="center"/>
    </xf>
    <xf numFmtId="208" fontId="42" fillId="0" borderId="0" xfId="0" applyNumberFormat="1" applyFont="1" applyAlignment="1">
      <alignment vertical="center"/>
    </xf>
    <xf numFmtId="209" fontId="42" fillId="0" borderId="0" xfId="0" applyNumberFormat="1" applyFont="1" applyAlignment="1">
      <alignment vertical="center"/>
    </xf>
    <xf numFmtId="0" fontId="47" fillId="6" borderId="0" xfId="0" applyFont="1" applyFill="1" applyBorder="1" applyAlignment="1">
      <alignment horizontal="left" vertical="center" wrapText="1"/>
    </xf>
    <xf numFmtId="0" fontId="47" fillId="0" borderId="0" xfId="0" applyFont="1" applyFill="1" applyBorder="1" applyAlignment="1">
      <alignment vertical="center" wrapText="1"/>
    </xf>
    <xf numFmtId="167" fontId="42" fillId="0" borderId="0" xfId="6" applyNumberFormat="1" applyFont="1" applyFill="1" applyBorder="1" applyAlignment="1">
      <alignment horizontal="center" vertical="center"/>
    </xf>
    <xf numFmtId="0" fontId="42" fillId="6" borderId="0" xfId="0" applyFont="1" applyFill="1" applyBorder="1" applyAlignment="1">
      <alignment horizontal="left" vertical="center" wrapText="1"/>
    </xf>
    <xf numFmtId="10" fontId="42" fillId="7" borderId="0" xfId="6" applyNumberFormat="1" applyFont="1" applyFill="1" applyBorder="1" applyAlignment="1">
      <alignment horizontal="center" vertical="center"/>
    </xf>
    <xf numFmtId="10" fontId="42" fillId="0" borderId="0" xfId="6" applyNumberFormat="1" applyFont="1"/>
    <xf numFmtId="168" fontId="42" fillId="0" borderId="0" xfId="0" applyNumberFormat="1" applyFont="1" applyAlignment="1">
      <alignment vertical="center"/>
    </xf>
    <xf numFmtId="10" fontId="42" fillId="0" borderId="0" xfId="0" applyNumberFormat="1" applyFont="1" applyAlignment="1">
      <alignment vertical="center"/>
    </xf>
    <xf numFmtId="0" fontId="47" fillId="0" borderId="0" xfId="0" applyFont="1"/>
    <xf numFmtId="0" fontId="46" fillId="0" borderId="0" xfId="0" applyFont="1" applyFill="1" applyBorder="1" applyAlignment="1">
      <alignment horizontal="center" vertical="center" wrapText="1"/>
    </xf>
    <xf numFmtId="209" fontId="42" fillId="0" borderId="0" xfId="0" applyNumberFormat="1" applyFont="1" applyFill="1" applyBorder="1" applyAlignment="1">
      <alignment horizontal="center" vertical="center"/>
    </xf>
    <xf numFmtId="210" fontId="42" fillId="0" borderId="0" xfId="0" applyNumberFormat="1" applyFont="1" applyAlignment="1">
      <alignment vertical="center"/>
    </xf>
    <xf numFmtId="10" fontId="42" fillId="0" borderId="0" xfId="6" applyNumberFormat="1" applyFont="1" applyAlignment="1">
      <alignment vertical="center"/>
    </xf>
    <xf numFmtId="2" fontId="42" fillId="0" borderId="0" xfId="0" applyNumberFormat="1" applyFont="1" applyAlignment="1">
      <alignment vertical="center"/>
    </xf>
    <xf numFmtId="38" fontId="42" fillId="6" borderId="0" xfId="0" applyNumberFormat="1" applyFont="1" applyFill="1" applyBorder="1" applyAlignment="1">
      <alignment horizontal="center" vertical="center"/>
    </xf>
    <xf numFmtId="205" fontId="42" fillId="0" borderId="0" xfId="62" applyNumberFormat="1" applyFont="1"/>
    <xf numFmtId="171" fontId="42" fillId="0" borderId="0" xfId="62" applyNumberFormat="1" applyFont="1"/>
    <xf numFmtId="212" fontId="42" fillId="0" borderId="0" xfId="0" applyNumberFormat="1" applyFont="1"/>
    <xf numFmtId="0" fontId="47" fillId="10" borderId="14" xfId="0" applyFont="1" applyFill="1" applyBorder="1" applyAlignment="1">
      <alignment vertical="center"/>
    </xf>
    <xf numFmtId="3" fontId="47" fillId="10" borderId="14" xfId="0" applyNumberFormat="1" applyFont="1" applyFill="1" applyBorder="1"/>
    <xf numFmtId="170" fontId="47" fillId="10" borderId="14" xfId="0" applyNumberFormat="1" applyFont="1" applyFill="1" applyBorder="1"/>
    <xf numFmtId="170" fontId="42" fillId="11" borderId="14" xfId="0" applyNumberFormat="1" applyFont="1" applyFill="1" applyBorder="1"/>
    <xf numFmtId="170" fontId="42" fillId="10" borderId="14" xfId="0" applyNumberFormat="1" applyFont="1" applyFill="1" applyBorder="1"/>
    <xf numFmtId="167" fontId="47" fillId="11" borderId="14" xfId="3" applyNumberFormat="1" applyFont="1" applyFill="1" applyBorder="1"/>
    <xf numFmtId="215" fontId="42" fillId="10" borderId="20" xfId="1" applyNumberFormat="1" applyFont="1" applyFill="1" applyBorder="1" applyAlignment="1">
      <alignment horizontal="left" vertical="center"/>
    </xf>
    <xf numFmtId="215" fontId="42" fillId="11" borderId="14" xfId="1" applyNumberFormat="1" applyFont="1" applyFill="1" applyBorder="1" applyAlignment="1">
      <alignment vertical="center"/>
    </xf>
    <xf numFmtId="204" fontId="39" fillId="0" borderId="0" xfId="0" applyNumberFormat="1" applyFont="1"/>
    <xf numFmtId="0" fontId="42" fillId="0" borderId="0" xfId="62" applyFont="1" applyAlignment="1">
      <alignment horizontal="center"/>
    </xf>
    <xf numFmtId="165" fontId="42" fillId="0" borderId="0" xfId="62" applyNumberFormat="1" applyFont="1" applyAlignment="1">
      <alignment horizontal="center"/>
    </xf>
    <xf numFmtId="165" fontId="58" fillId="0" borderId="0" xfId="87" applyNumberFormat="1" applyFont="1" applyAlignment="1" applyProtection="1">
      <alignment horizontal="center"/>
    </xf>
    <xf numFmtId="10" fontId="36" fillId="0" borderId="0" xfId="0" applyNumberFormat="1" applyFont="1" applyAlignment="1">
      <alignment horizontal="left" vertical="center"/>
    </xf>
    <xf numFmtId="10" fontId="47" fillId="11" borderId="14" xfId="3" applyNumberFormat="1" applyFont="1" applyFill="1" applyBorder="1" applyAlignment="1">
      <alignment vertical="center"/>
    </xf>
    <xf numFmtId="10" fontId="42" fillId="11" borderId="14" xfId="3" applyNumberFormat="1" applyFont="1" applyFill="1" applyBorder="1" applyAlignment="1">
      <alignment vertical="center"/>
    </xf>
    <xf numFmtId="172" fontId="47" fillId="10" borderId="0" xfId="1" applyNumberFormat="1" applyFont="1" applyFill="1" applyBorder="1" applyAlignment="1">
      <alignment horizontal="left" vertical="center"/>
    </xf>
    <xf numFmtId="172" fontId="41" fillId="10" borderId="20" xfId="1" applyNumberFormat="1" applyFont="1" applyFill="1" applyBorder="1" applyAlignment="1">
      <alignment horizontal="left" vertical="center"/>
    </xf>
    <xf numFmtId="10" fontId="42" fillId="11" borderId="14" xfId="3" applyNumberFormat="1" applyFont="1" applyFill="1" applyBorder="1"/>
    <xf numFmtId="10" fontId="47" fillId="10" borderId="14" xfId="3" applyNumberFormat="1" applyFont="1" applyFill="1" applyBorder="1"/>
    <xf numFmtId="204" fontId="42" fillId="0" borderId="0" xfId="62" applyNumberFormat="1" applyFont="1" applyAlignment="1">
      <alignment vertical="center"/>
    </xf>
    <xf numFmtId="3" fontId="42" fillId="0" borderId="0" xfId="4" applyNumberFormat="1" applyFont="1" applyBorder="1" applyAlignment="1">
      <alignment vertical="center"/>
    </xf>
    <xf numFmtId="216" fontId="42" fillId="0" borderId="0" xfId="3" applyNumberFormat="1" applyFont="1" applyAlignment="1">
      <alignment horizontal="left" vertical="center"/>
    </xf>
    <xf numFmtId="217" fontId="42" fillId="0" borderId="0" xfId="0" applyNumberFormat="1" applyFont="1" applyAlignment="1">
      <alignment vertical="center"/>
    </xf>
    <xf numFmtId="10" fontId="47" fillId="0" borderId="0" xfId="3" applyNumberFormat="1" applyFont="1" applyFill="1" applyBorder="1" applyAlignment="1">
      <alignment vertical="center"/>
    </xf>
    <xf numFmtId="166" fontId="35" fillId="0" borderId="0" xfId="3" applyNumberFormat="1" applyFont="1" applyFill="1" applyBorder="1" applyAlignment="1">
      <alignment vertical="center"/>
    </xf>
    <xf numFmtId="204" fontId="36" fillId="0" borderId="0" xfId="3" applyNumberFormat="1" applyFont="1" applyFill="1" applyBorder="1" applyAlignment="1">
      <alignment vertical="center"/>
    </xf>
    <xf numFmtId="10" fontId="42" fillId="0" borderId="0" xfId="62" applyNumberFormat="1" applyFont="1" applyAlignment="1">
      <alignment horizontal="left" vertical="center"/>
    </xf>
    <xf numFmtId="211" fontId="42" fillId="0" borderId="0" xfId="62" applyNumberFormat="1" applyFont="1"/>
    <xf numFmtId="10" fontId="42" fillId="0" borderId="0" xfId="62" applyNumberFormat="1" applyFont="1" applyAlignment="1">
      <alignment horizontal="center" vertical="center"/>
    </xf>
    <xf numFmtId="3" fontId="42" fillId="0" borderId="0" xfId="62" applyNumberFormat="1" applyFont="1" applyFill="1" applyAlignment="1">
      <alignment horizontal="right" vertical="center"/>
    </xf>
    <xf numFmtId="3" fontId="40" fillId="3" borderId="11" xfId="0" applyNumberFormat="1" applyFont="1" applyFill="1" applyBorder="1" applyAlignment="1">
      <alignment horizontal="left" vertical="top" wrapText="1"/>
    </xf>
    <xf numFmtId="172" fontId="39" fillId="0" borderId="0" xfId="0" applyNumberFormat="1" applyFont="1"/>
    <xf numFmtId="212" fontId="59" fillId="0" borderId="0" xfId="0" applyNumberFormat="1" applyFont="1" applyAlignment="1">
      <alignment vertical="center"/>
    </xf>
    <xf numFmtId="211" fontId="42" fillId="0" borderId="0" xfId="62" applyNumberFormat="1" applyFont="1" applyAlignment="1">
      <alignment horizontal="left" vertical="center"/>
    </xf>
    <xf numFmtId="212" fontId="42" fillId="0" borderId="0" xfId="62" applyNumberFormat="1" applyFont="1" applyAlignment="1">
      <alignment horizontal="center" vertical="center"/>
    </xf>
    <xf numFmtId="0" fontId="40" fillId="3" borderId="0" xfId="0" applyFont="1" applyFill="1" applyBorder="1" applyAlignment="1">
      <alignment horizontal="center" vertical="center"/>
    </xf>
    <xf numFmtId="3" fontId="40" fillId="3" borderId="7" xfId="4" applyNumberFormat="1" applyFont="1" applyFill="1" applyBorder="1" applyAlignment="1">
      <alignment horizontal="right" vertical="center"/>
    </xf>
    <xf numFmtId="166" fontId="39" fillId="0" borderId="0" xfId="3" applyNumberFormat="1" applyFont="1"/>
    <xf numFmtId="172" fontId="36" fillId="0" borderId="0" xfId="0" applyNumberFormat="1" applyFont="1" applyAlignment="1">
      <alignment vertical="center"/>
    </xf>
    <xf numFmtId="172" fontId="35" fillId="0" borderId="0" xfId="3" applyNumberFormat="1" applyFont="1" applyAlignment="1">
      <alignment vertical="center"/>
    </xf>
    <xf numFmtId="43" fontId="35" fillId="0" borderId="0" xfId="0" applyNumberFormat="1" applyFont="1" applyAlignment="1">
      <alignment vertical="center"/>
    </xf>
    <xf numFmtId="2" fontId="35" fillId="6" borderId="0" xfId="0" applyNumberFormat="1" applyFont="1" applyFill="1" applyBorder="1" applyAlignment="1">
      <alignment horizontal="right" vertical="center"/>
    </xf>
    <xf numFmtId="10" fontId="35" fillId="7" borderId="0" xfId="3" applyNumberFormat="1" applyFont="1" applyFill="1" applyBorder="1" applyAlignment="1">
      <alignment horizontal="right" vertical="center"/>
    </xf>
    <xf numFmtId="0" fontId="44" fillId="3" borderId="11" xfId="0" applyFont="1" applyFill="1" applyBorder="1" applyAlignment="1">
      <alignment horizontal="center" vertical="center"/>
    </xf>
    <xf numFmtId="0" fontId="44" fillId="9" borderId="16" xfId="0" applyFont="1" applyFill="1" applyBorder="1" applyAlignment="1">
      <alignment horizontal="center" vertical="center"/>
    </xf>
    <xf numFmtId="167" fontId="42" fillId="10" borderId="20" xfId="3" applyNumberFormat="1" applyFont="1" applyFill="1" applyBorder="1" applyAlignment="1">
      <alignment horizontal="left" vertical="center"/>
    </xf>
    <xf numFmtId="0" fontId="42" fillId="11" borderId="25" xfId="0" applyFont="1" applyFill="1" applyBorder="1" applyAlignment="1">
      <alignment vertical="center"/>
    </xf>
    <xf numFmtId="3" fontId="42" fillId="11" borderId="26" xfId="0" applyNumberFormat="1" applyFont="1" applyFill="1" applyBorder="1"/>
    <xf numFmtId="3" fontId="42" fillId="11" borderId="24" xfId="0" applyNumberFormat="1" applyFont="1" applyFill="1" applyBorder="1"/>
    <xf numFmtId="0" fontId="42" fillId="11" borderId="27" xfId="0" applyFont="1" applyFill="1" applyBorder="1" applyAlignment="1">
      <alignment vertical="center"/>
    </xf>
    <xf numFmtId="3" fontId="42" fillId="11" borderId="28" xfId="0" applyNumberFormat="1" applyFont="1" applyFill="1" applyBorder="1"/>
    <xf numFmtId="0" fontId="42" fillId="10" borderId="27" xfId="0" applyFont="1" applyFill="1" applyBorder="1" applyAlignment="1">
      <alignment vertical="center"/>
    </xf>
    <xf numFmtId="3" fontId="42" fillId="10" borderId="28" xfId="0" applyNumberFormat="1" applyFont="1" applyFill="1" applyBorder="1"/>
    <xf numFmtId="10" fontId="42" fillId="0" borderId="0" xfId="62" applyNumberFormat="1" applyFont="1" applyBorder="1"/>
    <xf numFmtId="212" fontId="42" fillId="0" borderId="0" xfId="62" applyNumberFormat="1" applyFont="1"/>
    <xf numFmtId="218" fontId="42" fillId="0" borderId="0" xfId="62" applyNumberFormat="1" applyFont="1"/>
    <xf numFmtId="172" fontId="42" fillId="0" borderId="0" xfId="62" applyNumberFormat="1" applyFont="1"/>
    <xf numFmtId="173" fontId="42" fillId="0" borderId="0" xfId="62" applyNumberFormat="1" applyFont="1"/>
    <xf numFmtId="204" fontId="42" fillId="0" borderId="0" xfId="62" applyNumberFormat="1" applyFont="1" applyAlignment="1">
      <alignment horizontal="right" vertical="center"/>
    </xf>
    <xf numFmtId="166" fontId="48" fillId="0" borderId="0" xfId="0" applyNumberFormat="1" applyFont="1" applyAlignment="1">
      <alignment vertical="center"/>
    </xf>
    <xf numFmtId="10" fontId="42" fillId="0" borderId="0" xfId="62" applyNumberFormat="1" applyFont="1" applyAlignment="1">
      <alignment vertical="center"/>
    </xf>
    <xf numFmtId="218" fontId="42" fillId="0" borderId="0" xfId="62" applyNumberFormat="1" applyFont="1" applyAlignment="1">
      <alignment horizontal="center" vertical="center"/>
    </xf>
    <xf numFmtId="166" fontId="42" fillId="0" borderId="0" xfId="0" applyNumberFormat="1" applyFont="1" applyAlignment="1">
      <alignment vertical="center"/>
    </xf>
    <xf numFmtId="166" fontId="42" fillId="0" borderId="0" xfId="3" applyNumberFormat="1" applyFont="1" applyAlignment="1">
      <alignment horizontal="right"/>
    </xf>
    <xf numFmtId="10" fontId="42" fillId="0" borderId="0" xfId="3" applyNumberFormat="1" applyFont="1" applyFill="1"/>
    <xf numFmtId="0" fontId="60" fillId="0" borderId="29" xfId="87" applyFont="1" applyBorder="1" applyAlignment="1" applyProtection="1">
      <alignment horizontal="left" vertical="center"/>
    </xf>
    <xf numFmtId="0" fontId="60" fillId="0" borderId="5" xfId="87" applyFont="1" applyBorder="1" applyAlignment="1" applyProtection="1">
      <alignment horizontal="left" vertical="center"/>
    </xf>
    <xf numFmtId="0" fontId="60" fillId="0" borderId="30" xfId="87" applyFont="1" applyBorder="1" applyAlignment="1" applyProtection="1">
      <alignment horizontal="left" vertical="center"/>
    </xf>
    <xf numFmtId="0" fontId="48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48" fillId="0" borderId="0" xfId="0" applyFont="1" applyFill="1" applyAlignment="1">
      <alignment horizontal="center" vertical="center"/>
    </xf>
    <xf numFmtId="0" fontId="40" fillId="3" borderId="12" xfId="0" applyFont="1" applyFill="1" applyBorder="1" applyAlignment="1">
      <alignment horizontal="center" vertical="center"/>
    </xf>
    <xf numFmtId="219" fontId="42" fillId="10" borderId="14" xfId="0" applyNumberFormat="1" applyFont="1" applyFill="1" applyBorder="1" applyAlignment="1">
      <alignment horizontal="right" vertical="center"/>
    </xf>
    <xf numFmtId="219" fontId="42" fillId="11" borderId="14" xfId="0" applyNumberFormat="1" applyFont="1" applyFill="1" applyBorder="1" applyAlignment="1">
      <alignment horizontal="right" vertical="center"/>
    </xf>
    <xf numFmtId="166" fontId="42" fillId="10" borderId="20" xfId="3" applyNumberFormat="1" applyFont="1" applyFill="1" applyBorder="1" applyAlignment="1">
      <alignment horizontal="left" vertical="center"/>
    </xf>
    <xf numFmtId="166" fontId="42" fillId="10" borderId="20" xfId="1" applyNumberFormat="1" applyFont="1" applyFill="1" applyBorder="1" applyAlignment="1">
      <alignment horizontal="left" vertical="center"/>
    </xf>
    <xf numFmtId="172" fontId="42" fillId="11" borderId="14" xfId="1" quotePrefix="1" applyNumberFormat="1" applyFont="1" applyFill="1" applyBorder="1" applyAlignment="1">
      <alignment vertical="center"/>
    </xf>
    <xf numFmtId="211" fontId="42" fillId="0" borderId="0" xfId="62" applyNumberFormat="1" applyFont="1" applyBorder="1"/>
    <xf numFmtId="213" fontId="42" fillId="10" borderId="14" xfId="1" applyNumberFormat="1" applyFont="1" applyFill="1" applyBorder="1" applyAlignment="1">
      <alignment horizontal="left" vertical="center"/>
    </xf>
    <xf numFmtId="10" fontId="39" fillId="0" borderId="0" xfId="0" applyNumberFormat="1" applyFont="1" applyFill="1" applyBorder="1"/>
    <xf numFmtId="4" fontId="39" fillId="0" borderId="0" xfId="0" applyNumberFormat="1" applyFont="1"/>
    <xf numFmtId="0" fontId="42" fillId="0" borderId="0" xfId="0" applyFont="1" applyAlignment="1">
      <alignment horizontal="right" vertical="center"/>
    </xf>
    <xf numFmtId="216" fontId="42" fillId="0" borderId="0" xfId="62" applyNumberFormat="1" applyFont="1" applyAlignment="1">
      <alignment horizontal="center" vertical="center"/>
    </xf>
    <xf numFmtId="170" fontId="42" fillId="11" borderId="14" xfId="3" applyNumberFormat="1" applyFont="1" applyFill="1" applyBorder="1"/>
    <xf numFmtId="10" fontId="42" fillId="11" borderId="14" xfId="1" applyNumberFormat="1" applyFont="1" applyFill="1" applyBorder="1" applyAlignment="1">
      <alignment vertical="center"/>
    </xf>
    <xf numFmtId="204" fontId="42" fillId="0" borderId="0" xfId="0" applyNumberFormat="1" applyFont="1" applyAlignment="1">
      <alignment vertical="center"/>
    </xf>
    <xf numFmtId="10" fontId="59" fillId="7" borderId="0" xfId="6" applyNumberFormat="1" applyFont="1" applyFill="1" applyBorder="1" applyAlignment="1">
      <alignment horizontal="center" vertical="center" wrapText="1"/>
    </xf>
    <xf numFmtId="10" fontId="59" fillId="7" borderId="0" xfId="3" applyNumberFormat="1" applyFont="1" applyFill="1" applyBorder="1" applyAlignment="1">
      <alignment horizontal="center" vertical="center" wrapText="1"/>
    </xf>
    <xf numFmtId="172" fontId="42" fillId="13" borderId="20" xfId="1" applyNumberFormat="1" applyFont="1" applyFill="1" applyBorder="1" applyAlignment="1">
      <alignment horizontal="left" vertical="center"/>
    </xf>
    <xf numFmtId="43" fontId="47" fillId="10" borderId="20" xfId="1" applyNumberFormat="1" applyFont="1" applyFill="1" applyBorder="1" applyAlignment="1">
      <alignment vertical="center"/>
    </xf>
    <xf numFmtId="166" fontId="47" fillId="11" borderId="14" xfId="3" applyNumberFormat="1" applyFont="1" applyFill="1" applyBorder="1" applyAlignment="1">
      <alignment vertical="center"/>
    </xf>
    <xf numFmtId="213" fontId="47" fillId="10" borderId="20" xfId="1" applyNumberFormat="1" applyFont="1" applyFill="1" applyBorder="1" applyAlignment="1">
      <alignment horizontal="right" vertical="center"/>
    </xf>
    <xf numFmtId="0" fontId="42" fillId="0" borderId="0" xfId="0" applyFont="1" applyAlignment="1">
      <alignment horizontal="right"/>
    </xf>
    <xf numFmtId="10" fontId="44" fillId="3" borderId="11" xfId="3" applyNumberFormat="1" applyFont="1" applyFill="1" applyBorder="1" applyAlignment="1">
      <alignment horizontal="center" vertical="center"/>
    </xf>
    <xf numFmtId="4" fontId="42" fillId="10" borderId="20" xfId="0" applyNumberFormat="1" applyFont="1" applyFill="1" applyBorder="1" applyAlignment="1">
      <alignment horizontal="right" vertical="center"/>
    </xf>
    <xf numFmtId="0" fontId="43" fillId="6" borderId="0" xfId="93" applyFont="1" applyFill="1" applyBorder="1"/>
    <xf numFmtId="0" fontId="42" fillId="6" borderId="0" xfId="62" applyFont="1" applyFill="1"/>
    <xf numFmtId="0" fontId="43" fillId="6" borderId="0" xfId="93" applyFont="1" applyFill="1" applyBorder="1" applyAlignment="1">
      <alignment horizontal="center"/>
    </xf>
    <xf numFmtId="10" fontId="42" fillId="6" borderId="0" xfId="6" applyNumberFormat="1" applyFont="1" applyFill="1" applyBorder="1" applyAlignment="1">
      <alignment horizontal="center"/>
    </xf>
    <xf numFmtId="10" fontId="42" fillId="6" borderId="0" xfId="62" applyNumberFormat="1" applyFont="1" applyFill="1"/>
    <xf numFmtId="0" fontId="47" fillId="6" borderId="0" xfId="62" applyFont="1" applyFill="1" applyBorder="1" applyAlignment="1">
      <alignment horizontal="right"/>
    </xf>
    <xf numFmtId="10" fontId="47" fillId="6" borderId="0" xfId="62" applyNumberFormat="1" applyFont="1" applyFill="1"/>
    <xf numFmtId="10" fontId="47" fillId="2" borderId="0" xfId="62" applyNumberFormat="1" applyFont="1" applyFill="1" applyBorder="1" applyAlignment="1">
      <alignment horizontal="center"/>
    </xf>
    <xf numFmtId="169" fontId="42" fillId="6" borderId="0" xfId="62" applyNumberFormat="1" applyFont="1" applyFill="1" applyBorder="1" applyAlignment="1">
      <alignment horizontal="center"/>
    </xf>
    <xf numFmtId="166" fontId="42" fillId="6" borderId="0" xfId="62" applyNumberFormat="1" applyFont="1" applyFill="1"/>
    <xf numFmtId="166" fontId="47" fillId="6" borderId="0" xfId="62" applyNumberFormat="1" applyFont="1" applyFill="1" applyBorder="1"/>
    <xf numFmtId="10" fontId="46" fillId="2" borderId="0" xfId="62" applyNumberFormat="1" applyFont="1" applyFill="1" applyBorder="1" applyAlignment="1">
      <alignment vertical="center"/>
    </xf>
    <xf numFmtId="0" fontId="40" fillId="3" borderId="17" xfId="0" applyFont="1" applyFill="1" applyBorder="1" applyAlignment="1">
      <alignment horizontal="center" vertical="center"/>
    </xf>
    <xf numFmtId="0" fontId="40" fillId="3" borderId="32" xfId="0" applyFont="1" applyFill="1" applyBorder="1" applyAlignment="1">
      <alignment horizontal="center" vertical="center"/>
    </xf>
    <xf numFmtId="3" fontId="42" fillId="10" borderId="15" xfId="0" applyNumberFormat="1" applyFont="1" applyFill="1" applyBorder="1"/>
    <xf numFmtId="0" fontId="42" fillId="10" borderId="14" xfId="0" applyFont="1" applyFill="1" applyBorder="1" applyAlignment="1">
      <alignment horizontal="left" vertical="top"/>
    </xf>
    <xf numFmtId="0" fontId="42" fillId="11" borderId="14" xfId="0" applyFont="1" applyFill="1" applyBorder="1" applyAlignment="1">
      <alignment horizontal="left" vertical="top"/>
    </xf>
    <xf numFmtId="0" fontId="42" fillId="11" borderId="12" xfId="0" applyFont="1" applyFill="1" applyBorder="1" applyAlignment="1">
      <alignment horizontal="left" vertical="top"/>
    </xf>
    <xf numFmtId="0" fontId="42" fillId="11" borderId="12" xfId="0" applyFont="1" applyFill="1" applyBorder="1" applyAlignment="1">
      <alignment vertical="center"/>
    </xf>
    <xf numFmtId="3" fontId="42" fillId="11" borderId="12" xfId="0" applyNumberFormat="1" applyFont="1" applyFill="1" applyBorder="1"/>
    <xf numFmtId="3" fontId="42" fillId="11" borderId="0" xfId="0" applyNumberFormat="1" applyFont="1" applyFill="1" applyBorder="1"/>
    <xf numFmtId="0" fontId="60" fillId="0" borderId="3" xfId="87" applyFont="1" applyBorder="1" applyAlignment="1" applyProtection="1">
      <alignment horizontal="left" vertical="center"/>
    </xf>
    <xf numFmtId="0" fontId="60" fillId="0" borderId="1" xfId="87" applyFont="1" applyBorder="1" applyAlignment="1" applyProtection="1">
      <alignment horizontal="left" vertical="center"/>
    </xf>
    <xf numFmtId="0" fontId="60" fillId="0" borderId="31" xfId="87" applyFont="1" applyBorder="1" applyAlignment="1" applyProtection="1">
      <alignment horizontal="left" vertical="center"/>
    </xf>
    <xf numFmtId="3" fontId="44" fillId="3" borderId="11" xfId="0" applyNumberFormat="1" applyFont="1" applyFill="1" applyBorder="1" applyAlignment="1">
      <alignment horizontal="center" vertical="center"/>
    </xf>
    <xf numFmtId="10" fontId="64" fillId="6" borderId="0" xfId="3" applyNumberFormat="1" applyFont="1" applyFill="1"/>
    <xf numFmtId="167" fontId="47" fillId="11" borderId="14" xfId="3" applyNumberFormat="1" applyFont="1" applyFill="1" applyBorder="1" applyAlignment="1">
      <alignment vertical="center"/>
    </xf>
    <xf numFmtId="10" fontId="47" fillId="11" borderId="14" xfId="3" applyNumberFormat="1" applyFont="1" applyFill="1" applyBorder="1" applyAlignment="1">
      <alignment horizontal="left" vertical="center"/>
    </xf>
    <xf numFmtId="10" fontId="47" fillId="10" borderId="20" xfId="3" applyNumberFormat="1" applyFont="1" applyFill="1" applyBorder="1" applyAlignment="1">
      <alignment horizontal="left" vertical="center"/>
    </xf>
    <xf numFmtId="10" fontId="47" fillId="10" borderId="20" xfId="3" applyNumberFormat="1" applyFont="1" applyFill="1" applyBorder="1" applyAlignment="1">
      <alignment vertical="center"/>
    </xf>
    <xf numFmtId="166" fontId="47" fillId="10" borderId="20" xfId="3" applyNumberFormat="1" applyFont="1" applyFill="1" applyBorder="1" applyAlignment="1">
      <alignment horizontal="left" vertical="center"/>
    </xf>
    <xf numFmtId="0" fontId="63" fillId="12" borderId="22" xfId="0" applyFont="1" applyFill="1" applyBorder="1" applyAlignment="1">
      <alignment horizontal="center" vertical="center"/>
    </xf>
    <xf numFmtId="0" fontId="63" fillId="12" borderId="21" xfId="0" applyFont="1" applyFill="1" applyBorder="1" applyAlignment="1">
      <alignment horizontal="center" vertical="center"/>
    </xf>
    <xf numFmtId="0" fontId="63" fillId="12" borderId="23" xfId="0" applyFont="1" applyFill="1" applyBorder="1" applyAlignment="1">
      <alignment horizontal="center" vertical="center"/>
    </xf>
    <xf numFmtId="0" fontId="49" fillId="7" borderId="29" xfId="0" applyFont="1" applyFill="1" applyBorder="1" applyAlignment="1">
      <alignment horizontal="center" vertical="center" wrapText="1"/>
    </xf>
    <xf numFmtId="0" fontId="49" fillId="7" borderId="5" xfId="0" applyFont="1" applyFill="1" applyBorder="1" applyAlignment="1">
      <alignment horizontal="center" vertical="center" wrapText="1"/>
    </xf>
    <xf numFmtId="0" fontId="49" fillId="7" borderId="30" xfId="0" applyFont="1" applyFill="1" applyBorder="1" applyAlignment="1">
      <alignment horizontal="center" vertical="center" wrapText="1"/>
    </xf>
    <xf numFmtId="0" fontId="62" fillId="12" borderId="0" xfId="87" applyFont="1" applyFill="1" applyBorder="1" applyAlignment="1" applyProtection="1">
      <alignment horizontal="center" vertical="center"/>
    </xf>
  </cellXfs>
  <cellStyles count="94">
    <cellStyle name="(0.0%)" xfId="8"/>
    <cellStyle name="_x0004_¥" xfId="88"/>
    <cellStyle name="A Big heading" xfId="9"/>
    <cellStyle name="A body text" xfId="10"/>
    <cellStyle name="A smaller heading" xfId="11"/>
    <cellStyle name="bold big" xfId="12"/>
    <cellStyle name="bold bot bord" xfId="13"/>
    <cellStyle name="bold underline" xfId="14"/>
    <cellStyle name="Border Bottom Thick" xfId="15"/>
    <cellStyle name="Border Top Thin" xfId="16"/>
    <cellStyle name="Comma [0.0]" xfId="17"/>
    <cellStyle name="Comma 0" xfId="18"/>
    <cellStyle name="Comma 0*" xfId="19"/>
    <cellStyle name="Comma 0_Comp1" xfId="20"/>
    <cellStyle name="Comma 2" xfId="21"/>
    <cellStyle name="Comma 2*" xfId="22"/>
    <cellStyle name="Comma 2_Comp1" xfId="23"/>
    <cellStyle name="Comma 3" xfId="2"/>
    <cellStyle name="Comma 3*" xfId="24"/>
    <cellStyle name="Comma*" xfId="25"/>
    <cellStyle name="Comma0" xfId="26"/>
    <cellStyle name="Curren - Style1" xfId="27"/>
    <cellStyle name="Currency 0" xfId="28"/>
    <cellStyle name="Currency 2" xfId="29"/>
    <cellStyle name="Currency 2*" xfId="30"/>
    <cellStyle name="Currency 2_Comp1" xfId="31"/>
    <cellStyle name="Currency 3*" xfId="32"/>
    <cellStyle name="Currency*" xfId="33"/>
    <cellStyle name="Currency0" xfId="34"/>
    <cellStyle name="Date" xfId="35"/>
    <cellStyle name="Date Aligned" xfId="36"/>
    <cellStyle name="Date Aligned*" xfId="37"/>
    <cellStyle name="Date Aligned_Comp1" xfId="38"/>
    <cellStyle name="DateLong" xfId="39"/>
    <cellStyle name="DateShort" xfId="40"/>
    <cellStyle name="Dezimal (0.0)" xfId="41"/>
    <cellStyle name="Diseño" xfId="42"/>
    <cellStyle name="Dotted Line" xfId="43"/>
    <cellStyle name="Estilo 1" xfId="89"/>
    <cellStyle name="Euro" xfId="44"/>
    <cellStyle name="Factor" xfId="45"/>
    <cellStyle name="Fixed" xfId="46"/>
    <cellStyle name="Footnote" xfId="47"/>
    <cellStyle name="Growth" xfId="48"/>
    <cellStyle name="Hard Percent" xfId="49"/>
    <cellStyle name="Header" xfId="50"/>
    <cellStyle name="Helv 10 Bold" xfId="51"/>
    <cellStyle name="Helv 12 Bold" xfId="52"/>
    <cellStyle name="Hipervínculo" xfId="87" builtinId="8"/>
    <cellStyle name="InLink" xfId="53"/>
    <cellStyle name="Millares" xfId="1" builtinId="3"/>
    <cellStyle name="Millares 2" xfId="7"/>
    <cellStyle name="Millares 3 10" xfId="90"/>
    <cellStyle name="Millares 3 12" xfId="91"/>
    <cellStyle name="Month" xfId="54"/>
    <cellStyle name="Multiple" xfId="55"/>
    <cellStyle name="MultipleBelow" xfId="56"/>
    <cellStyle name="neg0.0" xfId="57"/>
    <cellStyle name="No-definido" xfId="58"/>
    <cellStyle name="Non_Input" xfId="59"/>
    <cellStyle name="Normaali_SHEET4A.XLS" xfId="60"/>
    <cellStyle name="Normal" xfId="0" builtinId="0"/>
    <cellStyle name="Normal - Style2" xfId="61"/>
    <cellStyle name="Normal 2" xfId="62"/>
    <cellStyle name="Normal 2 2" xfId="4"/>
    <cellStyle name="Normal 3" xfId="86"/>
    <cellStyle name="Normal 4" xfId="93"/>
    <cellStyle name="Normal_Gastos" xfId="85"/>
    <cellStyle name="Page Number" xfId="63"/>
    <cellStyle name="Percent (0)" xfId="64"/>
    <cellStyle name="Percent (0.0)" xfId="65"/>
    <cellStyle name="Percent 0" xfId="66"/>
    <cellStyle name="Percent 2" xfId="5"/>
    <cellStyle name="Percent*" xfId="67"/>
    <cellStyle name="Percent-0.0%" xfId="68"/>
    <cellStyle name="Percent-no dec" xfId="69"/>
    <cellStyle name="Pilkku_SHEET4A.XLS" xfId="70"/>
    <cellStyle name="Porcentual" xfId="3" builtinId="5"/>
    <cellStyle name="Porcentual 2" xfId="6"/>
    <cellStyle name="Porcentual 2 2" xfId="92"/>
    <cellStyle name="Pyör. luku_SHEET4A.XLS" xfId="71"/>
    <cellStyle name="Pyör. valuutta_SHEET4A.XLS" xfId="72"/>
    <cellStyle name="Red" xfId="73"/>
    <cellStyle name="Share" xfId="74"/>
    <cellStyle name="Standard_AAV Stammdaten" xfId="75"/>
    <cellStyle name="Table Head" xfId="76"/>
    <cellStyle name="Table Head Aligned" xfId="77"/>
    <cellStyle name="Table Head Blue" xfId="78"/>
    <cellStyle name="Table Head Green" xfId="79"/>
    <cellStyle name="Table Title" xfId="80"/>
    <cellStyle name="Table Units" xfId="81"/>
    <cellStyle name="Valuutta_SHEET4A.XLS" xfId="82"/>
    <cellStyle name="Währung [0]_AAV Stammdaten" xfId="83"/>
    <cellStyle name="Währung_AAV Stammdaten" xfId="84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00CC99"/>
      <color rgb="FFFFFFCC"/>
      <color rgb="FFCC3300"/>
      <color rgb="FFFFD9CD"/>
      <color rgb="FFCCFFCC"/>
      <color rgb="FFC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1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2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lang="es-PE"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Capital Index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0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axId val="98772480"/>
        <c:axId val="116704000"/>
      </c:barChart>
      <c:lineChart>
        <c:grouping val="standard"/>
        <c:ser>
          <c:idx val="2"/>
          <c:order val="2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3"/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marker val="1"/>
        <c:axId val="116705920"/>
        <c:axId val="121303424"/>
      </c:lineChart>
      <c:catAx>
        <c:axId val="98772480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6704000"/>
        <c:crosses val="autoZero"/>
        <c:lblAlgn val="ctr"/>
        <c:lblOffset val="100"/>
        <c:tickLblSkip val="1"/>
        <c:tickMarkSkip val="1"/>
      </c:catAx>
      <c:valAx>
        <c:axId val="11670400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lang="es-P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Capital Value, Quantities (Mlls)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98772480"/>
        <c:crosses val="autoZero"/>
        <c:crossBetween val="between"/>
      </c:valAx>
      <c:catAx>
        <c:axId val="116705920"/>
        <c:scaling>
          <c:orientation val="minMax"/>
        </c:scaling>
        <c:delete val="1"/>
        <c:axPos val="b"/>
        <c:tickLblPos val="none"/>
        <c:crossAx val="121303424"/>
        <c:crosses val="autoZero"/>
        <c:lblAlgn val="ctr"/>
        <c:lblOffset val="100"/>
      </c:catAx>
      <c:valAx>
        <c:axId val="121303424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lang="es-P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TFP (%)</a:t>
                </a:r>
              </a:p>
            </c:rich>
          </c:tx>
          <c:spPr>
            <a:noFill/>
            <a:ln w="25400">
              <a:noFill/>
            </a:ln>
          </c:spPr>
        </c:title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6705920"/>
        <c:crosses val="max"/>
        <c:crossBetween val="between"/>
        <c:majorUnit val="0.30000000000000032"/>
      </c:valAx>
      <c:spPr>
        <a:gradFill rotWithShape="0">
          <a:gsLst>
            <a:gs pos="0">
              <a:srgbClr val="C0C0C0">
                <a:gamma/>
                <a:shade val="76078"/>
                <a:invGamma/>
              </a:srgbClr>
            </a:gs>
            <a:gs pos="50000">
              <a:srgbClr val="C0C0C0"/>
            </a:gs>
            <a:gs pos="100000">
              <a:srgbClr val="C0C0C0">
                <a:gamma/>
                <a:shade val="76078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PE" sz="5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1443" r="0.75000000000001443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2417883</xdr:colOff>
      <xdr:row>19</xdr:row>
      <xdr:rowOff>51788</xdr:rowOff>
    </xdr:from>
    <xdr:to>
      <xdr:col>4</xdr:col>
      <xdr:colOff>323777</xdr:colOff>
      <xdr:row>23</xdr:row>
      <xdr:rowOff>25707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9883" y="2223488"/>
          <a:ext cx="2258819" cy="43111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</xdr:row>
      <xdr:rowOff>0</xdr:rowOff>
    </xdr:from>
    <xdr:to>
      <xdr:col>7</xdr:col>
      <xdr:colOff>438150</xdr:colOff>
      <xdr:row>3</xdr:row>
      <xdr:rowOff>0</xdr:rowOff>
    </xdr:to>
    <xdr:graphicFrame macro="">
      <xdr:nvGraphicFramePr>
        <xdr:cNvPr id="2" name="Chart 2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0.71601</cdr:x>
      <cdr:y>0.57353</cdr:y>
    </cdr:from>
    <cdr:to>
      <cdr:x>0.75808</cdr:x>
      <cdr:y>0.57875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59224" y="423813"/>
          <a:ext cx="321974" cy="38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PE" sz="150" b="1" i="0" strike="noStrike">
              <a:solidFill>
                <a:srgbClr val="FFFF00"/>
              </a:solidFill>
              <a:latin typeface="Arial"/>
              <a:cs typeface="Arial"/>
            </a:rPr>
            <a:t>31.6%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x%20,ATM%20and%20seat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06\department\ERIC\Junereforecast\LTNOPPWC4EC103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 &amp; Key Results"/>
      <sheetName val="Input"/>
      <sheetName val="Scenarios"/>
      <sheetName val="Capex semi"/>
      <sheetName val="Seasonality"/>
      <sheetName val="Semi-output"/>
      <sheetName val="Output Page"/>
      <sheetName val="Employees"/>
      <sheetName val="Revenues"/>
      <sheetName val="O&amp;M"/>
      <sheetName val="Retail"/>
      <sheetName val="Profit Concession"/>
      <sheetName val="Visuals"/>
      <sheetName val="Profit Concesssion 3"/>
      <sheetName val="Car Parking Revenue"/>
      <sheetName val="AGI Cashflow"/>
      <sheetName val="AGI Costs"/>
      <sheetName val="Link Sheet"/>
      <sheetName val="Module1"/>
      <sheetName val="Pax ,ATM and se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a &amp; Key Results"/>
      <sheetName val="Input"/>
      <sheetName val="Scenarios"/>
      <sheetName val="Capex semi"/>
      <sheetName val="Seasonality"/>
      <sheetName val="Semi-output"/>
      <sheetName val="Output Page"/>
      <sheetName val="Employees"/>
      <sheetName val="Revenues"/>
      <sheetName val="O&amp;M"/>
      <sheetName val="Retail"/>
      <sheetName val="Profit Concession"/>
      <sheetName val="Visuals"/>
      <sheetName val="Profit Concesssion 3"/>
      <sheetName val="Car Parking Revenue"/>
      <sheetName val="AGI Cashflow"/>
      <sheetName val="AGI Costs"/>
      <sheetName val="Link Sheet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Aspecto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B1:H29"/>
  <sheetViews>
    <sheetView tabSelected="1" workbookViewId="0">
      <selection activeCell="H25" sqref="H25"/>
    </sheetView>
  </sheetViews>
  <sheetFormatPr baseColWidth="10" defaultRowHeight="9"/>
  <cols>
    <col min="1" max="1" width="11.42578125" style="408"/>
    <col min="2" max="2" width="50" style="408" bestFit="1" customWidth="1"/>
    <col min="3" max="3" width="8.7109375" style="408" bestFit="1" customWidth="1"/>
    <col min="4" max="4" width="6.5703125" style="408" bestFit="1" customWidth="1"/>
    <col min="5" max="5" width="25.7109375" style="408" bestFit="1" customWidth="1"/>
    <col min="6" max="16384" width="11.42578125" style="408"/>
  </cols>
  <sheetData>
    <row r="1" spans="2:8">
      <c r="B1" s="407" t="s">
        <v>511</v>
      </c>
      <c r="E1" s="409" t="s">
        <v>512</v>
      </c>
    </row>
    <row r="4" spans="2:8">
      <c r="B4" s="165" t="s">
        <v>513</v>
      </c>
      <c r="C4" s="165"/>
      <c r="D4" s="165"/>
      <c r="E4" s="165"/>
    </row>
    <row r="5" spans="2:8" ht="15.75">
      <c r="B5" s="38" t="s">
        <v>514</v>
      </c>
      <c r="C5" s="410"/>
      <c r="D5" s="399">
        <f>+D11+IPC_Lima!$O$18</f>
        <v>3.011666666666667E-2</v>
      </c>
      <c r="E5" s="411"/>
      <c r="G5" s="411"/>
    </row>
    <row r="6" spans="2:8" ht="15.75">
      <c r="B6" s="38" t="s">
        <v>515</v>
      </c>
      <c r="C6" s="410"/>
      <c r="D6" s="399">
        <f>+'Indice de Precios'!$N$31</f>
        <v>4.023560251906428E-2</v>
      </c>
      <c r="E6" s="411"/>
      <c r="G6" s="411"/>
    </row>
    <row r="7" spans="2:8">
      <c r="B7" s="38"/>
      <c r="C7" s="410"/>
      <c r="D7" s="410"/>
      <c r="E7" s="411"/>
      <c r="G7" s="411"/>
    </row>
    <row r="8" spans="2:8">
      <c r="C8" s="412" t="s">
        <v>415</v>
      </c>
      <c r="D8" s="413"/>
      <c r="E8" s="413">
        <f>D5-D6</f>
        <v>-1.011893585239761E-2</v>
      </c>
      <c r="G8" s="411"/>
    </row>
    <row r="9" spans="2:8">
      <c r="B9" s="165" t="s">
        <v>516</v>
      </c>
      <c r="C9" s="165"/>
      <c r="D9" s="414"/>
      <c r="E9" s="414"/>
      <c r="G9" s="411"/>
    </row>
    <row r="10" spans="2:8" ht="15.75">
      <c r="B10" s="38" t="s">
        <v>517</v>
      </c>
      <c r="C10" s="415"/>
      <c r="D10" s="398">
        <f>+'Indice de Cantidades '!$N$40</f>
        <v>1.5113869887531052E-2</v>
      </c>
      <c r="E10" s="411"/>
      <c r="G10" s="411"/>
    </row>
    <row r="11" spans="2:8" ht="15.75">
      <c r="B11" s="38" t="s">
        <v>518</v>
      </c>
      <c r="C11" s="415"/>
      <c r="D11" s="398">
        <f>+'PTF Eco'!$O$5</f>
        <v>4.516666666666668E-3</v>
      </c>
      <c r="E11" s="411"/>
      <c r="G11" s="411"/>
    </row>
    <row r="12" spans="2:8">
      <c r="B12" s="38"/>
      <c r="C12" s="415"/>
      <c r="D12" s="416"/>
      <c r="E12" s="411"/>
      <c r="G12" s="411"/>
    </row>
    <row r="13" spans="2:8">
      <c r="C13" s="412" t="s">
        <v>415</v>
      </c>
      <c r="D13" s="417"/>
      <c r="E13" s="413">
        <f>D10-D11</f>
        <v>1.0597203220864385E-2</v>
      </c>
      <c r="G13" s="411"/>
    </row>
    <row r="14" spans="2:8">
      <c r="B14" s="165" t="s">
        <v>372</v>
      </c>
      <c r="C14" s="165"/>
      <c r="D14" s="418"/>
      <c r="E14" s="418"/>
      <c r="G14" s="411"/>
    </row>
    <row r="15" spans="2:8" ht="26.25">
      <c r="D15" s="411"/>
      <c r="E15" s="432">
        <f>E13+E8</f>
        <v>4.7826736846677542E-4</v>
      </c>
      <c r="G15" s="411"/>
      <c r="H15" s="411"/>
    </row>
    <row r="16" spans="2:8">
      <c r="B16" s="165"/>
      <c r="C16" s="165"/>
      <c r="D16" s="165"/>
      <c r="E16" s="418"/>
    </row>
    <row r="29" spans="5:5">
      <c r="E29" s="411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2">
    <tabColor rgb="FF00B050"/>
  </sheetPr>
  <dimension ref="A1:O73"/>
  <sheetViews>
    <sheetView showGridLines="0" workbookViewId="0">
      <selection activeCell="E2" sqref="E2:H2"/>
    </sheetView>
  </sheetViews>
  <sheetFormatPr baseColWidth="10" defaultRowHeight="9"/>
  <cols>
    <col min="1" max="1" width="14.42578125" style="35" customWidth="1"/>
    <col min="2" max="2" width="19.28515625" style="35" customWidth="1"/>
    <col min="3" max="15" width="7.7109375" style="35" customWidth="1"/>
    <col min="16" max="16" width="11.42578125" style="35"/>
    <col min="17" max="20" width="5.7109375" style="35" customWidth="1"/>
    <col min="21" max="16384" width="11.42578125" style="35"/>
  </cols>
  <sheetData>
    <row r="1" spans="1:15">
      <c r="B1" s="37" t="s">
        <v>392</v>
      </c>
    </row>
    <row r="2" spans="1:15" ht="9.75" customHeight="1">
      <c r="B2" s="38" t="s">
        <v>373</v>
      </c>
      <c r="E2" s="444" t="s">
        <v>555</v>
      </c>
      <c r="F2" s="444"/>
      <c r="G2" s="444"/>
      <c r="H2" s="444"/>
    </row>
    <row r="4" spans="1:15" ht="9.75" thickBot="1">
      <c r="A4" s="42" t="s">
        <v>375</v>
      </c>
      <c r="B4" s="42" t="s">
        <v>374</v>
      </c>
      <c r="C4" s="42" t="s">
        <v>380</v>
      </c>
      <c r="D4" s="42" t="s">
        <v>381</v>
      </c>
      <c r="E4" s="42" t="s">
        <v>382</v>
      </c>
      <c r="F4" s="42" t="s">
        <v>383</v>
      </c>
      <c r="G4" s="49" t="s">
        <v>469</v>
      </c>
      <c r="H4" s="88">
        <v>2005</v>
      </c>
      <c r="I4" s="42" t="s">
        <v>384</v>
      </c>
      <c r="J4" s="42" t="s">
        <v>385</v>
      </c>
      <c r="K4" s="42" t="s">
        <v>386</v>
      </c>
      <c r="L4" s="42" t="s">
        <v>387</v>
      </c>
      <c r="M4" s="42" t="s">
        <v>388</v>
      </c>
      <c r="N4" s="42" t="s">
        <v>389</v>
      </c>
      <c r="O4" s="43" t="s">
        <v>390</v>
      </c>
    </row>
    <row r="5" spans="1:15" s="40" customFormat="1" ht="9.75" thickTop="1">
      <c r="A5" s="209" t="s">
        <v>376</v>
      </c>
      <c r="B5" s="44" t="s">
        <v>21</v>
      </c>
      <c r="C5" s="45">
        <v>1086791</v>
      </c>
      <c r="D5" s="45">
        <v>1142547</v>
      </c>
      <c r="E5" s="45">
        <v>1163468</v>
      </c>
      <c r="F5" s="45">
        <v>1293180</v>
      </c>
      <c r="G5" s="45">
        <v>1452775</v>
      </c>
      <c r="H5" s="45">
        <v>1452775</v>
      </c>
      <c r="I5" s="45">
        <v>1494058</v>
      </c>
      <c r="J5" s="45">
        <v>1800049</v>
      </c>
      <c r="K5" s="45">
        <v>1973572</v>
      </c>
      <c r="L5" s="45">
        <v>2042407</v>
      </c>
      <c r="M5" s="45">
        <v>2126614</v>
      </c>
      <c r="N5" s="45">
        <v>2356231.0024514114</v>
      </c>
      <c r="O5" s="421">
        <v>2587509.0029000002</v>
      </c>
    </row>
    <row r="6" spans="1:15" s="40" customFormat="1">
      <c r="A6" s="46" t="s">
        <v>376</v>
      </c>
      <c r="B6" s="46" t="s">
        <v>22</v>
      </c>
      <c r="C6" s="47">
        <v>986456</v>
      </c>
      <c r="D6" s="47">
        <v>948351</v>
      </c>
      <c r="E6" s="47">
        <v>986702</v>
      </c>
      <c r="F6" s="47">
        <v>1093258</v>
      </c>
      <c r="G6" s="47">
        <v>1179050</v>
      </c>
      <c r="H6" s="47">
        <v>1179050</v>
      </c>
      <c r="I6" s="47">
        <v>1312059</v>
      </c>
      <c r="J6" s="47">
        <v>1706094</v>
      </c>
      <c r="K6" s="47">
        <v>1874795</v>
      </c>
      <c r="L6" s="47">
        <v>1980482</v>
      </c>
      <c r="M6" s="47">
        <v>2561931</v>
      </c>
      <c r="N6" s="47">
        <v>2997834.9797341949</v>
      </c>
      <c r="O6" s="48">
        <v>3474612.9995999997</v>
      </c>
    </row>
    <row r="7" spans="1:15" s="40" customFormat="1">
      <c r="A7" s="209" t="s">
        <v>377</v>
      </c>
      <c r="B7" s="44" t="s">
        <v>470</v>
      </c>
      <c r="C7" s="45">
        <v>390.03861966576574</v>
      </c>
      <c r="D7" s="45">
        <v>320</v>
      </c>
      <c r="E7" s="45">
        <v>353</v>
      </c>
      <c r="F7" s="45">
        <v>288</v>
      </c>
      <c r="G7" s="45">
        <v>295</v>
      </c>
      <c r="H7" s="45">
        <v>295</v>
      </c>
      <c r="I7" s="45">
        <v>347</v>
      </c>
      <c r="J7" s="45">
        <v>384</v>
      </c>
      <c r="K7" s="45">
        <v>463</v>
      </c>
      <c r="L7" s="45">
        <v>508</v>
      </c>
      <c r="M7" s="45">
        <v>551</v>
      </c>
      <c r="N7" s="45">
        <v>497</v>
      </c>
      <c r="O7" s="421">
        <v>560</v>
      </c>
    </row>
    <row r="8" spans="1:15" s="40" customFormat="1">
      <c r="A8" s="210" t="s">
        <v>377</v>
      </c>
      <c r="B8" s="46" t="s">
        <v>471</v>
      </c>
      <c r="C8" s="47">
        <v>228.56490540180442</v>
      </c>
      <c r="D8" s="47">
        <v>292</v>
      </c>
      <c r="E8" s="47">
        <v>265</v>
      </c>
      <c r="F8" s="47">
        <v>232</v>
      </c>
      <c r="G8" s="47">
        <v>204</v>
      </c>
      <c r="H8" s="47">
        <v>204</v>
      </c>
      <c r="I8" s="47">
        <v>185</v>
      </c>
      <c r="J8" s="47">
        <v>179</v>
      </c>
      <c r="K8" s="47">
        <v>198</v>
      </c>
      <c r="L8" s="47">
        <v>185</v>
      </c>
      <c r="M8" s="47">
        <v>267</v>
      </c>
      <c r="N8" s="47">
        <v>267</v>
      </c>
      <c r="O8" s="48">
        <v>340</v>
      </c>
    </row>
    <row r="9" spans="1:15">
      <c r="A9" s="209" t="s">
        <v>377</v>
      </c>
      <c r="B9" s="44" t="s">
        <v>472</v>
      </c>
      <c r="C9" s="45">
        <v>376.39295367162816</v>
      </c>
      <c r="D9" s="45">
        <v>329</v>
      </c>
      <c r="E9" s="45">
        <v>277</v>
      </c>
      <c r="F9" s="45">
        <v>209</v>
      </c>
      <c r="G9" s="45">
        <v>63</v>
      </c>
      <c r="H9" s="45">
        <v>63</v>
      </c>
      <c r="I9" s="45">
        <v>320</v>
      </c>
      <c r="J9" s="45">
        <v>744</v>
      </c>
      <c r="K9" s="45">
        <v>1312</v>
      </c>
      <c r="L9" s="45">
        <v>2059</v>
      </c>
      <c r="M9" s="45">
        <v>1669</v>
      </c>
      <c r="N9" s="45">
        <v>2870</v>
      </c>
      <c r="O9" s="421">
        <v>3038</v>
      </c>
    </row>
    <row r="10" spans="1:15">
      <c r="A10" s="210" t="s">
        <v>377</v>
      </c>
      <c r="B10" s="46" t="s">
        <v>473</v>
      </c>
      <c r="C10" s="47">
        <v>3912.8947238189503</v>
      </c>
      <c r="D10" s="47">
        <v>2833</v>
      </c>
      <c r="E10" s="47">
        <v>2311</v>
      </c>
      <c r="F10" s="47">
        <v>2707</v>
      </c>
      <c r="G10" s="47">
        <v>2379</v>
      </c>
      <c r="H10" s="47">
        <v>2379</v>
      </c>
      <c r="I10" s="47">
        <v>2213</v>
      </c>
      <c r="J10" s="47">
        <v>3361</v>
      </c>
      <c r="K10" s="47">
        <v>4337</v>
      </c>
      <c r="L10" s="47">
        <v>4835</v>
      </c>
      <c r="M10" s="47">
        <v>5439</v>
      </c>
      <c r="N10" s="47">
        <v>6247</v>
      </c>
      <c r="O10" s="48">
        <v>6637</v>
      </c>
    </row>
    <row r="11" spans="1:15">
      <c r="A11" s="209" t="s">
        <v>377</v>
      </c>
      <c r="B11" s="44" t="s">
        <v>474</v>
      </c>
      <c r="C11" s="45">
        <v>2249.2606113670104</v>
      </c>
      <c r="D11" s="45">
        <v>2147</v>
      </c>
      <c r="E11" s="45">
        <v>2434</v>
      </c>
      <c r="F11" s="45">
        <v>2671</v>
      </c>
      <c r="G11" s="45">
        <v>3356</v>
      </c>
      <c r="H11" s="45">
        <v>3356</v>
      </c>
      <c r="I11" s="45">
        <v>2617</v>
      </c>
      <c r="J11" s="45">
        <v>3006</v>
      </c>
      <c r="K11" s="45">
        <v>3348</v>
      </c>
      <c r="L11" s="45">
        <v>3105</v>
      </c>
      <c r="M11" s="45">
        <v>3312</v>
      </c>
      <c r="N11" s="45">
        <v>3522</v>
      </c>
      <c r="O11" s="421">
        <v>4298</v>
      </c>
    </row>
    <row r="12" spans="1:15">
      <c r="A12" s="210" t="s">
        <v>377</v>
      </c>
      <c r="B12" s="46" t="s">
        <v>475</v>
      </c>
      <c r="C12" s="47">
        <v>89.833967794739053</v>
      </c>
      <c r="D12" s="47">
        <v>114</v>
      </c>
      <c r="E12" s="47">
        <v>85</v>
      </c>
      <c r="F12" s="47">
        <v>99</v>
      </c>
      <c r="G12" s="47">
        <v>82</v>
      </c>
      <c r="H12" s="47">
        <v>82</v>
      </c>
      <c r="I12" s="47">
        <v>78</v>
      </c>
      <c r="J12" s="47">
        <v>102</v>
      </c>
      <c r="K12" s="47">
        <v>112</v>
      </c>
      <c r="L12" s="47">
        <v>81</v>
      </c>
      <c r="M12" s="47">
        <v>110</v>
      </c>
      <c r="N12" s="47">
        <v>119</v>
      </c>
      <c r="O12" s="48">
        <v>119</v>
      </c>
    </row>
    <row r="13" spans="1:15">
      <c r="A13" s="209" t="s">
        <v>377</v>
      </c>
      <c r="B13" s="44" t="s">
        <v>476</v>
      </c>
      <c r="C13" s="45">
        <v>110.30246678594541</v>
      </c>
      <c r="D13" s="45">
        <v>122</v>
      </c>
      <c r="E13" s="45">
        <v>204</v>
      </c>
      <c r="F13" s="45">
        <v>144</v>
      </c>
      <c r="G13" s="45">
        <v>71</v>
      </c>
      <c r="H13" s="45">
        <v>71</v>
      </c>
      <c r="I13" s="45">
        <v>125</v>
      </c>
      <c r="J13" s="45">
        <v>112</v>
      </c>
      <c r="K13" s="45">
        <v>142</v>
      </c>
      <c r="L13" s="45">
        <v>131</v>
      </c>
      <c r="M13" s="45">
        <v>153</v>
      </c>
      <c r="N13" s="45">
        <v>182</v>
      </c>
      <c r="O13" s="421">
        <v>217</v>
      </c>
    </row>
    <row r="14" spans="1:15">
      <c r="A14" s="210" t="s">
        <v>377</v>
      </c>
      <c r="B14" s="46" t="s">
        <v>477</v>
      </c>
      <c r="C14" s="47">
        <v>420.74136815257526</v>
      </c>
      <c r="D14" s="47">
        <v>749</v>
      </c>
      <c r="E14" s="47">
        <v>328</v>
      </c>
      <c r="F14" s="47">
        <v>351</v>
      </c>
      <c r="G14" s="47">
        <v>441</v>
      </c>
      <c r="H14" s="47">
        <v>441</v>
      </c>
      <c r="I14" s="47">
        <v>826</v>
      </c>
      <c r="J14" s="47">
        <v>1615</v>
      </c>
      <c r="K14" s="47">
        <v>1651</v>
      </c>
      <c r="L14" s="47">
        <v>2222</v>
      </c>
      <c r="M14" s="47">
        <v>1298</v>
      </c>
      <c r="N14" s="47">
        <v>2366</v>
      </c>
      <c r="O14" s="48">
        <v>2770</v>
      </c>
    </row>
    <row r="15" spans="1:15">
      <c r="A15" s="209" t="s">
        <v>377</v>
      </c>
      <c r="B15" s="44" t="s">
        <v>478</v>
      </c>
      <c r="C15" s="45">
        <v>2236.7520842057179</v>
      </c>
      <c r="D15" s="45">
        <v>2823</v>
      </c>
      <c r="E15" s="45">
        <v>2927</v>
      </c>
      <c r="F15" s="45">
        <v>3311</v>
      </c>
      <c r="G15" s="45">
        <v>3552</v>
      </c>
      <c r="H15" s="45">
        <v>3552</v>
      </c>
      <c r="I15" s="45">
        <v>3552</v>
      </c>
      <c r="J15" s="45">
        <v>4282</v>
      </c>
      <c r="K15" s="45">
        <v>4321</v>
      </c>
      <c r="L15" s="45">
        <v>3986</v>
      </c>
      <c r="M15" s="45">
        <v>5137</v>
      </c>
      <c r="N15" s="45">
        <v>5783</v>
      </c>
      <c r="O15" s="421">
        <v>5977</v>
      </c>
    </row>
    <row r="16" spans="1:15">
      <c r="A16" s="210" t="s">
        <v>377</v>
      </c>
      <c r="B16" s="46" t="s">
        <v>479</v>
      </c>
      <c r="C16" s="47">
        <v>4879.4627317370278</v>
      </c>
      <c r="D16" s="47">
        <v>5108</v>
      </c>
      <c r="E16" s="47">
        <v>5130</v>
      </c>
      <c r="F16" s="47">
        <v>5595</v>
      </c>
      <c r="G16" s="47">
        <v>5911</v>
      </c>
      <c r="H16" s="47">
        <v>5911</v>
      </c>
      <c r="I16" s="47">
        <v>6169</v>
      </c>
      <c r="J16" s="47">
        <v>6111</v>
      </c>
      <c r="K16" s="47">
        <v>6321</v>
      </c>
      <c r="L16" s="47">
        <v>6470</v>
      </c>
      <c r="M16" s="47">
        <v>6988</v>
      </c>
      <c r="N16" s="47">
        <v>6564</v>
      </c>
      <c r="O16" s="48">
        <v>6575</v>
      </c>
    </row>
    <row r="17" spans="1:15">
      <c r="A17" s="209" t="s">
        <v>377</v>
      </c>
      <c r="B17" s="44" t="s">
        <v>480</v>
      </c>
      <c r="C17" s="45">
        <v>451.44411663938484</v>
      </c>
      <c r="D17" s="45">
        <v>407</v>
      </c>
      <c r="E17" s="45">
        <v>400</v>
      </c>
      <c r="F17" s="45">
        <v>350</v>
      </c>
      <c r="G17" s="45">
        <v>336</v>
      </c>
      <c r="H17" s="45">
        <v>336</v>
      </c>
      <c r="I17" s="45">
        <v>400</v>
      </c>
      <c r="J17" s="45">
        <v>443</v>
      </c>
      <c r="K17" s="45">
        <v>523</v>
      </c>
      <c r="L17" s="45">
        <v>552</v>
      </c>
      <c r="M17" s="45">
        <v>614</v>
      </c>
      <c r="N17" s="45">
        <v>536</v>
      </c>
      <c r="O17" s="421">
        <v>610</v>
      </c>
    </row>
    <row r="18" spans="1:15">
      <c r="A18" s="210" t="s">
        <v>377</v>
      </c>
      <c r="B18" s="46" t="s">
        <v>481</v>
      </c>
      <c r="C18" s="47">
        <v>307.02748486809543</v>
      </c>
      <c r="D18" s="47">
        <v>351</v>
      </c>
      <c r="E18" s="47">
        <v>410</v>
      </c>
      <c r="F18" s="47">
        <v>324</v>
      </c>
      <c r="G18" s="47">
        <v>226</v>
      </c>
      <c r="H18" s="47">
        <v>226</v>
      </c>
      <c r="I18" s="47">
        <v>228</v>
      </c>
      <c r="J18" s="47">
        <v>220</v>
      </c>
      <c r="K18" s="47">
        <v>270</v>
      </c>
      <c r="L18" s="47">
        <v>253</v>
      </c>
      <c r="M18" s="47">
        <v>331</v>
      </c>
      <c r="N18" s="47">
        <v>336</v>
      </c>
      <c r="O18" s="48">
        <v>429</v>
      </c>
    </row>
    <row r="19" spans="1:15">
      <c r="A19" s="209" t="s">
        <v>377</v>
      </c>
      <c r="B19" s="44" t="s">
        <v>482</v>
      </c>
      <c r="C19" s="45">
        <v>665.22621721420683</v>
      </c>
      <c r="D19" s="45">
        <v>574</v>
      </c>
      <c r="E19" s="45">
        <v>380</v>
      </c>
      <c r="F19" s="45">
        <v>314</v>
      </c>
      <c r="G19" s="45">
        <v>443</v>
      </c>
      <c r="H19" s="45">
        <v>443</v>
      </c>
      <c r="I19" s="45">
        <v>684</v>
      </c>
      <c r="J19" s="45">
        <v>1209</v>
      </c>
      <c r="K19" s="45">
        <v>1669</v>
      </c>
      <c r="L19" s="45">
        <v>2586</v>
      </c>
      <c r="M19" s="45">
        <v>1545</v>
      </c>
      <c r="N19" s="45">
        <v>2712</v>
      </c>
      <c r="O19" s="421">
        <v>3582</v>
      </c>
    </row>
    <row r="20" spans="1:15">
      <c r="A20" s="210" t="s">
        <v>377</v>
      </c>
      <c r="B20" s="46" t="s">
        <v>483</v>
      </c>
      <c r="C20" s="47">
        <v>3757.1067037192129</v>
      </c>
      <c r="D20" s="47">
        <v>3643</v>
      </c>
      <c r="E20" s="47">
        <v>3316</v>
      </c>
      <c r="F20" s="47">
        <v>3743</v>
      </c>
      <c r="G20" s="47">
        <v>3987</v>
      </c>
      <c r="H20" s="47">
        <v>3987</v>
      </c>
      <c r="I20" s="47">
        <v>3486</v>
      </c>
      <c r="J20" s="47">
        <v>3738</v>
      </c>
      <c r="K20" s="47">
        <v>4289</v>
      </c>
      <c r="L20" s="47">
        <v>4768</v>
      </c>
      <c r="M20" s="47">
        <v>5531</v>
      </c>
      <c r="N20" s="47">
        <v>6527</v>
      </c>
      <c r="O20" s="48">
        <v>6616</v>
      </c>
    </row>
    <row r="21" spans="1:15">
      <c r="A21" s="209" t="s">
        <v>377</v>
      </c>
      <c r="B21" s="44" t="s">
        <v>484</v>
      </c>
      <c r="C21" s="45">
        <v>2785.9901404697553</v>
      </c>
      <c r="D21" s="45">
        <v>2916</v>
      </c>
      <c r="E21" s="45">
        <v>3226</v>
      </c>
      <c r="F21" s="45">
        <v>3561</v>
      </c>
      <c r="G21" s="45">
        <v>4064</v>
      </c>
      <c r="H21" s="45">
        <v>4064</v>
      </c>
      <c r="I21" s="45">
        <v>3382</v>
      </c>
      <c r="J21" s="45">
        <v>3500</v>
      </c>
      <c r="K21" s="45">
        <v>3766</v>
      </c>
      <c r="L21" s="45">
        <v>3612</v>
      </c>
      <c r="M21" s="45">
        <v>4141</v>
      </c>
      <c r="N21" s="45">
        <v>4009</v>
      </c>
      <c r="O21" s="421">
        <v>4705</v>
      </c>
    </row>
    <row r="22" spans="1:15">
      <c r="A22" s="210" t="s">
        <v>377</v>
      </c>
      <c r="B22" s="46" t="s">
        <v>485</v>
      </c>
      <c r="C22" s="47">
        <v>42.074136815257532</v>
      </c>
      <c r="D22" s="47">
        <v>26</v>
      </c>
      <c r="E22" s="47">
        <v>37</v>
      </c>
      <c r="F22" s="47">
        <v>33</v>
      </c>
      <c r="G22" s="47">
        <v>37</v>
      </c>
      <c r="H22" s="47">
        <v>37</v>
      </c>
      <c r="I22" s="47">
        <v>24</v>
      </c>
      <c r="J22" s="47">
        <v>41</v>
      </c>
      <c r="K22" s="47">
        <v>47</v>
      </c>
      <c r="L22" s="47">
        <v>27</v>
      </c>
      <c r="M22" s="47">
        <v>52</v>
      </c>
      <c r="N22" s="47">
        <v>64</v>
      </c>
      <c r="O22" s="48">
        <v>64</v>
      </c>
    </row>
    <row r="23" spans="1:15">
      <c r="A23" s="209" t="s">
        <v>377</v>
      </c>
      <c r="B23" s="44" t="s">
        <v>486</v>
      </c>
      <c r="C23" s="45">
        <v>44.348414480947127</v>
      </c>
      <c r="D23" s="45">
        <v>66</v>
      </c>
      <c r="E23" s="45">
        <v>62</v>
      </c>
      <c r="F23" s="45">
        <v>56</v>
      </c>
      <c r="G23" s="45">
        <v>47</v>
      </c>
      <c r="H23" s="45">
        <v>47</v>
      </c>
      <c r="I23" s="45">
        <v>78</v>
      </c>
      <c r="J23" s="45">
        <v>73</v>
      </c>
      <c r="K23" s="45">
        <v>67</v>
      </c>
      <c r="L23" s="45">
        <v>63</v>
      </c>
      <c r="M23" s="45">
        <v>85</v>
      </c>
      <c r="N23" s="45">
        <v>110</v>
      </c>
      <c r="O23" s="421">
        <v>120</v>
      </c>
    </row>
    <row r="24" spans="1:15">
      <c r="A24" s="210" t="s">
        <v>377</v>
      </c>
      <c r="B24" s="46" t="s">
        <v>487</v>
      </c>
      <c r="C24" s="47">
        <v>142.14235410559974</v>
      </c>
      <c r="D24" s="47">
        <v>518</v>
      </c>
      <c r="E24" s="47">
        <v>220</v>
      </c>
      <c r="F24" s="47">
        <v>243</v>
      </c>
      <c r="G24" s="47">
        <v>56</v>
      </c>
      <c r="H24" s="47">
        <v>56</v>
      </c>
      <c r="I24" s="47">
        <v>464</v>
      </c>
      <c r="J24" s="47">
        <v>1144</v>
      </c>
      <c r="K24" s="47">
        <v>1286</v>
      </c>
      <c r="L24" s="47">
        <v>1698</v>
      </c>
      <c r="M24" s="47">
        <v>1413</v>
      </c>
      <c r="N24" s="47">
        <v>2525</v>
      </c>
      <c r="O24" s="48">
        <v>2224</v>
      </c>
    </row>
    <row r="25" spans="1:15">
      <c r="A25" s="209" t="s">
        <v>377</v>
      </c>
      <c r="B25" s="44" t="s">
        <v>488</v>
      </c>
      <c r="C25" s="45">
        <v>2411.8714644638167</v>
      </c>
      <c r="D25" s="45">
        <v>2008</v>
      </c>
      <c r="E25" s="45">
        <v>1925</v>
      </c>
      <c r="F25" s="45">
        <v>2268</v>
      </c>
      <c r="G25" s="45">
        <v>1943</v>
      </c>
      <c r="H25" s="45">
        <v>1943</v>
      </c>
      <c r="I25" s="45">
        <v>2275</v>
      </c>
      <c r="J25" s="45">
        <v>3905</v>
      </c>
      <c r="K25" s="45">
        <v>4696</v>
      </c>
      <c r="L25" s="45">
        <v>4066</v>
      </c>
      <c r="M25" s="45">
        <v>5044</v>
      </c>
      <c r="N25" s="45">
        <v>5505</v>
      </c>
      <c r="O25" s="421">
        <v>5996</v>
      </c>
    </row>
    <row r="26" spans="1:15">
      <c r="A26" s="210" t="s">
        <v>377</v>
      </c>
      <c r="B26" s="46" t="s">
        <v>489</v>
      </c>
      <c r="C26" s="47">
        <v>4370.0245346225583</v>
      </c>
      <c r="D26" s="47">
        <v>4328</v>
      </c>
      <c r="E26" s="47">
        <v>4342</v>
      </c>
      <c r="F26" s="47">
        <v>4683</v>
      </c>
      <c r="G26" s="47">
        <v>5196</v>
      </c>
      <c r="H26" s="47">
        <v>5196</v>
      </c>
      <c r="I26" s="47">
        <v>5375</v>
      </c>
      <c r="J26" s="47">
        <v>5598</v>
      </c>
      <c r="K26" s="47">
        <v>5524</v>
      </c>
      <c r="L26" s="47">
        <v>5955</v>
      </c>
      <c r="M26" s="47">
        <v>6117</v>
      </c>
      <c r="N26" s="47">
        <v>6061</v>
      </c>
      <c r="O26" s="48">
        <v>6170</v>
      </c>
    </row>
    <row r="27" spans="1:15">
      <c r="A27" s="209" t="s">
        <v>377</v>
      </c>
      <c r="B27" s="44" t="s">
        <v>490</v>
      </c>
      <c r="C27" s="45">
        <v>5196.8381083879876</v>
      </c>
      <c r="D27" s="45">
        <v>5405</v>
      </c>
      <c r="E27" s="45">
        <v>4408</v>
      </c>
      <c r="F27" s="45">
        <v>4683</v>
      </c>
      <c r="G27" s="45">
        <v>4408</v>
      </c>
      <c r="H27" s="45">
        <v>4408</v>
      </c>
      <c r="I27" s="45">
        <v>4971</v>
      </c>
      <c r="J27" s="45">
        <v>5587</v>
      </c>
      <c r="K27" s="45">
        <v>5324</v>
      </c>
      <c r="L27" s="45">
        <v>5846</v>
      </c>
      <c r="M27" s="45">
        <v>6020</v>
      </c>
      <c r="N27" s="45">
        <v>4532</v>
      </c>
      <c r="O27" s="421">
        <v>3268</v>
      </c>
    </row>
    <row r="28" spans="1:15">
      <c r="A28" s="210" t="s">
        <v>377</v>
      </c>
      <c r="B28" s="46" t="s">
        <v>491</v>
      </c>
      <c r="C28" s="47">
        <v>2769.1017232681024</v>
      </c>
      <c r="D28" s="47">
        <v>2854</v>
      </c>
      <c r="E28" s="47">
        <v>3837</v>
      </c>
      <c r="F28" s="47">
        <v>3201</v>
      </c>
      <c r="G28" s="47">
        <v>2106</v>
      </c>
      <c r="H28" s="47">
        <v>2106</v>
      </c>
      <c r="I28" s="47">
        <v>2281</v>
      </c>
      <c r="J28" s="47">
        <v>3725</v>
      </c>
      <c r="K28" s="47">
        <v>2645</v>
      </c>
      <c r="L28" s="47">
        <v>2034</v>
      </c>
      <c r="M28" s="47">
        <v>2339</v>
      </c>
      <c r="N28" s="47">
        <v>2662</v>
      </c>
      <c r="O28" s="48">
        <v>6256</v>
      </c>
    </row>
    <row r="29" spans="1:15">
      <c r="A29" s="209" t="s">
        <v>377</v>
      </c>
      <c r="B29" s="44" t="s">
        <v>492</v>
      </c>
      <c r="C29" s="45">
        <v>5715.6235893895546</v>
      </c>
      <c r="D29" s="45">
        <v>3661</v>
      </c>
      <c r="E29" s="45">
        <v>3751</v>
      </c>
      <c r="F29" s="45">
        <v>2892</v>
      </c>
      <c r="G29" s="45">
        <v>4025</v>
      </c>
      <c r="H29" s="45">
        <v>4025</v>
      </c>
      <c r="I29" s="45">
        <v>6473</v>
      </c>
      <c r="J29" s="45">
        <v>9051</v>
      </c>
      <c r="K29" s="45">
        <v>10790</v>
      </c>
      <c r="L29" s="45">
        <v>12237</v>
      </c>
      <c r="M29" s="45">
        <v>15500</v>
      </c>
      <c r="N29" s="45">
        <v>18776</v>
      </c>
      <c r="O29" s="421">
        <v>20056</v>
      </c>
    </row>
    <row r="30" spans="1:15">
      <c r="A30" s="210" t="s">
        <v>377</v>
      </c>
      <c r="B30" s="46" t="s">
        <v>493</v>
      </c>
      <c r="C30" s="47">
        <v>2214.3830487772498</v>
      </c>
      <c r="D30" s="47">
        <v>3662</v>
      </c>
      <c r="E30" s="47">
        <v>3653</v>
      </c>
      <c r="F30" s="47">
        <v>4113</v>
      </c>
      <c r="G30" s="47">
        <v>4302</v>
      </c>
      <c r="H30" s="47">
        <v>4302</v>
      </c>
      <c r="I30" s="47">
        <v>2389</v>
      </c>
      <c r="J30" s="47">
        <v>626</v>
      </c>
      <c r="K30" s="47">
        <v>792</v>
      </c>
      <c r="L30" s="47">
        <v>704</v>
      </c>
      <c r="M30" s="47">
        <v>1033</v>
      </c>
      <c r="N30" s="47">
        <v>1012</v>
      </c>
      <c r="O30" s="48">
        <v>1799</v>
      </c>
    </row>
    <row r="31" spans="1:15">
      <c r="A31" s="209" t="s">
        <v>377</v>
      </c>
      <c r="B31" s="44" t="s">
        <v>494</v>
      </c>
      <c r="C31" s="45">
        <v>141.48694936406363</v>
      </c>
      <c r="D31" s="45">
        <v>59</v>
      </c>
      <c r="E31" s="45">
        <v>23</v>
      </c>
      <c r="F31" s="45">
        <v>238</v>
      </c>
      <c r="G31" s="45">
        <v>16</v>
      </c>
      <c r="H31" s="45">
        <v>16</v>
      </c>
      <c r="I31" s="45">
        <v>11</v>
      </c>
      <c r="J31" s="45">
        <v>22</v>
      </c>
      <c r="K31" s="45">
        <v>13</v>
      </c>
      <c r="L31" s="45">
        <v>9</v>
      </c>
      <c r="M31" s="45">
        <v>9</v>
      </c>
      <c r="N31" s="45">
        <v>7</v>
      </c>
      <c r="O31" s="421">
        <v>4</v>
      </c>
    </row>
    <row r="32" spans="1:15">
      <c r="A32" s="210" t="s">
        <v>377</v>
      </c>
      <c r="B32" s="46" t="s">
        <v>495</v>
      </c>
      <c r="C32" s="47">
        <v>918.54225856987341</v>
      </c>
      <c r="D32" s="47">
        <v>960</v>
      </c>
      <c r="E32" s="47">
        <v>880</v>
      </c>
      <c r="F32" s="47">
        <v>866</v>
      </c>
      <c r="G32" s="47">
        <v>1118</v>
      </c>
      <c r="H32" s="47">
        <v>1118</v>
      </c>
      <c r="I32" s="47">
        <v>1067</v>
      </c>
      <c r="J32" s="47">
        <v>1037</v>
      </c>
      <c r="K32" s="47">
        <v>1014</v>
      </c>
      <c r="L32" s="47">
        <v>992</v>
      </c>
      <c r="M32" s="47">
        <v>911</v>
      </c>
      <c r="N32" s="47">
        <v>735</v>
      </c>
      <c r="O32" s="48">
        <v>408</v>
      </c>
    </row>
    <row r="33" spans="1:15">
      <c r="A33" s="209" t="s">
        <v>377</v>
      </c>
      <c r="B33" s="44" t="s">
        <v>496</v>
      </c>
      <c r="C33" s="45">
        <v>692.83688696529566</v>
      </c>
      <c r="D33" s="45">
        <v>718</v>
      </c>
      <c r="E33" s="45">
        <v>1033</v>
      </c>
      <c r="F33" s="45">
        <v>1055</v>
      </c>
      <c r="G33" s="45">
        <v>508</v>
      </c>
      <c r="H33" s="45">
        <v>508</v>
      </c>
      <c r="I33" s="45">
        <v>581</v>
      </c>
      <c r="J33" s="45">
        <v>741</v>
      </c>
      <c r="K33" s="45">
        <v>425</v>
      </c>
      <c r="L33" s="45">
        <v>296</v>
      </c>
      <c r="M33" s="45">
        <v>404</v>
      </c>
      <c r="N33" s="45">
        <v>455</v>
      </c>
      <c r="O33" s="421">
        <v>906</v>
      </c>
    </row>
    <row r="34" spans="1:15">
      <c r="A34" s="210" t="s">
        <v>377</v>
      </c>
      <c r="B34" s="46" t="s">
        <v>497</v>
      </c>
      <c r="C34" s="47">
        <v>2763.4871617854014</v>
      </c>
      <c r="D34" s="47">
        <v>2024</v>
      </c>
      <c r="E34" s="47">
        <v>1959</v>
      </c>
      <c r="F34" s="47">
        <v>1462</v>
      </c>
      <c r="G34" s="47">
        <v>1445</v>
      </c>
      <c r="H34" s="47">
        <v>1445</v>
      </c>
      <c r="I34" s="47">
        <v>3685</v>
      </c>
      <c r="J34" s="47">
        <v>5664</v>
      </c>
      <c r="K34" s="47">
        <v>6018</v>
      </c>
      <c r="L34" s="47">
        <v>6666</v>
      </c>
      <c r="M34" s="47">
        <v>8938</v>
      </c>
      <c r="N34" s="47">
        <v>10542</v>
      </c>
      <c r="O34" s="48">
        <v>10318</v>
      </c>
    </row>
    <row r="35" spans="1:15">
      <c r="A35" s="209" t="s">
        <v>377</v>
      </c>
      <c r="B35" s="44" t="s">
        <v>498</v>
      </c>
      <c r="C35" s="45">
        <v>623.216324579804</v>
      </c>
      <c r="D35" s="45">
        <v>1266</v>
      </c>
      <c r="E35" s="45">
        <v>1232</v>
      </c>
      <c r="F35" s="45">
        <v>2025</v>
      </c>
      <c r="G35" s="45">
        <v>2354</v>
      </c>
      <c r="H35" s="45">
        <v>2354</v>
      </c>
      <c r="I35" s="45">
        <v>1341</v>
      </c>
      <c r="J35" s="45">
        <v>73</v>
      </c>
      <c r="K35" s="45">
        <v>125</v>
      </c>
      <c r="L35" s="45">
        <v>82</v>
      </c>
      <c r="M35" s="45">
        <v>129</v>
      </c>
      <c r="N35" s="45">
        <v>258</v>
      </c>
      <c r="O35" s="421">
        <v>566</v>
      </c>
    </row>
    <row r="36" spans="1:15">
      <c r="A36" s="210" t="s">
        <v>377</v>
      </c>
      <c r="B36" s="46" t="s">
        <v>499</v>
      </c>
      <c r="C36" s="47">
        <v>152.71607232946548</v>
      </c>
      <c r="D36" s="47">
        <v>93</v>
      </c>
      <c r="E36" s="47">
        <v>31</v>
      </c>
      <c r="F36" s="47">
        <v>81</v>
      </c>
      <c r="G36" s="47">
        <v>48</v>
      </c>
      <c r="H36" s="47">
        <v>48</v>
      </c>
      <c r="I36" s="47">
        <v>33</v>
      </c>
      <c r="J36" s="47">
        <v>8</v>
      </c>
      <c r="K36" s="47">
        <v>15</v>
      </c>
      <c r="L36" s="47">
        <v>11</v>
      </c>
      <c r="M36" s="47">
        <v>22</v>
      </c>
      <c r="N36" s="47">
        <v>21</v>
      </c>
      <c r="O36" s="48">
        <v>4</v>
      </c>
    </row>
    <row r="37" spans="1:15">
      <c r="A37" s="209" t="s">
        <v>377</v>
      </c>
      <c r="B37" s="44" t="s">
        <v>500</v>
      </c>
      <c r="C37" s="45">
        <v>5480.9349194126553</v>
      </c>
      <c r="D37" s="45">
        <v>5825</v>
      </c>
      <c r="E37" s="45">
        <v>4709</v>
      </c>
      <c r="F37" s="45">
        <v>4796</v>
      </c>
      <c r="G37" s="45">
        <v>4701</v>
      </c>
      <c r="H37" s="45">
        <v>4701</v>
      </c>
      <c r="I37" s="45">
        <v>5195</v>
      </c>
      <c r="J37" s="45">
        <v>5663</v>
      </c>
      <c r="K37" s="45">
        <v>5535</v>
      </c>
      <c r="L37" s="45">
        <v>5724</v>
      </c>
      <c r="M37" s="45">
        <v>6027</v>
      </c>
      <c r="N37" s="45">
        <v>4788</v>
      </c>
      <c r="O37" s="421">
        <v>3640</v>
      </c>
    </row>
    <row r="38" spans="1:15">
      <c r="A38" s="210" t="s">
        <v>377</v>
      </c>
      <c r="B38" s="46" t="s">
        <v>501</v>
      </c>
      <c r="C38" s="47">
        <v>3280.0268181938873</v>
      </c>
      <c r="D38" s="47">
        <v>3386</v>
      </c>
      <c r="E38" s="47">
        <v>4666</v>
      </c>
      <c r="F38" s="47">
        <v>3879</v>
      </c>
      <c r="G38" s="47">
        <v>2453</v>
      </c>
      <c r="H38" s="47">
        <v>2453</v>
      </c>
      <c r="I38" s="47">
        <v>2673</v>
      </c>
      <c r="J38" s="47">
        <v>4264</v>
      </c>
      <c r="K38" s="47">
        <v>2936</v>
      </c>
      <c r="L38" s="47">
        <v>2298</v>
      </c>
      <c r="M38" s="47">
        <v>2705</v>
      </c>
      <c r="N38" s="47">
        <v>3096</v>
      </c>
      <c r="O38" s="48">
        <v>6430</v>
      </c>
    </row>
    <row r="39" spans="1:15">
      <c r="A39" s="209" t="s">
        <v>377</v>
      </c>
      <c r="B39" s="44" t="s">
        <v>502</v>
      </c>
      <c r="C39" s="45">
        <v>7910.9171291256207</v>
      </c>
      <c r="D39" s="45">
        <v>5329</v>
      </c>
      <c r="E39" s="45">
        <v>5319</v>
      </c>
      <c r="F39" s="45">
        <v>3641</v>
      </c>
      <c r="G39" s="45">
        <v>4790</v>
      </c>
      <c r="H39" s="45">
        <v>4790</v>
      </c>
      <c r="I39" s="45">
        <v>7976</v>
      </c>
      <c r="J39" s="45">
        <v>10765</v>
      </c>
      <c r="K39" s="45">
        <v>10922</v>
      </c>
      <c r="L39" s="45">
        <v>12435</v>
      </c>
      <c r="M39" s="45">
        <v>16315</v>
      </c>
      <c r="N39" s="45">
        <v>21998</v>
      </c>
      <c r="O39" s="421">
        <v>23320</v>
      </c>
    </row>
    <row r="40" spans="1:15">
      <c r="A40" s="210" t="s">
        <v>377</v>
      </c>
      <c r="B40" s="46" t="s">
        <v>503</v>
      </c>
      <c r="C40" s="47">
        <v>2511.9548073603992</v>
      </c>
      <c r="D40" s="47">
        <v>4540</v>
      </c>
      <c r="E40" s="47">
        <v>4277</v>
      </c>
      <c r="F40" s="47">
        <v>5163</v>
      </c>
      <c r="G40" s="47">
        <v>5145</v>
      </c>
      <c r="H40" s="47">
        <v>5145</v>
      </c>
      <c r="I40" s="47">
        <v>2763</v>
      </c>
      <c r="J40" s="47">
        <v>667</v>
      </c>
      <c r="K40" s="47">
        <v>731</v>
      </c>
      <c r="L40" s="47">
        <v>613</v>
      </c>
      <c r="M40" s="47">
        <v>1025</v>
      </c>
      <c r="N40" s="47">
        <v>1160</v>
      </c>
      <c r="O40" s="48">
        <v>2001</v>
      </c>
    </row>
    <row r="41" spans="1:15">
      <c r="A41" s="209" t="s">
        <v>377</v>
      </c>
      <c r="B41" s="44" t="s">
        <v>504</v>
      </c>
      <c r="C41" s="45">
        <v>215.59916093571599</v>
      </c>
      <c r="D41" s="45">
        <v>107</v>
      </c>
      <c r="E41" s="45">
        <v>33</v>
      </c>
      <c r="F41" s="45">
        <v>290</v>
      </c>
      <c r="G41" s="45">
        <v>46</v>
      </c>
      <c r="H41" s="45">
        <v>46</v>
      </c>
      <c r="I41" s="45">
        <v>15</v>
      </c>
      <c r="J41" s="45">
        <v>21</v>
      </c>
      <c r="K41" s="45">
        <v>22</v>
      </c>
      <c r="L41" s="45">
        <v>17</v>
      </c>
      <c r="M41" s="45">
        <v>30</v>
      </c>
      <c r="N41" s="45">
        <v>14</v>
      </c>
      <c r="O41" s="421">
        <v>6</v>
      </c>
    </row>
    <row r="42" spans="1:15">
      <c r="A42" s="210" t="s">
        <v>377</v>
      </c>
      <c r="B42" s="46" t="s">
        <v>505</v>
      </c>
      <c r="C42" s="47">
        <v>599.63516635246015</v>
      </c>
      <c r="D42" s="47">
        <v>511</v>
      </c>
      <c r="E42" s="47">
        <v>577</v>
      </c>
      <c r="F42" s="47">
        <v>749</v>
      </c>
      <c r="G42" s="47">
        <v>802</v>
      </c>
      <c r="H42" s="47">
        <v>802</v>
      </c>
      <c r="I42" s="47">
        <v>844</v>
      </c>
      <c r="J42" s="47">
        <v>961</v>
      </c>
      <c r="K42" s="47">
        <v>810</v>
      </c>
      <c r="L42" s="47">
        <v>1116</v>
      </c>
      <c r="M42" s="47">
        <v>924</v>
      </c>
      <c r="N42" s="47">
        <v>485</v>
      </c>
      <c r="O42" s="48">
        <v>127</v>
      </c>
    </row>
    <row r="43" spans="1:15">
      <c r="A43" s="209" t="s">
        <v>377</v>
      </c>
      <c r="B43" s="44" t="s">
        <v>506</v>
      </c>
      <c r="C43" s="45">
        <v>162.82228299832718</v>
      </c>
      <c r="D43" s="45">
        <v>166</v>
      </c>
      <c r="E43" s="45">
        <v>206</v>
      </c>
      <c r="F43" s="45">
        <v>375</v>
      </c>
      <c r="G43" s="45">
        <v>170</v>
      </c>
      <c r="H43" s="45">
        <v>170</v>
      </c>
      <c r="I43" s="45">
        <v>188</v>
      </c>
      <c r="J43" s="45">
        <v>200</v>
      </c>
      <c r="K43" s="45">
        <v>148</v>
      </c>
      <c r="L43" s="45">
        <v>38</v>
      </c>
      <c r="M43" s="45">
        <v>46</v>
      </c>
      <c r="N43" s="45">
        <v>35</v>
      </c>
      <c r="O43" s="421">
        <v>701</v>
      </c>
    </row>
    <row r="44" spans="1:15">
      <c r="A44" s="210" t="s">
        <v>377</v>
      </c>
      <c r="B44" s="46" t="s">
        <v>507</v>
      </c>
      <c r="C44" s="47">
        <v>563.70197286317409</v>
      </c>
      <c r="D44" s="47">
        <v>349</v>
      </c>
      <c r="E44" s="47">
        <v>395</v>
      </c>
      <c r="F44" s="47">
        <v>31</v>
      </c>
      <c r="G44" s="47">
        <v>26</v>
      </c>
      <c r="H44" s="47">
        <v>26</v>
      </c>
      <c r="I44" s="47">
        <v>2049</v>
      </c>
      <c r="J44" s="47">
        <v>3952</v>
      </c>
      <c r="K44" s="47">
        <v>5885</v>
      </c>
      <c r="L44" s="47">
        <v>6465</v>
      </c>
      <c r="M44" s="47">
        <v>8123</v>
      </c>
      <c r="N44" s="47">
        <v>7314</v>
      </c>
      <c r="O44" s="48">
        <v>7048</v>
      </c>
    </row>
    <row r="45" spans="1:15">
      <c r="A45" s="209" t="s">
        <v>377</v>
      </c>
      <c r="B45" s="44" t="s">
        <v>508</v>
      </c>
      <c r="C45" s="45">
        <v>314.41544303125249</v>
      </c>
      <c r="D45" s="45">
        <v>389</v>
      </c>
      <c r="E45" s="45">
        <v>609</v>
      </c>
      <c r="F45" s="45">
        <v>707</v>
      </c>
      <c r="G45" s="45">
        <v>677</v>
      </c>
      <c r="H45" s="45">
        <v>677</v>
      </c>
      <c r="I45" s="45">
        <v>1034</v>
      </c>
      <c r="J45" s="45">
        <v>26</v>
      </c>
      <c r="K45" s="45">
        <v>185</v>
      </c>
      <c r="L45" s="45">
        <v>166</v>
      </c>
      <c r="M45" s="45">
        <v>135</v>
      </c>
      <c r="N45" s="45">
        <v>105</v>
      </c>
      <c r="O45" s="421">
        <v>366</v>
      </c>
    </row>
    <row r="46" spans="1:15">
      <c r="A46" s="46" t="s">
        <v>377</v>
      </c>
      <c r="B46" s="46" t="s">
        <v>509</v>
      </c>
      <c r="C46" s="47">
        <v>61.76017630971031</v>
      </c>
      <c r="D46" s="47">
        <v>46</v>
      </c>
      <c r="E46" s="47">
        <v>38</v>
      </c>
      <c r="F46" s="47">
        <v>974</v>
      </c>
      <c r="G46" s="47">
        <v>1517</v>
      </c>
      <c r="H46" s="47">
        <v>1517</v>
      </c>
      <c r="I46" s="47">
        <v>104</v>
      </c>
      <c r="J46" s="47">
        <v>33</v>
      </c>
      <c r="K46" s="47">
        <v>54</v>
      </c>
      <c r="L46" s="47">
        <v>38</v>
      </c>
      <c r="M46" s="47">
        <v>39</v>
      </c>
      <c r="N46" s="47">
        <v>33</v>
      </c>
      <c r="O46" s="48">
        <v>1</v>
      </c>
    </row>
    <row r="47" spans="1:15">
      <c r="A47" s="44" t="s">
        <v>420</v>
      </c>
      <c r="B47" s="44" t="s">
        <v>1</v>
      </c>
      <c r="C47" s="45">
        <v>6043.7336971335026</v>
      </c>
      <c r="D47" s="45">
        <v>7218</v>
      </c>
      <c r="E47" s="45">
        <v>6786</v>
      </c>
      <c r="F47" s="45">
        <v>7081</v>
      </c>
      <c r="G47" s="45">
        <v>7785</v>
      </c>
      <c r="H47" s="45">
        <v>7785</v>
      </c>
      <c r="I47" s="45">
        <v>8592</v>
      </c>
      <c r="J47" s="45">
        <v>10186</v>
      </c>
      <c r="K47" s="45">
        <v>11810</v>
      </c>
      <c r="L47" s="45">
        <v>13400</v>
      </c>
      <c r="M47" s="45">
        <v>14178</v>
      </c>
      <c r="N47" s="45">
        <v>17671</v>
      </c>
      <c r="O47" s="421">
        <v>21510</v>
      </c>
    </row>
    <row r="48" spans="1:15">
      <c r="A48" s="46" t="s">
        <v>420</v>
      </c>
      <c r="B48" s="46" t="s">
        <v>2</v>
      </c>
      <c r="C48" s="47">
        <v>8461.1441544303125</v>
      </c>
      <c r="D48" s="47">
        <v>8340</v>
      </c>
      <c r="E48" s="47">
        <v>12337</v>
      </c>
      <c r="F48" s="47">
        <v>10821</v>
      </c>
      <c r="G48" s="47">
        <v>9761</v>
      </c>
      <c r="H48" s="47">
        <v>9761</v>
      </c>
      <c r="I48" s="47">
        <v>10541</v>
      </c>
      <c r="J48" s="47">
        <v>11327</v>
      </c>
      <c r="K48" s="47">
        <v>11184</v>
      </c>
      <c r="L48" s="47">
        <v>13412</v>
      </c>
      <c r="M48" s="47">
        <v>16481</v>
      </c>
      <c r="N48" s="47">
        <v>19074</v>
      </c>
      <c r="O48" s="48">
        <v>21423</v>
      </c>
    </row>
    <row r="49" spans="1:15">
      <c r="A49" s="44" t="s">
        <v>421</v>
      </c>
      <c r="B49" s="44" t="s">
        <v>3</v>
      </c>
      <c r="C49" s="45">
        <v>0</v>
      </c>
      <c r="D49" s="45">
        <v>0</v>
      </c>
      <c r="E49" s="45">
        <v>0</v>
      </c>
      <c r="F49" s="45">
        <v>0</v>
      </c>
      <c r="G49" s="45"/>
      <c r="H49" s="45">
        <v>18487.433333333334</v>
      </c>
      <c r="I49" s="45">
        <v>22513.733336666664</v>
      </c>
      <c r="J49" s="45">
        <v>26614.270333666653</v>
      </c>
      <c r="K49" s="45">
        <v>31231.066702700013</v>
      </c>
      <c r="L49" s="45">
        <v>69000.51666667001</v>
      </c>
      <c r="M49" s="45">
        <v>73741.603300033341</v>
      </c>
      <c r="N49" s="45">
        <v>81665.649999999994</v>
      </c>
      <c r="O49" s="421">
        <v>86166.983333333352</v>
      </c>
    </row>
    <row r="50" spans="1:15">
      <c r="A50" s="46" t="s">
        <v>423</v>
      </c>
      <c r="B50" s="46" t="s">
        <v>4</v>
      </c>
      <c r="C50" s="47">
        <v>114251.45106000001</v>
      </c>
      <c r="D50" s="47">
        <v>136694.28184000001</v>
      </c>
      <c r="E50" s="47">
        <v>160328.80903999999</v>
      </c>
      <c r="F50" s="47">
        <v>171538.31523000001</v>
      </c>
      <c r="G50" s="47">
        <v>177061.77585000001</v>
      </c>
      <c r="H50" s="47">
        <v>177061.77585000001</v>
      </c>
      <c r="I50" s="47">
        <v>196930.15689000001</v>
      </c>
      <c r="J50" s="47">
        <v>225369.95447</v>
      </c>
      <c r="K50" s="47">
        <v>239112.03432000001</v>
      </c>
      <c r="L50" s="47">
        <v>232374.09908000001</v>
      </c>
      <c r="M50" s="47">
        <v>271793.59285999998</v>
      </c>
      <c r="N50" s="47">
        <v>286640.59032000002</v>
      </c>
      <c r="O50" s="48">
        <v>293675.00594</v>
      </c>
    </row>
    <row r="51" spans="1:15">
      <c r="A51" s="44" t="s">
        <v>425</v>
      </c>
      <c r="B51" s="44" t="s">
        <v>5</v>
      </c>
      <c r="C51" s="45">
        <v>65848.194778602512</v>
      </c>
      <c r="D51" s="45">
        <v>64275</v>
      </c>
      <c r="E51" s="45">
        <v>65311</v>
      </c>
      <c r="F51" s="45">
        <v>68113</v>
      </c>
      <c r="G51" s="45">
        <v>69764</v>
      </c>
      <c r="H51" s="45">
        <v>69764</v>
      </c>
      <c r="I51" s="45">
        <v>73945</v>
      </c>
      <c r="J51" s="45">
        <v>88377</v>
      </c>
      <c r="K51" s="45">
        <v>93747</v>
      </c>
      <c r="L51" s="45">
        <v>100084</v>
      </c>
      <c r="M51" s="45">
        <v>114007</v>
      </c>
      <c r="N51" s="45">
        <v>129687</v>
      </c>
      <c r="O51" s="421">
        <v>142611</v>
      </c>
    </row>
    <row r="52" spans="1:15">
      <c r="A52" s="46" t="s">
        <v>425</v>
      </c>
      <c r="B52" s="46" t="s">
        <v>378</v>
      </c>
      <c r="C52" s="47">
        <v>29498.932457412619</v>
      </c>
      <c r="D52" s="47">
        <v>28748</v>
      </c>
      <c r="E52" s="47">
        <v>29467.5</v>
      </c>
      <c r="F52" s="47">
        <v>31124</v>
      </c>
      <c r="G52" s="47">
        <v>31952</v>
      </c>
      <c r="H52" s="47">
        <v>31952</v>
      </c>
      <c r="I52" s="47">
        <v>33599</v>
      </c>
      <c r="J52" s="47">
        <v>39731</v>
      </c>
      <c r="K52" s="47">
        <v>42545</v>
      </c>
      <c r="L52" s="47">
        <v>45840</v>
      </c>
      <c r="M52" s="47">
        <v>52314</v>
      </c>
      <c r="N52" s="47">
        <v>59801.5</v>
      </c>
      <c r="O52" s="48">
        <v>65750.5</v>
      </c>
    </row>
    <row r="53" spans="1:15">
      <c r="A53" s="44" t="s">
        <v>379</v>
      </c>
      <c r="B53" s="44" t="s">
        <v>6</v>
      </c>
      <c r="C53" s="45">
        <v>102595.724509091</v>
      </c>
      <c r="D53" s="45">
        <v>102457.99800000001</v>
      </c>
      <c r="E53" s="45">
        <v>106060.34299999999</v>
      </c>
      <c r="F53" s="45">
        <v>113772.46</v>
      </c>
      <c r="G53" s="45">
        <v>127665.583012212</v>
      </c>
      <c r="H53" s="45">
        <v>127665.583012212</v>
      </c>
      <c r="I53" s="45">
        <v>132247.36499999999</v>
      </c>
      <c r="J53" s="45">
        <v>156806.22700000001</v>
      </c>
      <c r="K53" s="45">
        <v>170558.32199999999</v>
      </c>
      <c r="L53" s="45">
        <v>177525.61499999999</v>
      </c>
      <c r="M53" s="45">
        <v>199024.94899999999</v>
      </c>
      <c r="N53" s="45">
        <v>224650.269</v>
      </c>
      <c r="O53" s="421">
        <v>241077.848</v>
      </c>
    </row>
    <row r="54" spans="1:15">
      <c r="A54" s="46" t="s">
        <v>426</v>
      </c>
      <c r="B54" s="46" t="s">
        <v>7</v>
      </c>
      <c r="C54" s="47">
        <v>1537815.5759862862</v>
      </c>
      <c r="D54" s="47">
        <v>1902386.2584510006</v>
      </c>
      <c r="E54" s="47">
        <v>2015024.3413052075</v>
      </c>
      <c r="F54" s="47">
        <v>2096609.8643626668</v>
      </c>
      <c r="G54" s="47">
        <v>2332716.2805233328</v>
      </c>
      <c r="H54" s="47">
        <v>2332716.2805233328</v>
      </c>
      <c r="I54" s="47">
        <v>2651201.5878600003</v>
      </c>
      <c r="J54" s="47">
        <v>3282809.5227312003</v>
      </c>
      <c r="K54" s="47">
        <v>3483817.1341663082</v>
      </c>
      <c r="L54" s="47">
        <v>3823002.1570283999</v>
      </c>
      <c r="M54" s="47">
        <v>4198307.3622131664</v>
      </c>
      <c r="N54" s="47">
        <v>4233889.2631086046</v>
      </c>
      <c r="O54" s="48">
        <v>4625340.1728977459</v>
      </c>
    </row>
    <row r="55" spans="1:15">
      <c r="A55" s="44" t="s">
        <v>422</v>
      </c>
      <c r="B55" s="44" t="s">
        <v>8</v>
      </c>
      <c r="C55" s="45">
        <v>2073247</v>
      </c>
      <c r="D55" s="45">
        <v>2090898</v>
      </c>
      <c r="E55" s="45">
        <v>2150170</v>
      </c>
      <c r="F55" s="45">
        <v>2386438</v>
      </c>
      <c r="G55" s="45">
        <v>2631825</v>
      </c>
      <c r="H55" s="45">
        <v>2631825</v>
      </c>
      <c r="I55" s="45">
        <v>2806117</v>
      </c>
      <c r="J55" s="45">
        <v>3506143</v>
      </c>
      <c r="K55" s="45">
        <v>3848367</v>
      </c>
      <c r="L55" s="45">
        <v>4022889</v>
      </c>
      <c r="M55" s="45">
        <v>4688545</v>
      </c>
      <c r="N55" s="45">
        <v>5354065.9821856059</v>
      </c>
      <c r="O55" s="421">
        <v>6062122.0024999995</v>
      </c>
    </row>
    <row r="56" spans="1:15">
      <c r="A56" s="46" t="s">
        <v>424</v>
      </c>
      <c r="B56" s="46" t="s">
        <v>9</v>
      </c>
      <c r="C56" s="47">
        <v>50382.571428571435</v>
      </c>
      <c r="D56" s="47">
        <v>47262.859908163249</v>
      </c>
      <c r="E56" s="47">
        <v>42054.258314657549</v>
      </c>
      <c r="F56" s="47">
        <v>37444.93</v>
      </c>
      <c r="G56" s="47">
        <v>40346.670308872322</v>
      </c>
      <c r="H56" s="47">
        <v>40346.670308872322</v>
      </c>
      <c r="I56" s="47">
        <v>44672.173513333328</v>
      </c>
      <c r="J56" s="47">
        <v>46039.59</v>
      </c>
      <c r="K56" s="47">
        <v>48535.729000000021</v>
      </c>
      <c r="L56" s="47">
        <v>45914.288000000008</v>
      </c>
      <c r="M56" s="47">
        <v>38797.793999999994</v>
      </c>
      <c r="N56" s="47">
        <v>37652.381000000001</v>
      </c>
      <c r="O56" s="48">
        <v>39198.637000000002</v>
      </c>
    </row>
    <row r="57" spans="1:15">
      <c r="A57" s="44" t="s">
        <v>424</v>
      </c>
      <c r="B57" s="44" t="s">
        <v>10</v>
      </c>
      <c r="C57" s="45">
        <v>15553.737142857142</v>
      </c>
      <c r="D57" s="45">
        <v>15537.07</v>
      </c>
      <c r="E57" s="45">
        <v>16884.661333333333</v>
      </c>
      <c r="F57" s="45">
        <v>15728.965777777779</v>
      </c>
      <c r="G57" s="45">
        <v>8686.7894400000005</v>
      </c>
      <c r="H57" s="45">
        <v>8686.7894400000005</v>
      </c>
      <c r="I57" s="45">
        <v>6749.9994399999996</v>
      </c>
      <c r="J57" s="45">
        <v>6333</v>
      </c>
      <c r="K57" s="45">
        <v>7525.5830000000005</v>
      </c>
      <c r="L57" s="45">
        <v>6552.6000000000013</v>
      </c>
      <c r="M57" s="45">
        <v>6997.739999999998</v>
      </c>
      <c r="N57" s="45">
        <v>7120.6859999999988</v>
      </c>
      <c r="O57" s="421">
        <v>4895.0730000000003</v>
      </c>
    </row>
    <row r="58" spans="1:15">
      <c r="A58" s="46" t="s">
        <v>424</v>
      </c>
      <c r="B58" s="46" t="s">
        <v>11</v>
      </c>
      <c r="C58" s="47">
        <v>20374.857142857145</v>
      </c>
      <c r="D58" s="47">
        <v>22761</v>
      </c>
      <c r="E58" s="47">
        <v>22505</v>
      </c>
      <c r="F58" s="47">
        <v>19414</v>
      </c>
      <c r="G58" s="47">
        <v>13792</v>
      </c>
      <c r="H58" s="47">
        <v>13792</v>
      </c>
      <c r="I58" s="47">
        <v>12417.84</v>
      </c>
      <c r="J58" s="47">
        <v>14528.586000000001</v>
      </c>
      <c r="K58" s="47">
        <v>24039.529000000002</v>
      </c>
      <c r="L58" s="47">
        <v>25143.962999999996</v>
      </c>
      <c r="M58" s="47">
        <v>23258.569000000003</v>
      </c>
      <c r="N58" s="47">
        <v>23308.519</v>
      </c>
      <c r="O58" s="48">
        <v>11786.541000000003</v>
      </c>
    </row>
    <row r="59" spans="1:15">
      <c r="A59" s="44" t="s">
        <v>424</v>
      </c>
      <c r="B59" s="44" t="s">
        <v>12</v>
      </c>
      <c r="C59" s="45">
        <v>20262.196717325227</v>
      </c>
      <c r="D59" s="45">
        <v>20528.646148936168</v>
      </c>
      <c r="E59" s="45">
        <v>16161.993617021277</v>
      </c>
      <c r="F59" s="45">
        <v>15698.351063829787</v>
      </c>
      <c r="G59" s="45">
        <v>15807.491489361702</v>
      </c>
      <c r="H59" s="45">
        <v>15807.491489361702</v>
      </c>
      <c r="I59" s="45">
        <v>14967.574468085106</v>
      </c>
      <c r="J59" s="45">
        <v>13680</v>
      </c>
      <c r="K59" s="45">
        <v>9562.4459999999999</v>
      </c>
      <c r="L59" s="45">
        <v>6424.44</v>
      </c>
      <c r="M59" s="45">
        <v>6442.5400000000027</v>
      </c>
      <c r="N59" s="45">
        <v>6355.5700000000024</v>
      </c>
      <c r="O59" s="421">
        <v>1621.2700000000004</v>
      </c>
    </row>
    <row r="60" spans="1:15">
      <c r="A60" s="46" t="s">
        <v>424</v>
      </c>
      <c r="B60" s="46" t="s">
        <v>13</v>
      </c>
      <c r="C60" s="47">
        <v>443878.85714285716</v>
      </c>
      <c r="D60" s="47">
        <v>443815</v>
      </c>
      <c r="E60" s="47">
        <v>440534</v>
      </c>
      <c r="F60" s="47">
        <v>411074</v>
      </c>
      <c r="G60" s="47">
        <v>244051</v>
      </c>
      <c r="H60" s="47">
        <v>244051</v>
      </c>
      <c r="I60" s="47">
        <v>200222</v>
      </c>
      <c r="J60" s="47">
        <v>180906.44</v>
      </c>
      <c r="K60" s="47">
        <v>68006.256999999998</v>
      </c>
      <c r="L60" s="47">
        <v>46008.083999999988</v>
      </c>
      <c r="M60" s="47">
        <v>35719.08</v>
      </c>
      <c r="N60" s="47">
        <v>38060.347999999991</v>
      </c>
      <c r="O60" s="48">
        <v>26542.775999999998</v>
      </c>
    </row>
    <row r="61" spans="1:15">
      <c r="A61" s="422" t="s">
        <v>391</v>
      </c>
      <c r="B61" s="44" t="s">
        <v>14</v>
      </c>
      <c r="C61" s="45">
        <v>4097686</v>
      </c>
      <c r="D61" s="45">
        <v>4153620</v>
      </c>
      <c r="E61" s="45">
        <v>4306154</v>
      </c>
      <c r="F61" s="45">
        <v>4807505</v>
      </c>
      <c r="G61" s="45">
        <v>5338703</v>
      </c>
      <c r="H61" s="45">
        <v>5338703</v>
      </c>
      <c r="I61" s="45">
        <v>5656206.7169992123</v>
      </c>
      <c r="J61" s="45">
        <v>6985936</v>
      </c>
      <c r="K61" s="45">
        <v>7670684</v>
      </c>
      <c r="L61" s="45">
        <v>8076940</v>
      </c>
      <c r="M61" s="45">
        <v>9433136</v>
      </c>
      <c r="N61" s="45">
        <v>10684786.982185606</v>
      </c>
      <c r="O61" s="421">
        <v>12105503.002499999</v>
      </c>
    </row>
    <row r="62" spans="1:15">
      <c r="A62" s="423" t="s">
        <v>391</v>
      </c>
      <c r="B62" s="46" t="s">
        <v>15</v>
      </c>
      <c r="C62" s="47">
        <v>4097686</v>
      </c>
      <c r="D62" s="47">
        <v>4153620</v>
      </c>
      <c r="E62" s="47">
        <v>4306154</v>
      </c>
      <c r="F62" s="47">
        <v>4807505</v>
      </c>
      <c r="G62" s="47">
        <v>5338703</v>
      </c>
      <c r="H62" s="47">
        <v>5338703</v>
      </c>
      <c r="I62" s="47">
        <v>5656206.7169992123</v>
      </c>
      <c r="J62" s="47">
        <v>6985936</v>
      </c>
      <c r="K62" s="47">
        <v>7670684</v>
      </c>
      <c r="L62" s="47">
        <v>8076940</v>
      </c>
      <c r="M62" s="47">
        <v>9433136</v>
      </c>
      <c r="N62" s="47">
        <v>10684786.982185606</v>
      </c>
      <c r="O62" s="48">
        <v>12105503.002499999</v>
      </c>
    </row>
    <row r="63" spans="1:15">
      <c r="A63" s="422" t="s">
        <v>391</v>
      </c>
      <c r="B63" s="44" t="s">
        <v>16</v>
      </c>
      <c r="C63" s="45">
        <v>4097686</v>
      </c>
      <c r="D63" s="45">
        <v>4153620</v>
      </c>
      <c r="E63" s="45">
        <v>4306154</v>
      </c>
      <c r="F63" s="45">
        <v>4807505</v>
      </c>
      <c r="G63" s="45">
        <v>5338703</v>
      </c>
      <c r="H63" s="45">
        <v>5338703</v>
      </c>
      <c r="I63" s="45">
        <v>5656206.7169992123</v>
      </c>
      <c r="J63" s="45">
        <v>6985936</v>
      </c>
      <c r="K63" s="45">
        <v>7670684</v>
      </c>
      <c r="L63" s="45">
        <v>8076940</v>
      </c>
      <c r="M63" s="45">
        <v>9433136</v>
      </c>
      <c r="N63" s="45">
        <v>10684786.982185606</v>
      </c>
      <c r="O63" s="421">
        <v>12105503.002499999</v>
      </c>
    </row>
    <row r="64" spans="1:15">
      <c r="A64" s="423" t="s">
        <v>391</v>
      </c>
      <c r="B64" s="46" t="s">
        <v>23</v>
      </c>
      <c r="C64" s="47">
        <v>4097686</v>
      </c>
      <c r="D64" s="47">
        <v>4153620</v>
      </c>
      <c r="E64" s="47">
        <v>4306154</v>
      </c>
      <c r="F64" s="47">
        <v>4807505</v>
      </c>
      <c r="G64" s="47">
        <v>5338703</v>
      </c>
      <c r="H64" s="47">
        <v>5338703</v>
      </c>
      <c r="I64" s="47">
        <v>5656206.7169992123</v>
      </c>
      <c r="J64" s="47">
        <v>6985936</v>
      </c>
      <c r="K64" s="47">
        <v>7670684</v>
      </c>
      <c r="L64" s="47">
        <v>8076940</v>
      </c>
      <c r="M64" s="47">
        <v>9433136</v>
      </c>
      <c r="N64" s="47">
        <v>10684786.982185606</v>
      </c>
      <c r="O64" s="48">
        <v>12105503.002499999</v>
      </c>
    </row>
    <row r="65" spans="1:15">
      <c r="A65" s="422" t="s">
        <v>391</v>
      </c>
      <c r="B65" s="44" t="s">
        <v>17</v>
      </c>
      <c r="C65" s="45">
        <v>4097686</v>
      </c>
      <c r="D65" s="45">
        <v>4153620</v>
      </c>
      <c r="E65" s="45">
        <v>4306154</v>
      </c>
      <c r="F65" s="45">
        <v>4807505</v>
      </c>
      <c r="G65" s="45">
        <v>5338703</v>
      </c>
      <c r="H65" s="45">
        <v>5338703</v>
      </c>
      <c r="I65" s="45">
        <v>5656206.7169992123</v>
      </c>
      <c r="J65" s="45">
        <v>6985936</v>
      </c>
      <c r="K65" s="45">
        <v>7670684</v>
      </c>
      <c r="L65" s="45">
        <v>8076940</v>
      </c>
      <c r="M65" s="45">
        <v>9433136</v>
      </c>
      <c r="N65" s="45">
        <v>10684786.982185606</v>
      </c>
      <c r="O65" s="421">
        <v>12105503.002499999</v>
      </c>
    </row>
    <row r="66" spans="1:15">
      <c r="A66" s="423" t="s">
        <v>391</v>
      </c>
      <c r="B66" s="46" t="s">
        <v>18</v>
      </c>
      <c r="C66" s="47">
        <v>4097686</v>
      </c>
      <c r="D66" s="47">
        <v>4153620</v>
      </c>
      <c r="E66" s="47">
        <v>4306154</v>
      </c>
      <c r="F66" s="47">
        <v>4807505</v>
      </c>
      <c r="G66" s="47">
        <v>5338703</v>
      </c>
      <c r="H66" s="47">
        <v>5338703</v>
      </c>
      <c r="I66" s="47">
        <v>5656206.7169992123</v>
      </c>
      <c r="J66" s="47">
        <v>6985936</v>
      </c>
      <c r="K66" s="47">
        <v>7670684</v>
      </c>
      <c r="L66" s="47">
        <v>8076940</v>
      </c>
      <c r="M66" s="47">
        <v>9433136</v>
      </c>
      <c r="N66" s="47">
        <v>10684786.982185606</v>
      </c>
      <c r="O66" s="48">
        <v>12105503.002499999</v>
      </c>
    </row>
    <row r="67" spans="1:15">
      <c r="A67" s="422" t="s">
        <v>391</v>
      </c>
      <c r="B67" s="44" t="s">
        <v>19</v>
      </c>
      <c r="C67" s="45">
        <v>4097686</v>
      </c>
      <c r="D67" s="45">
        <v>4153620</v>
      </c>
      <c r="E67" s="45">
        <v>4306154</v>
      </c>
      <c r="F67" s="45">
        <v>4807505</v>
      </c>
      <c r="G67" s="45">
        <v>5338703</v>
      </c>
      <c r="H67" s="45">
        <v>5338703</v>
      </c>
      <c r="I67" s="45">
        <v>5656206.7169992123</v>
      </c>
      <c r="J67" s="45">
        <v>6985936</v>
      </c>
      <c r="K67" s="45">
        <v>7670684</v>
      </c>
      <c r="L67" s="45">
        <v>8076940</v>
      </c>
      <c r="M67" s="45">
        <v>9433136</v>
      </c>
      <c r="N67" s="45">
        <v>10684786.982185606</v>
      </c>
      <c r="O67" s="421">
        <v>12105503.002499999</v>
      </c>
    </row>
    <row r="68" spans="1:15">
      <c r="A68" s="424" t="s">
        <v>391</v>
      </c>
      <c r="B68" s="425" t="s">
        <v>20</v>
      </c>
      <c r="C68" s="426">
        <v>4097686</v>
      </c>
      <c r="D68" s="426">
        <v>4153620</v>
      </c>
      <c r="E68" s="426">
        <v>4306154</v>
      </c>
      <c r="F68" s="426">
        <v>4807505</v>
      </c>
      <c r="G68" s="426">
        <v>5338703</v>
      </c>
      <c r="H68" s="426">
        <v>5338703</v>
      </c>
      <c r="I68" s="426">
        <v>5656206.7169992123</v>
      </c>
      <c r="J68" s="426">
        <v>6985936</v>
      </c>
      <c r="K68" s="426">
        <v>7670684</v>
      </c>
      <c r="L68" s="426">
        <v>8076940</v>
      </c>
      <c r="M68" s="426">
        <v>9433136</v>
      </c>
      <c r="N68" s="426">
        <v>10684786.982185606</v>
      </c>
      <c r="O68" s="427">
        <v>12105503.002499999</v>
      </c>
    </row>
    <row r="69" spans="1:15" s="51" customFormat="1" ht="6" customHeight="1" thickBot="1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</row>
    <row r="70" spans="1:15" ht="9.75" thickTop="1"/>
    <row r="71" spans="1:15"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</row>
    <row r="73" spans="1:15"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</row>
  </sheetData>
  <mergeCells count="1">
    <mergeCell ref="E2:H2"/>
  </mergeCells>
  <hyperlinks>
    <hyperlink ref="E2:H2" location="Indice!D3" display="ÍNDICE"/>
  </hyperlinks>
  <pageMargins left="0.7" right="0.7" top="0.75" bottom="0.75" header="0.3" footer="0.3"/>
  <pageSetup orientation="portrait" r:id="rId1"/>
  <ignoredErrors>
    <ignoredError sqref="I4:O4 C4:F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3">
    <tabColor rgb="FF00B050"/>
  </sheetPr>
  <dimension ref="B2:O76"/>
  <sheetViews>
    <sheetView showGridLines="0" workbookViewId="0">
      <selection activeCell="E2" sqref="E2:H2"/>
    </sheetView>
  </sheetViews>
  <sheetFormatPr baseColWidth="10" defaultRowHeight="9"/>
  <cols>
    <col min="1" max="1" width="11.42578125" style="32"/>
    <col min="2" max="2" width="19.7109375" style="32" customWidth="1"/>
    <col min="3" max="15" width="7.7109375" style="32" customWidth="1"/>
    <col min="16" max="17" width="11.42578125" style="32"/>
    <col min="18" max="21" width="5.5703125" style="32" customWidth="1"/>
    <col min="22" max="16384" width="11.42578125" style="32"/>
  </cols>
  <sheetData>
    <row r="2" spans="2:15" ht="9.75" customHeight="1">
      <c r="E2" s="444" t="s">
        <v>555</v>
      </c>
      <c r="F2" s="444"/>
      <c r="G2" s="444"/>
      <c r="H2" s="444"/>
    </row>
    <row r="4" spans="2:15" ht="9.75" thickBot="1">
      <c r="B4" s="42" t="s">
        <v>374</v>
      </c>
      <c r="C4" s="42" t="s">
        <v>380</v>
      </c>
      <c r="D4" s="42" t="s">
        <v>381</v>
      </c>
      <c r="E4" s="42" t="s">
        <v>382</v>
      </c>
      <c r="F4" s="42" t="s">
        <v>383</v>
      </c>
      <c r="G4" s="49" t="s">
        <v>469</v>
      </c>
      <c r="H4" s="88">
        <v>2005</v>
      </c>
      <c r="I4" s="42" t="s">
        <v>384</v>
      </c>
      <c r="J4" s="42" t="s">
        <v>385</v>
      </c>
      <c r="K4" s="42" t="s">
        <v>386</v>
      </c>
      <c r="L4" s="42" t="s">
        <v>387</v>
      </c>
      <c r="M4" s="42" t="s">
        <v>388</v>
      </c>
      <c r="N4" s="42" t="s">
        <v>389</v>
      </c>
      <c r="O4" s="43" t="s">
        <v>390</v>
      </c>
    </row>
    <row r="5" spans="2:15" ht="9.75" thickTop="1">
      <c r="B5" s="53" t="str">
        <f>+IngresosBrutos!B5</f>
        <v>Terminal - International (TUUA)</v>
      </c>
      <c r="C5" s="384">
        <f>+IngresosNetos!C5/CantidadDeProducto!C5</f>
        <v>8.8540683501760711</v>
      </c>
      <c r="D5" s="384">
        <f>+IngresosNetos!D5/CantidadDeProducto!D5</f>
        <v>8.8540677610248668</v>
      </c>
      <c r="E5" s="384">
        <f>+IngresosNetos!E5/CantidadDeProducto!E5</f>
        <v>9.8607392074387246</v>
      </c>
      <c r="F5" s="384">
        <f>+IngresosNetos!F5/CantidadDeProducto!F5</f>
        <v>9.9175083129763841</v>
      </c>
      <c r="G5" s="384">
        <f>+IngresosNetos!G5/CantidadDeProducto!G5</f>
        <v>9.9175083067997161</v>
      </c>
      <c r="H5" s="384">
        <f>+IngresosNetos!H5/CantidadDeProducto!H5</f>
        <v>9.9175083067997161</v>
      </c>
      <c r="I5" s="384">
        <f>+IngresosNetos!I5/CantidadDeProducto!I5</f>
        <v>10.623388482366709</v>
      </c>
      <c r="J5" s="384">
        <f>+IngresosNetos!J5/CantidadDeProducto!J5</f>
        <v>10.623393279808182</v>
      </c>
      <c r="K5" s="384">
        <f>+IngresosNetos!K5/CantidadDeProducto!K5</f>
        <v>10.623393277310925</v>
      </c>
      <c r="L5" s="384">
        <f>+IngresosNetos!L5/CantidadDeProducto!L5</f>
        <v>10.837851823366607</v>
      </c>
      <c r="M5" s="384">
        <f>+IngresosNetos!M5/CantidadDeProducto!M5</f>
        <v>10.886783194103005</v>
      </c>
      <c r="N5" s="384">
        <f>+IngresosNetos!N5/CantidadDeProducto!N5</f>
        <v>10.886930794748874</v>
      </c>
      <c r="O5" s="384">
        <f>+IngresosNetos!O5/CantidadDeProducto!O5</f>
        <v>10.886961759985333</v>
      </c>
    </row>
    <row r="6" spans="2:15">
      <c r="B6" s="60" t="str">
        <f>+IngresosBrutos!B6</f>
        <v>Terminal - National (TUUA)</v>
      </c>
      <c r="C6" s="385">
        <f>+IngresosNetos!C6/CantidadDeProducto!C6</f>
        <v>1.5430033041362694</v>
      </c>
      <c r="D6" s="385">
        <f>+IngresosNetos!D6/CantidadDeProducto!D6</f>
        <v>1.7792881397208413</v>
      </c>
      <c r="E6" s="385">
        <f>+IngresosNetos!E6/CantidadDeProducto!E6</f>
        <v>2.2070878048033755</v>
      </c>
      <c r="F6" s="385">
        <f>+IngresosNetos!F6/CantidadDeProducto!F6</f>
        <v>2.2230635407085977</v>
      </c>
      <c r="G6" s="385">
        <f>+IngresosNetos!G6/CantidadDeProducto!G6</f>
        <v>2.2230635296736354</v>
      </c>
      <c r="H6" s="385">
        <f>+IngresosNetos!H6/CantidadDeProducto!H6</f>
        <v>2.2230635296736354</v>
      </c>
      <c r="I6" s="385">
        <f>+IngresosNetos!I6/CantidadDeProducto!I6</f>
        <v>2.6685585718532479</v>
      </c>
      <c r="J6" s="385">
        <f>+IngresosNetos!J6/CantidadDeProducto!J6</f>
        <v>2.6685586083532913</v>
      </c>
      <c r="K6" s="385">
        <f>+IngresosNetos!K6/CantidadDeProducto!K6</f>
        <v>2.6685584033613448</v>
      </c>
      <c r="L6" s="385">
        <f>+IngresosNetos!L6/CantidadDeProducto!L6</f>
        <v>2.6061113208727495</v>
      </c>
      <c r="M6" s="385">
        <f>+IngresosNetos!M6/CantidadDeProducto!M6</f>
        <v>2.9941900968382704</v>
      </c>
      <c r="N6" s="385">
        <f>+IngresosNetos!N6/CantidadDeProducto!N6</f>
        <v>3.2639518486740111</v>
      </c>
      <c r="O6" s="385">
        <f>+IngresosNetos!O6/CantidadDeProducto!O6</f>
        <v>3.8780075819965671</v>
      </c>
    </row>
    <row r="7" spans="2:15">
      <c r="B7" s="53" t="str">
        <f>+IngresosBrutos!B7</f>
        <v>AID-Hasta 10 t</v>
      </c>
      <c r="C7" s="384">
        <f>+IngresosNetos!C7/CantidadDeProducto!C7</f>
        <v>3.4656547433454574</v>
      </c>
      <c r="D7" s="384">
        <f>+IngresosNetos!D7/CantidadDeProducto!D7</f>
        <v>3.3817653393749993</v>
      </c>
      <c r="E7" s="384">
        <f>+IngresosNetos!E7/CantidadDeProducto!E7</f>
        <v>3.3858830919263454</v>
      </c>
      <c r="F7" s="384">
        <f>+IngresosNetos!F7/CantidadDeProducto!F7</f>
        <v>4.1281126968750002</v>
      </c>
      <c r="G7" s="384">
        <f>+IngresosNetos!G7/CantidadDeProducto!G7</f>
        <v>4.0759390555932198</v>
      </c>
      <c r="H7" s="384">
        <f>+IngresosNetos!H7/CantidadDeProducto!H7</f>
        <v>4.0759390555932198</v>
      </c>
      <c r="I7" s="384">
        <f>+IngresosNetos!I7/CantidadDeProducto!I7</f>
        <v>3.8381117342939475</v>
      </c>
      <c r="J7" s="384">
        <f>+IngresosNetos!J7/CantidadDeProducto!J7</f>
        <v>4.3765650000000003</v>
      </c>
      <c r="K7" s="384">
        <f>+IngresosNetos!K7/CantidadDeProducto!K7</f>
        <v>4.3765649999999994</v>
      </c>
      <c r="L7" s="384">
        <f>+IngresosNetos!L7/CantidadDeProducto!L7</f>
        <v>4.3997350500000003</v>
      </c>
      <c r="M7" s="384">
        <f>+IngresosNetos!M7/CantidadDeProducto!M7</f>
        <v>4.4981061394736832</v>
      </c>
      <c r="N7" s="384">
        <f>+IngresosNetos!N7/CantidadDeProducto!N7</f>
        <v>4.5387553499999997</v>
      </c>
      <c r="O7" s="384">
        <f>+IngresosNetos!O7/CantidadDeProducto!O7</f>
        <v>4.5593877278571258</v>
      </c>
    </row>
    <row r="8" spans="2:15">
      <c r="B8" s="60" t="str">
        <f>+IngresosBrutos!B8</f>
        <v>AID-Más de 10 t hasta 35 t</v>
      </c>
      <c r="C8" s="385">
        <f>+IngresosNetos!C8/CantidadDeProducto!C8</f>
        <v>11.018594525559104</v>
      </c>
      <c r="D8" s="385">
        <f>+IngresosNetos!D8/CantidadDeProducto!D8</f>
        <v>12.909270943664383</v>
      </c>
      <c r="E8" s="385">
        <f>+IngresosNetos!E8/CantidadDeProducto!E8</f>
        <v>12.591508656226415</v>
      </c>
      <c r="F8" s="385">
        <f>+IngresosNetos!F8/CantidadDeProducto!F8</f>
        <v>11.88116442737069</v>
      </c>
      <c r="G8" s="385">
        <f>+IngresosNetos!G8/CantidadDeProducto!G8</f>
        <v>9.930044865441177</v>
      </c>
      <c r="H8" s="385">
        <f>+IngresosNetos!H8/CantidadDeProducto!H8</f>
        <v>9.930044865441177</v>
      </c>
      <c r="I8" s="385">
        <f>+IngresosNetos!I8/CantidadDeProducto!I8</f>
        <v>9.3192724289189197</v>
      </c>
      <c r="J8" s="385">
        <f>+IngresosNetos!J8/CantidadDeProducto!J8</f>
        <v>11.850883705307263</v>
      </c>
      <c r="K8" s="385">
        <f>+IngresosNetos!K8/CantidadDeProducto!K8</f>
        <v>12.355721713636363</v>
      </c>
      <c r="L8" s="385">
        <f>+IngresosNetos!L8/CantidadDeProducto!L8</f>
        <v>11.142289179729731</v>
      </c>
      <c r="M8" s="385">
        <f>+IngresosNetos!M8/CantidadDeProducto!M8</f>
        <v>11.900727778651687</v>
      </c>
      <c r="N8" s="385">
        <f>+IngresosNetos!N8/CantidadDeProducto!N8</f>
        <v>11.725144503370785</v>
      </c>
      <c r="O8" s="385">
        <f>+IngresosNetos!O8/CantidadDeProducto!O8</f>
        <v>11.60124403499999</v>
      </c>
    </row>
    <row r="9" spans="2:15">
      <c r="B9" s="53" t="str">
        <f>+IngresosBrutos!B9</f>
        <v>AID-Más de 35 t hasta 70 t</v>
      </c>
      <c r="C9" s="384">
        <f>+IngresosNetos!C9/CantidadDeProducto!C9</f>
        <v>36.271377321511281</v>
      </c>
      <c r="D9" s="384">
        <f>+IngresosNetos!D9/CantidadDeProducto!D9</f>
        <v>36.298594713829786</v>
      </c>
      <c r="E9" s="384">
        <f>+IngresosNetos!E9/CantidadDeProducto!E9</f>
        <v>37.359386761191331</v>
      </c>
      <c r="F9" s="384">
        <f>+IngresosNetos!F9/CantidadDeProducto!F9</f>
        <v>37.366170879186605</v>
      </c>
      <c r="G9" s="384">
        <f>+IngresosNetos!G9/CantidadDeProducto!G9</f>
        <v>34.538412557142848</v>
      </c>
      <c r="H9" s="384">
        <f>+IngresosNetos!H9/CantidadDeProducto!H9</f>
        <v>34.538412557142848</v>
      </c>
      <c r="I9" s="384">
        <f>+IngresosNetos!I9/CantidadDeProducto!I9</f>
        <v>44.705557559531165</v>
      </c>
      <c r="J9" s="384">
        <f>+IngresosNetos!J9/CantidadDeProducto!J9</f>
        <v>48.624408792943548</v>
      </c>
      <c r="K9" s="384">
        <f>+IngresosNetos!K9/CantidadDeProducto!K9</f>
        <v>43.413847090586906</v>
      </c>
      <c r="L9" s="384">
        <f>+IngresosNetos!L9/CantidadDeProducto!L9</f>
        <v>46.540895846940231</v>
      </c>
      <c r="M9" s="384">
        <f>+IngresosNetos!M9/CantidadDeProducto!M9</f>
        <v>52.942666508897496</v>
      </c>
      <c r="N9" s="384">
        <f>+IngresosNetos!N9/CantidadDeProducto!N9</f>
        <v>52.500770511271881</v>
      </c>
      <c r="O9" s="384">
        <f>+IngresosNetos!O9/CantidadDeProducto!O9</f>
        <v>52.695473028505944</v>
      </c>
    </row>
    <row r="10" spans="2:15">
      <c r="B10" s="60" t="str">
        <f>+IngresosBrutos!B10</f>
        <v>AID-Más de 70 t hasta 100 t</v>
      </c>
      <c r="C10" s="385">
        <f>+IngresosNetos!C10/CantidadDeProducto!C10</f>
        <v>53.574008975021727</v>
      </c>
      <c r="D10" s="385">
        <f>+IngresosNetos!D10/CantidadDeProducto!D10</f>
        <v>54.016045769766947</v>
      </c>
      <c r="E10" s="385">
        <f>+IngresosNetos!E10/CantidadDeProducto!E10</f>
        <v>53.416586853050511</v>
      </c>
      <c r="F10" s="385">
        <f>+IngresosNetos!F10/CantidadDeProducto!F10</f>
        <v>53.80567404004433</v>
      </c>
      <c r="G10" s="385">
        <f>+IngresosNetos!G10/CantidadDeProducto!G10</f>
        <v>55.963903795649536</v>
      </c>
      <c r="H10" s="385">
        <f>+IngresosNetos!H10/CantidadDeProducto!H10</f>
        <v>55.963903795649536</v>
      </c>
      <c r="I10" s="385">
        <f>+IngresosNetos!I10/CantidadDeProducto!I10</f>
        <v>55.177450461907689</v>
      </c>
      <c r="J10" s="385">
        <f>+IngresosNetos!J10/CantidadDeProducto!J10</f>
        <v>59.837523126346213</v>
      </c>
      <c r="K10" s="385">
        <f>+IngresosNetos!K10/CantidadDeProducto!K10</f>
        <v>59.963547441768448</v>
      </c>
      <c r="L10" s="385">
        <f>+IngresosNetos!L10/CantidadDeProducto!L10</f>
        <v>60.788145553091717</v>
      </c>
      <c r="M10" s="385">
        <f>+IngresosNetos!M10/CantidadDeProducto!M10</f>
        <v>62.600933957639647</v>
      </c>
      <c r="N10" s="385">
        <f>+IngresosNetos!N10/CantidadDeProducto!N10</f>
        <v>63.256937879822893</v>
      </c>
      <c r="O10" s="385">
        <f>+IngresosNetos!O10/CantidadDeProducto!O10</f>
        <v>64.187038826507091</v>
      </c>
    </row>
    <row r="11" spans="2:15">
      <c r="B11" s="53" t="str">
        <f>+IngresosBrutos!B11</f>
        <v>AID-Más de 100 t</v>
      </c>
      <c r="C11" s="384">
        <f>+IngresosNetos!C11/CantidadDeProducto!C11</f>
        <v>141.68454925951664</v>
      </c>
      <c r="D11" s="384">
        <f>+IngresosNetos!D11/CantidadDeProducto!D11</f>
        <v>138.81935740263157</v>
      </c>
      <c r="E11" s="384">
        <f>+IngresosNetos!E11/CantidadDeProducto!E11</f>
        <v>144.35073045610108</v>
      </c>
      <c r="F11" s="384">
        <f>+IngresosNetos!F11/CantidadDeProducto!F11</f>
        <v>145.91603998742042</v>
      </c>
      <c r="G11" s="384">
        <f>+IngresosNetos!G11/CantidadDeProducto!G11</f>
        <v>146.25282604451726</v>
      </c>
      <c r="H11" s="384">
        <f>+IngresosNetos!H11/CantidadDeProducto!H11</f>
        <v>146.25282604451726</v>
      </c>
      <c r="I11" s="384">
        <f>+IngresosNetos!I11/CantidadDeProducto!I11</f>
        <v>156.1404505407159</v>
      </c>
      <c r="J11" s="384">
        <f>+IngresosNetos!J11/CantidadDeProducto!J11</f>
        <v>157.06558439820358</v>
      </c>
      <c r="K11" s="384">
        <f>+IngresosNetos!K11/CantidadDeProducto!K11</f>
        <v>168.20856979112901</v>
      </c>
      <c r="L11" s="384">
        <f>+IngresosNetos!L11/CantidadDeProducto!L11</f>
        <v>175.57993510565217</v>
      </c>
      <c r="M11" s="384">
        <f>+IngresosNetos!M11/CantidadDeProducto!M11</f>
        <v>184.74538317228257</v>
      </c>
      <c r="N11" s="384">
        <f>+IngresosNetos!N11/CantidadDeProducto!N11</f>
        <v>181.90018642883314</v>
      </c>
      <c r="O11" s="384">
        <f>+IngresosNetos!O11/CantidadDeProducto!O11</f>
        <v>178.42865983167334</v>
      </c>
    </row>
    <row r="12" spans="2:15">
      <c r="B12" s="60" t="str">
        <f>+IngresosBrutos!B12</f>
        <v>AIN-Hasta 10 t</v>
      </c>
      <c r="C12" s="385">
        <f>+IngresosNetos!C12/CantidadDeProducto!C12</f>
        <v>3.9672425357093117</v>
      </c>
      <c r="D12" s="385">
        <f>+IngresosNetos!D12/CantidadDeProducto!D12</f>
        <v>3.8799445618421049</v>
      </c>
      <c r="E12" s="385">
        <f>+IngresosNetos!E12/CantidadDeProducto!E12</f>
        <v>4.0671766852941174</v>
      </c>
      <c r="F12" s="385">
        <f>+IngresosNetos!F12/CantidadDeProducto!F12</f>
        <v>4.6869032454545447</v>
      </c>
      <c r="G12" s="385">
        <f>+IngresosNetos!G12/CantidadDeProducto!G12</f>
        <v>4.7230796908536581</v>
      </c>
      <c r="H12" s="385">
        <f>+IngresosNetos!H12/CantidadDeProducto!H12</f>
        <v>4.7230796908536581</v>
      </c>
      <c r="I12" s="385">
        <f>+IngresosNetos!I12/CantidadDeProducto!I12</f>
        <v>4.3922097346153848</v>
      </c>
      <c r="J12" s="385">
        <f>+IngresosNetos!J12/CantidadDeProducto!J12</f>
        <v>5.0330497499999982</v>
      </c>
      <c r="K12" s="385">
        <f>+IngresosNetos!K12/CantidadDeProducto!K12</f>
        <v>5.0330497499999991</v>
      </c>
      <c r="L12" s="385">
        <f>+IngresosNetos!L12/CantidadDeProducto!L12</f>
        <v>5.05879425</v>
      </c>
      <c r="M12" s="385">
        <f>+IngresosNetos!M12/CantidadDeProducto!M12</f>
        <v>5.1731934463636362</v>
      </c>
      <c r="N12" s="385">
        <f>+IngresosNetos!N12/CantidadDeProducto!N12</f>
        <v>5.2184101499999995</v>
      </c>
      <c r="O12" s="385">
        <f>+IngresosNetos!O12/CantidadDeProducto!O12</f>
        <v>5.2184101499999951</v>
      </c>
    </row>
    <row r="13" spans="2:15">
      <c r="B13" s="53" t="str">
        <f>+IngresosBrutos!B13</f>
        <v>AIN-Más de 10 t hasta 35 t</v>
      </c>
      <c r="C13" s="384">
        <f>+IngresosNetos!C13/CantidadDeProducto!C13</f>
        <v>13.219481669589554</v>
      </c>
      <c r="D13" s="384">
        <f>+IngresosNetos!D13/CantidadDeProducto!D13</f>
        <v>12.503744915163935</v>
      </c>
      <c r="E13" s="384">
        <f>+IngresosNetos!E13/CantidadDeProducto!E13</f>
        <v>15.695967335294119</v>
      </c>
      <c r="F13" s="384">
        <f>+IngresosNetos!F13/CantidadDeProducto!F13</f>
        <v>13.957863384374997</v>
      </c>
      <c r="G13" s="384">
        <f>+IngresosNetos!G13/CantidadDeProducto!G13</f>
        <v>12.897813200704224</v>
      </c>
      <c r="H13" s="384">
        <f>+IngresosNetos!H13/CantidadDeProducto!H13</f>
        <v>12.897813200704224</v>
      </c>
      <c r="I13" s="384">
        <f>+IngresosNetos!I13/CantidadDeProducto!I13</f>
        <v>11.4132988872</v>
      </c>
      <c r="J13" s="384">
        <f>+IngresosNetos!J13/CantidadDeProducto!J13</f>
        <v>12.975319944642857</v>
      </c>
      <c r="K13" s="384">
        <f>+IngresosNetos!K13/CantidadDeProducto!K13</f>
        <v>12.173395604577467</v>
      </c>
      <c r="L13" s="384">
        <f>+IngresosNetos!L13/CantidadDeProducto!L13</f>
        <v>13.070679172900762</v>
      </c>
      <c r="M13" s="384">
        <f>+IngresosNetos!M13/CantidadDeProducto!M13</f>
        <v>13.233749894117651</v>
      </c>
      <c r="N13" s="384">
        <f>+IngresosNetos!N13/CantidadDeProducto!N13</f>
        <v>13.630765012912089</v>
      </c>
      <c r="O13" s="384">
        <f>+IngresosNetos!O13/CantidadDeProducto!O13</f>
        <v>13.954586744239629</v>
      </c>
    </row>
    <row r="14" spans="2:15">
      <c r="B14" s="60" t="str">
        <f>+IngresosBrutos!B14</f>
        <v>AIN-Más de 35 t hasta 70 t</v>
      </c>
      <c r="C14" s="385">
        <f>+IngresosNetos!C14/CantidadDeProducto!C14</f>
        <v>41.298843607184331</v>
      </c>
      <c r="D14" s="385">
        <f>+IngresosNetos!D14/CantidadDeProducto!D14</f>
        <v>40.666373104205604</v>
      </c>
      <c r="E14" s="385">
        <f>+IngresosNetos!E14/CantidadDeProducto!E14</f>
        <v>40.303870283689022</v>
      </c>
      <c r="F14" s="385">
        <f>+IngresosNetos!F14/CantidadDeProducto!F14</f>
        <v>41.957058534615385</v>
      </c>
      <c r="G14" s="385">
        <f>+IngresosNetos!G14/CantidadDeProducto!G14</f>
        <v>50.368892415306121</v>
      </c>
      <c r="H14" s="385">
        <f>+IngresosNetos!H14/CantidadDeProducto!H14</f>
        <v>50.368892415306121</v>
      </c>
      <c r="I14" s="385">
        <f>+IngresosNetos!I14/CantidadDeProducto!I14</f>
        <v>52.19982870907959</v>
      </c>
      <c r="J14" s="385">
        <f>+IngresosNetos!J14/CantidadDeProducto!J14</f>
        <v>55.725341164551068</v>
      </c>
      <c r="K14" s="385">
        <f>+IngresosNetos!K14/CantidadDeProducto!K14</f>
        <v>53.896057732858864</v>
      </c>
      <c r="L14" s="385">
        <f>+IngresosNetos!L14/CantidadDeProducto!L14</f>
        <v>54.314828474257368</v>
      </c>
      <c r="M14" s="385">
        <f>+IngresosNetos!M14/CantidadDeProducto!M14</f>
        <v>60.690334208089297</v>
      </c>
      <c r="N14" s="385">
        <f>+IngresosNetos!N14/CantidadDeProducto!N14</f>
        <v>59.276180256086029</v>
      </c>
      <c r="O14" s="385">
        <f>+IngresosNetos!O14/CantidadDeProducto!O14</f>
        <v>58.475363034963458</v>
      </c>
    </row>
    <row r="15" spans="2:15">
      <c r="B15" s="53" t="str">
        <f>+IngresosBrutos!B15</f>
        <v>AIN-Más de 70 t hasta 100 t</v>
      </c>
      <c r="C15" s="384">
        <f>+IngresosNetos!C15/CantidadDeProducto!C15</f>
        <v>62.587260390544898</v>
      </c>
      <c r="D15" s="384">
        <f>+IngresosNetos!D15/CantidadDeProducto!D15</f>
        <v>62.27005974006395</v>
      </c>
      <c r="E15" s="384">
        <f>+IngresosNetos!E15/CantidadDeProducto!E15</f>
        <v>63.098898743081733</v>
      </c>
      <c r="F15" s="384">
        <f>+IngresosNetos!F15/CantidadDeProducto!F15</f>
        <v>62.888535527605022</v>
      </c>
      <c r="G15" s="384">
        <f>+IngresosNetos!G15/CantidadDeProducto!G15</f>
        <v>66.42905012445101</v>
      </c>
      <c r="H15" s="384">
        <f>+IngresosNetos!H15/CantidadDeProducto!H15</f>
        <v>66.42905012445101</v>
      </c>
      <c r="I15" s="384">
        <f>+IngresosNetos!I15/CantidadDeProducto!I15</f>
        <v>64.58519960802326</v>
      </c>
      <c r="J15" s="384">
        <f>+IngresosNetos!J15/CantidadDeProducto!J15</f>
        <v>65.494491986980393</v>
      </c>
      <c r="K15" s="384">
        <f>+IngresosNetos!K15/CantidadDeProducto!K15</f>
        <v>65.976194560865537</v>
      </c>
      <c r="L15" s="384">
        <f>+IngresosNetos!L15/CantidadDeProducto!L15</f>
        <v>70.084198742536387</v>
      </c>
      <c r="M15" s="384">
        <f>+IngresosNetos!M15/CantidadDeProducto!M15</f>
        <v>72.208053322016724</v>
      </c>
      <c r="N15" s="384">
        <f>+IngresosNetos!N15/CantidadDeProducto!N15</f>
        <v>72.792076934126058</v>
      </c>
      <c r="O15" s="384">
        <f>+IngresosNetos!O15/CantidadDeProducto!O15</f>
        <v>73.113837715823735</v>
      </c>
    </row>
    <row r="16" spans="2:15">
      <c r="B16" s="60" t="str">
        <f>+IngresosBrutos!B16</f>
        <v>AIN-Más de 100 t</v>
      </c>
      <c r="C16" s="385">
        <f>+IngresosNetos!C16/CantidadDeProducto!C16</f>
        <v>143.73211536178496</v>
      </c>
      <c r="D16" s="385">
        <f>+IngresosNetos!D16/CantidadDeProducto!D16</f>
        <v>150.12269223353562</v>
      </c>
      <c r="E16" s="385">
        <f>+IngresosNetos!E16/CantidadDeProducto!E16</f>
        <v>146.48723929657893</v>
      </c>
      <c r="F16" s="385">
        <f>+IngresosNetos!F16/CantidadDeProducto!F16</f>
        <v>154.98937546069706</v>
      </c>
      <c r="G16" s="385">
        <f>+IngresosNetos!G16/CantidadDeProducto!G16</f>
        <v>168.45148208567076</v>
      </c>
      <c r="H16" s="385">
        <f>+IngresosNetos!H16/CantidadDeProducto!H16</f>
        <v>168.45148208567076</v>
      </c>
      <c r="I16" s="385">
        <f>+IngresosNetos!I16/CantidadDeProducto!I16</f>
        <v>165.52593912634558</v>
      </c>
      <c r="J16" s="385">
        <f>+IngresosNetos!J16/CantidadDeProducto!J16</f>
        <v>167.11606696524299</v>
      </c>
      <c r="K16" s="385">
        <f>+IngresosNetos!K16/CantidadDeProducto!K16</f>
        <v>164.81775563414749</v>
      </c>
      <c r="L16" s="385">
        <f>+IngresosNetos!L16/CantidadDeProducto!L16</f>
        <v>180.80319217020028</v>
      </c>
      <c r="M16" s="385">
        <f>+IngresosNetos!M16/CantidadDeProducto!M16</f>
        <v>185.48629126813859</v>
      </c>
      <c r="N16" s="385">
        <f>+IngresosNetos!N16/CantidadDeProducto!N16</f>
        <v>193.41475312356138</v>
      </c>
      <c r="O16" s="385">
        <f>+IngresosNetos!O16/CantidadDeProducto!O16</f>
        <v>196.17949108113993</v>
      </c>
    </row>
    <row r="17" spans="2:15">
      <c r="B17" s="53" t="str">
        <f>+IngresosBrutos!B17</f>
        <v>DID-Hasta 10 t</v>
      </c>
      <c r="C17" s="384">
        <f>+IngresosNetos!C17/CantidadDeProducto!C17</f>
        <v>3.4853777772717227</v>
      </c>
      <c r="D17" s="384">
        <f>+IngresosNetos!D17/CantidadDeProducto!D17</f>
        <v>3.3722195539312039</v>
      </c>
      <c r="E17" s="384">
        <f>+IngresosNetos!E17/CantidadDeProducto!E17</f>
        <v>3.4630085452499997</v>
      </c>
      <c r="F17" s="384">
        <f>+IngresosNetos!F17/CantidadDeProducto!F17</f>
        <v>4.1106463817142851</v>
      </c>
      <c r="G17" s="384">
        <f>+IngresosNetos!G17/CantidadDeProducto!G17</f>
        <v>4.0971988647321425</v>
      </c>
      <c r="H17" s="384">
        <f>+IngresosNetos!H17/CantidadDeProducto!H17</f>
        <v>4.0971988647321425</v>
      </c>
      <c r="I17" s="384">
        <f>+IngresosNetos!I17/CantidadDeProducto!I17</f>
        <v>3.8114539166249997</v>
      </c>
      <c r="J17" s="384">
        <f>+IngresosNetos!J17/CantidadDeProducto!J17</f>
        <v>4.3765650000000003</v>
      </c>
      <c r="K17" s="384">
        <f>+IngresosNetos!K17/CantidadDeProducto!K17</f>
        <v>4.3765650000000003</v>
      </c>
      <c r="L17" s="384">
        <f>+IngresosNetos!L17/CantidadDeProducto!L17</f>
        <v>4.3997350499999994</v>
      </c>
      <c r="M17" s="384">
        <f>+IngresosNetos!M17/CantidadDeProducto!M17</f>
        <v>4.4980002131921824</v>
      </c>
      <c r="N17" s="384">
        <f>+IngresosNetos!N17/CantidadDeProducto!N17</f>
        <v>4.5387553500000006</v>
      </c>
      <c r="O17" s="384">
        <f>+IngresosNetos!O17/CantidadDeProducto!O17</f>
        <v>4.5443262909835749</v>
      </c>
    </row>
    <row r="18" spans="2:15">
      <c r="B18" s="60" t="str">
        <f>+IngresosBrutos!B18</f>
        <v>DID-Más de 10 t hasta 35 t</v>
      </c>
      <c r="C18" s="385">
        <f>+IngresosNetos!C18/CantidadDeProducto!C18</f>
        <v>11.650216449091467</v>
      </c>
      <c r="D18" s="385">
        <f>+IngresosNetos!D18/CantidadDeProducto!D18</f>
        <v>12.554609811538464</v>
      </c>
      <c r="E18" s="385">
        <f>+IngresosNetos!E18/CantidadDeProducto!E18</f>
        <v>13.309071373536584</v>
      </c>
      <c r="F18" s="385">
        <f>+IngresosNetos!F18/CantidadDeProducto!F18</f>
        <v>12.201717016666665</v>
      </c>
      <c r="G18" s="385">
        <f>+IngresosNetos!G18/CantidadDeProducto!G18</f>
        <v>10.185686119911502</v>
      </c>
      <c r="H18" s="385">
        <f>+IngresosNetos!H18/CantidadDeProducto!H18</f>
        <v>10.185686119911502</v>
      </c>
      <c r="I18" s="385">
        <f>+IngresosNetos!I18/CantidadDeProducto!I18</f>
        <v>9.1292142375000012</v>
      </c>
      <c r="J18" s="385">
        <f>+IngresosNetos!J18/CantidadDeProducto!J18</f>
        <v>11.456103565227272</v>
      </c>
      <c r="K18" s="385">
        <f>+IngresosNetos!K18/CantidadDeProducto!K18</f>
        <v>11.689023244999998</v>
      </c>
      <c r="L18" s="385">
        <f>+IngresosNetos!L18/CantidadDeProducto!L18</f>
        <v>11.019694096245058</v>
      </c>
      <c r="M18" s="385">
        <f>+IngresosNetos!M18/CantidadDeProducto!M18</f>
        <v>11.471204754380665</v>
      </c>
      <c r="N18" s="385">
        <f>+IngresosNetos!N18/CantidadDeProducto!N18</f>
        <v>12.080836486607144</v>
      </c>
      <c r="O18" s="385">
        <f>+IngresosNetos!O18/CantidadDeProducto!O18</f>
        <v>11.617760722027983</v>
      </c>
    </row>
    <row r="19" spans="2:15">
      <c r="B19" s="53" t="str">
        <f>+IngresosBrutos!B19</f>
        <v>DID-Más de 35 t hasta 70 t</v>
      </c>
      <c r="C19" s="384">
        <f>+IngresosNetos!C19/CantidadDeProducto!C19</f>
        <v>36.648608124280337</v>
      </c>
      <c r="D19" s="384">
        <f>+IngresosNetos!D19/CantidadDeProducto!D19</f>
        <v>35.258388945209056</v>
      </c>
      <c r="E19" s="384">
        <f>+IngresosNetos!E19/CantidadDeProducto!E19</f>
        <v>36.588164698421053</v>
      </c>
      <c r="F19" s="384">
        <f>+IngresosNetos!F19/CantidadDeProducto!F19</f>
        <v>37.169490956847127</v>
      </c>
      <c r="G19" s="384">
        <f>+IngresosNetos!G19/CantidadDeProducto!G19</f>
        <v>43.688120118623026</v>
      </c>
      <c r="H19" s="384">
        <f>+IngresosNetos!H19/CantidadDeProducto!H19</f>
        <v>43.688120118623026</v>
      </c>
      <c r="I19" s="384">
        <f>+IngresosNetos!I19/CantidadDeProducto!I19</f>
        <v>44.662021549341894</v>
      </c>
      <c r="J19" s="384">
        <f>+IngresosNetos!J19/CantidadDeProducto!J19</f>
        <v>49.388414893548386</v>
      </c>
      <c r="K19" s="384">
        <f>+IngresosNetos!K19/CantidadDeProducto!K19</f>
        <v>43.295056273606953</v>
      </c>
      <c r="L19" s="384">
        <f>+IngresosNetos!L19/CantidadDeProducto!L19</f>
        <v>45.752857601450039</v>
      </c>
      <c r="M19" s="384">
        <f>+IngresosNetos!M19/CantidadDeProducto!M19</f>
        <v>52.696333734465966</v>
      </c>
      <c r="N19" s="384">
        <f>+IngresosNetos!N19/CantidadDeProducto!N19</f>
        <v>52.060082687223499</v>
      </c>
      <c r="O19" s="384">
        <f>+IngresosNetos!O19/CantidadDeProducto!O19</f>
        <v>52.841164818469373</v>
      </c>
    </row>
    <row r="20" spans="2:15">
      <c r="B20" s="60" t="str">
        <f>+IngresosBrutos!B20</f>
        <v>DID-Más de 70 t hasta 100 t</v>
      </c>
      <c r="C20" s="385">
        <f>+IngresosNetos!C20/CantidadDeProducto!C20</f>
        <v>53.94827511160554</v>
      </c>
      <c r="D20" s="385">
        <f>+IngresosNetos!D20/CantidadDeProducto!D20</f>
        <v>54.134058337016121</v>
      </c>
      <c r="E20" s="385">
        <f>+IngresosNetos!E20/CantidadDeProducto!E20</f>
        <v>53.802371578407708</v>
      </c>
      <c r="F20" s="385">
        <f>+IngresosNetos!F20/CantidadDeProducto!F20</f>
        <v>53.53254448617426</v>
      </c>
      <c r="G20" s="385">
        <f>+IngresosNetos!G20/CantidadDeProducto!G20</f>
        <v>56.205234200790123</v>
      </c>
      <c r="H20" s="385">
        <f>+IngresosNetos!H20/CantidadDeProducto!H20</f>
        <v>56.205234200790123</v>
      </c>
      <c r="I20" s="385">
        <f>+IngresosNetos!I20/CantidadDeProducto!I20</f>
        <v>54.848916467427529</v>
      </c>
      <c r="J20" s="385">
        <f>+IngresosNetos!J20/CantidadDeProducto!J20</f>
        <v>58.946151319020771</v>
      </c>
      <c r="K20" s="385">
        <f>+IngresosNetos!K20/CantidadDeProducto!K20</f>
        <v>60.104510071147075</v>
      </c>
      <c r="L20" s="385">
        <f>+IngresosNetos!L20/CantidadDeProducto!L20</f>
        <v>60.819801375691831</v>
      </c>
      <c r="M20" s="385">
        <f>+IngresosNetos!M20/CantidadDeProducto!M20</f>
        <v>62.232983696528969</v>
      </c>
      <c r="N20" s="385">
        <f>+IngresosNetos!N20/CantidadDeProducto!N20</f>
        <v>63.048539641052948</v>
      </c>
      <c r="O20" s="385">
        <f>+IngresosNetos!O20/CantidadDeProducto!O20</f>
        <v>64.194301820470727</v>
      </c>
    </row>
    <row r="21" spans="2:15">
      <c r="B21" s="53" t="str">
        <f>+IngresosBrutos!B21</f>
        <v>DID-Más de 100 t</v>
      </c>
      <c r="C21" s="384">
        <f>+IngresosNetos!C21/CantidadDeProducto!C21</f>
        <v>128.37601304630371</v>
      </c>
      <c r="D21" s="384">
        <f>+IngresosNetos!D21/CantidadDeProducto!D21</f>
        <v>126.5144888787037</v>
      </c>
      <c r="E21" s="384">
        <f>+IngresosNetos!E21/CantidadDeProducto!E21</f>
        <v>131.46910457278364</v>
      </c>
      <c r="F21" s="384">
        <f>+IngresosNetos!F21/CantidadDeProducto!F21</f>
        <v>134.17762869477676</v>
      </c>
      <c r="G21" s="384">
        <f>+IngresosNetos!G21/CantidadDeProducto!G21</f>
        <v>127.63145645189468</v>
      </c>
      <c r="H21" s="384">
        <f>+IngresosNetos!H21/CantidadDeProducto!H21</f>
        <v>127.63145645189468</v>
      </c>
      <c r="I21" s="384">
        <f>+IngresosNetos!I21/CantidadDeProducto!I21</f>
        <v>145.53939810763063</v>
      </c>
      <c r="J21" s="384">
        <f>+IngresosNetos!J21/CantidadDeProducto!J21</f>
        <v>154.07354827761426</v>
      </c>
      <c r="K21" s="384">
        <f>+IngresosNetos!K21/CantidadDeProducto!K21</f>
        <v>147.15070158058947</v>
      </c>
      <c r="L21" s="384">
        <f>+IngresosNetos!L21/CantidadDeProducto!L21</f>
        <v>154.44848705307314</v>
      </c>
      <c r="M21" s="384">
        <f>+IngresosNetos!M21/CantidadDeProducto!M21</f>
        <v>156.84509674201891</v>
      </c>
      <c r="N21" s="384">
        <f>+IngresosNetos!N21/CantidadDeProducto!N21</f>
        <v>160.90830408187841</v>
      </c>
      <c r="O21" s="384">
        <f>+IngresosNetos!O21/CantidadDeProducto!O21</f>
        <v>170.44621061919682</v>
      </c>
    </row>
    <row r="22" spans="2:15">
      <c r="B22" s="60" t="str">
        <f>+IngresosBrutos!B22</f>
        <v>DIN-Hasta 10 t</v>
      </c>
      <c r="C22" s="385">
        <f>+IngresosNetos!C22/CantidadDeProducto!C22</f>
        <v>3.819200967576585</v>
      </c>
      <c r="D22" s="385">
        <f>+IngresosNetos!D22/CantidadDeProducto!D22</f>
        <v>3.9989129884615382</v>
      </c>
      <c r="E22" s="385">
        <f>+IngresosNetos!E22/CantidadDeProducto!E22</f>
        <v>3.3042717851351346</v>
      </c>
      <c r="F22" s="385">
        <f>+IngresosNetos!F22/CantidadDeProducto!F22</f>
        <v>4.7781791999999994</v>
      </c>
      <c r="G22" s="385">
        <f>+IngresosNetos!G22/CantidadDeProducto!G22</f>
        <v>4.5339543486486482</v>
      </c>
      <c r="H22" s="385">
        <f>+IngresosNetos!H22/CantidadDeProducto!H22</f>
        <v>4.5339543486486482</v>
      </c>
      <c r="I22" s="385">
        <f>+IngresosNetos!I22/CantidadDeProducto!I22</f>
        <v>4.826771943749999</v>
      </c>
      <c r="J22" s="385">
        <f>+IngresosNetos!J22/CantidadDeProducto!J22</f>
        <v>5.0330497499999991</v>
      </c>
      <c r="K22" s="385">
        <f>+IngresosNetos!K22/CantidadDeProducto!K22</f>
        <v>5.0330497499999991</v>
      </c>
      <c r="L22" s="385">
        <f>+IngresosNetos!L22/CantidadDeProducto!L22</f>
        <v>5.0587942499999992</v>
      </c>
      <c r="M22" s="385">
        <f>+IngresosNetos!M22/CantidadDeProducto!M22</f>
        <v>5.1721195586538462</v>
      </c>
      <c r="N22" s="385">
        <f>+IngresosNetos!N22/CantidadDeProducto!N22</f>
        <v>5.2184101499999995</v>
      </c>
      <c r="O22" s="385">
        <f>+IngresosNetos!O22/CantidadDeProducto!O22</f>
        <v>5.2184101499999969</v>
      </c>
    </row>
    <row r="23" spans="2:15">
      <c r="B23" s="53" t="str">
        <f>+IngresosBrutos!B23</f>
        <v>DIN-Más de 10 t hasta 35 t</v>
      </c>
      <c r="C23" s="384">
        <f>+IngresosNetos!C23/CantidadDeProducto!C23</f>
        <v>10.408339707343004</v>
      </c>
      <c r="D23" s="384">
        <f>+IngresosNetos!D23/CantidadDeProducto!D23</f>
        <v>12.491660474999998</v>
      </c>
      <c r="E23" s="384">
        <f>+IngresosNetos!E23/CantidadDeProducto!E23</f>
        <v>13.137750537096775</v>
      </c>
      <c r="F23" s="384">
        <f>+IngresosNetos!F23/CantidadDeProducto!F23</f>
        <v>12.043139183035715</v>
      </c>
      <c r="G23" s="384">
        <f>+IngresosNetos!G23/CantidadDeProducto!G23</f>
        <v>12.240688117021275</v>
      </c>
      <c r="H23" s="384">
        <f>+IngresosNetos!H23/CantidadDeProducto!H23</f>
        <v>12.240688117021275</v>
      </c>
      <c r="I23" s="384">
        <f>+IngresosNetos!I23/CantidadDeProducto!I23</f>
        <v>12.403337036538463</v>
      </c>
      <c r="J23" s="384">
        <f>+IngresosNetos!J23/CantidadDeProducto!J23</f>
        <v>13.928903026027394</v>
      </c>
      <c r="K23" s="384">
        <f>+IngresosNetos!K23/CantidadDeProducto!K23</f>
        <v>13.086428870149252</v>
      </c>
      <c r="L23" s="384">
        <f>+IngresosNetos!L23/CantidadDeProducto!L23</f>
        <v>14.129112835714288</v>
      </c>
      <c r="M23" s="384">
        <f>+IngresosNetos!M23/CantidadDeProducto!M23</f>
        <v>14.557545545294118</v>
      </c>
      <c r="N23" s="384">
        <f>+IngresosNetos!N23/CantidadDeProducto!N23</f>
        <v>12.651104745000001</v>
      </c>
      <c r="O23" s="384">
        <f>+IngresosNetos!O23/CantidadDeProducto!O23</f>
        <v>14.259878550000005</v>
      </c>
    </row>
    <row r="24" spans="2:15">
      <c r="B24" s="60" t="str">
        <f>+IngresosBrutos!B24</f>
        <v>DIN-Más de 35 t hasta 70 t</v>
      </c>
      <c r="C24" s="385">
        <f>+IngresosNetos!C24/CantidadDeProducto!C24</f>
        <v>38.532367723884128</v>
      </c>
      <c r="D24" s="385">
        <f>+IngresosNetos!D24/CantidadDeProducto!D24</f>
        <v>41.55289531505791</v>
      </c>
      <c r="E24" s="385">
        <f>+IngresosNetos!E24/CantidadDeProducto!E24</f>
        <v>40.599135010227272</v>
      </c>
      <c r="F24" s="385">
        <f>+IngresosNetos!F24/CantidadDeProducto!F24</f>
        <v>41.744282972222223</v>
      </c>
      <c r="G24" s="385">
        <f>+IngresosNetos!G24/CantidadDeProducto!G24</f>
        <v>40.203622591071429</v>
      </c>
      <c r="H24" s="385">
        <f>+IngresosNetos!H24/CantidadDeProducto!H24</f>
        <v>40.203622591071429</v>
      </c>
      <c r="I24" s="385">
        <f>+IngresosNetos!I24/CantidadDeProducto!I24</f>
        <v>52.695357308728447</v>
      </c>
      <c r="J24" s="385">
        <f>+IngresosNetos!J24/CantidadDeProducto!J24</f>
        <v>54.733792672290207</v>
      </c>
      <c r="K24" s="385">
        <f>+IngresosNetos!K24/CantidadDeProducto!K24</f>
        <v>55.013404032853799</v>
      </c>
      <c r="L24" s="385">
        <f>+IngresosNetos!L24/CantidadDeProducto!L24</f>
        <v>55.982951126236721</v>
      </c>
      <c r="M24" s="385">
        <f>+IngresosNetos!M24/CantidadDeProducto!M24</f>
        <v>61.061942012101824</v>
      </c>
      <c r="N24" s="385">
        <f>+IngresosNetos!N24/CantidadDeProducto!N24</f>
        <v>59.936000876019598</v>
      </c>
      <c r="O24" s="385">
        <f>+IngresosNetos!O24/CantidadDeProducto!O24</f>
        <v>57.487445348472185</v>
      </c>
    </row>
    <row r="25" spans="2:15">
      <c r="B25" s="53" t="str">
        <f>+IngresosBrutos!B25</f>
        <v>DIN-Más de 70 t hasta 100 t</v>
      </c>
      <c r="C25" s="384">
        <f>+IngresosNetos!C25/CantidadDeProducto!C25</f>
        <v>61.758499509797126</v>
      </c>
      <c r="D25" s="384">
        <f>+IngresosNetos!D25/CantidadDeProducto!D25</f>
        <v>62.093083906299803</v>
      </c>
      <c r="E25" s="384">
        <f>+IngresosNetos!E25/CantidadDeProducto!E25</f>
        <v>63.198510690857141</v>
      </c>
      <c r="F25" s="384">
        <f>+IngresosNetos!F25/CantidadDeProducto!F25</f>
        <v>63.877330588095219</v>
      </c>
      <c r="G25" s="384">
        <f>+IngresosNetos!G25/CantidadDeProducto!G25</f>
        <v>67.571664674266728</v>
      </c>
      <c r="H25" s="384">
        <f>+IngresosNetos!H25/CantidadDeProducto!H25</f>
        <v>67.571664674266728</v>
      </c>
      <c r="I25" s="384">
        <f>+IngresosNetos!I25/CantidadDeProducto!I25</f>
        <v>65.937462953538571</v>
      </c>
      <c r="J25" s="384">
        <f>+IngresosNetos!J25/CantidadDeProducto!J25</f>
        <v>66.379439478514712</v>
      </c>
      <c r="K25" s="384">
        <f>+IngresosNetos!K25/CantidadDeProducto!K25</f>
        <v>66.214636904131183</v>
      </c>
      <c r="L25" s="384">
        <f>+IngresosNetos!L25/CantidadDeProducto!L25</f>
        <v>69.958261324987717</v>
      </c>
      <c r="M25" s="384">
        <f>+IngresosNetos!M25/CantidadDeProducto!M25</f>
        <v>72.705697801665224</v>
      </c>
      <c r="N25" s="384">
        <f>+IngresosNetos!N25/CantidadDeProducto!N25</f>
        <v>73.105385559155309</v>
      </c>
      <c r="O25" s="384">
        <f>+IngresosNetos!O25/CantidadDeProducto!O25</f>
        <v>73.166203901772363</v>
      </c>
    </row>
    <row r="26" spans="2:15">
      <c r="B26" s="60" t="str">
        <f>+IngresosBrutos!B26</f>
        <v>DIN-Más de 100 t</v>
      </c>
      <c r="C26" s="385">
        <f>+IngresosNetos!C26/CantidadDeProducto!C26</f>
        <v>150.72928392022166</v>
      </c>
      <c r="D26" s="385">
        <f>+IngresosNetos!D26/CantidadDeProducto!D26</f>
        <v>157.17465458889788</v>
      </c>
      <c r="E26" s="385">
        <f>+IngresosNetos!E26/CantidadDeProducto!E26</f>
        <v>161.08890459303316</v>
      </c>
      <c r="F26" s="385">
        <f>+IngresosNetos!F26/CantidadDeProducto!F26</f>
        <v>144.4258418243754</v>
      </c>
      <c r="G26" s="385">
        <f>+IngresosNetos!G26/CantidadDeProducto!G26</f>
        <v>175.22823682309468</v>
      </c>
      <c r="H26" s="385">
        <f>+IngresosNetos!H26/CantidadDeProducto!H26</f>
        <v>175.22823682309468</v>
      </c>
      <c r="I26" s="385">
        <f>+IngresosNetos!I26/CantidadDeProducto!I26</f>
        <v>206.63050973174288</v>
      </c>
      <c r="J26" s="385">
        <f>+IngresosNetos!J26/CantidadDeProducto!J26</f>
        <v>178.89500178352048</v>
      </c>
      <c r="K26" s="385">
        <f>+IngresosNetos!K26/CantidadDeProducto!K26</f>
        <v>184.06671370839911</v>
      </c>
      <c r="L26" s="385">
        <f>+IngresosNetos!L26/CantidadDeProducto!L26</f>
        <v>193.03669225314795</v>
      </c>
      <c r="M26" s="385">
        <f>+IngresosNetos!M26/CantidadDeProducto!M26</f>
        <v>203.08109186211425</v>
      </c>
      <c r="N26" s="385">
        <f>+IngresosNetos!N26/CantidadDeProducto!N26</f>
        <v>207.8204318962888</v>
      </c>
      <c r="O26" s="385">
        <f>+IngresosNetos!O26/CantidadDeProducto!O26</f>
        <v>202.60268749661557</v>
      </c>
    </row>
    <row r="27" spans="2:15">
      <c r="B27" s="53" t="str">
        <f>+IngresosBrutos!B27</f>
        <v>AND-Hasta 10 t</v>
      </c>
      <c r="C27" s="384">
        <f>+IngresosNetos!C27/CantidadDeProducto!C27</f>
        <v>0.6061004263734624</v>
      </c>
      <c r="D27" s="384">
        <f>+IngresosNetos!D27/CantidadDeProducto!D27</f>
        <v>0.69985220569842732</v>
      </c>
      <c r="E27" s="384">
        <f>+IngresosNetos!E27/CantidadDeProducto!E27</f>
        <v>0.79836801594827578</v>
      </c>
      <c r="F27" s="384">
        <f>+IngresosNetos!F27/CantidadDeProducto!F27</f>
        <v>1.4539870190583069</v>
      </c>
      <c r="G27" s="384">
        <f>+IngresosNetos!G27/CantidadDeProducto!G27</f>
        <v>1.4356430937726976</v>
      </c>
      <c r="H27" s="384">
        <f>+IngresosNetos!H27/CantidadDeProducto!H27</f>
        <v>1.4356430937726976</v>
      </c>
      <c r="I27" s="384">
        <f>+IngresosNetos!I27/CantidadDeProducto!I27</f>
        <v>1.6553138637898888</v>
      </c>
      <c r="J27" s="384">
        <f>+IngresosNetos!J27/CantidadDeProducto!J27</f>
        <v>1.3794872608287192</v>
      </c>
      <c r="K27" s="384">
        <f>+IngresosNetos!K27/CantidadDeProducto!K27</f>
        <v>1.6967724131292337</v>
      </c>
      <c r="L27" s="384">
        <f>+IngresosNetos!L27/CantidadDeProducto!L27</f>
        <v>1.7339110112555673</v>
      </c>
      <c r="M27" s="384">
        <f>+IngresosNetos!M27/CantidadDeProducto!M27</f>
        <v>1.7208684370764242</v>
      </c>
      <c r="N27" s="384">
        <f>+IngresosNetos!N27/CantidadDeProducto!N27</f>
        <v>1.7214276924095344</v>
      </c>
      <c r="O27" s="384">
        <f>+IngresosNetos!O27/CantidadDeProducto!O27</f>
        <v>1.6844449888309903</v>
      </c>
    </row>
    <row r="28" spans="2:15">
      <c r="B28" s="60" t="str">
        <f>+IngresosBrutos!B28</f>
        <v>AND-Más de 10 t hasta 35 t</v>
      </c>
      <c r="C28" s="385">
        <f>+IngresosNetos!C28/CantidadDeProducto!C28</f>
        <v>3.2183831703586208</v>
      </c>
      <c r="D28" s="385">
        <f>+IngresosNetos!D28/CantidadDeProducto!D28</f>
        <v>3.1847272513139453</v>
      </c>
      <c r="E28" s="385">
        <f>+IngresosNetos!E28/CantidadDeProducto!E28</f>
        <v>3.148406753010164</v>
      </c>
      <c r="F28" s="385">
        <f>+IngresosNetos!F28/CantidadDeProducto!F28</f>
        <v>3.1474440738050529</v>
      </c>
      <c r="G28" s="385">
        <f>+IngresosNetos!G28/CantidadDeProducto!G28</f>
        <v>4.3933527121794871</v>
      </c>
      <c r="H28" s="385">
        <f>+IngresosNetos!H28/CantidadDeProducto!H28</f>
        <v>4.3933527121794871</v>
      </c>
      <c r="I28" s="385">
        <f>+IngresosNetos!I28/CantidadDeProducto!I28</f>
        <v>5.0723854498684879</v>
      </c>
      <c r="J28" s="385">
        <f>+IngresosNetos!J28/CantidadDeProducto!J28</f>
        <v>5.1025433129396101</v>
      </c>
      <c r="K28" s="385">
        <f>+IngresosNetos!K28/CantidadDeProducto!K28</f>
        <v>5.3394822995274174</v>
      </c>
      <c r="L28" s="385">
        <f>+IngresosNetos!L28/CantidadDeProducto!L28</f>
        <v>5.3589391738938055</v>
      </c>
      <c r="M28" s="385">
        <f>+IngresosNetos!M28/CantidadDeProducto!M28</f>
        <v>5.6873430806113658</v>
      </c>
      <c r="N28" s="385">
        <f>+IngresosNetos!N28/CantidadDeProducto!N28</f>
        <v>5.8542006546581433</v>
      </c>
      <c r="O28" s="385">
        <f>+IngresosNetos!O28/CantidadDeProducto!O28</f>
        <v>5.1765609344067416</v>
      </c>
    </row>
    <row r="29" spans="2:15">
      <c r="B29" s="53" t="str">
        <f>+IngresosBrutos!B29</f>
        <v>AND-Más de 35 t hasta 70 t</v>
      </c>
      <c r="C29" s="384">
        <f>+IngresosNetos!C29/CantidadDeProducto!C29</f>
        <v>8.5920834367905226</v>
      </c>
      <c r="D29" s="384">
        <f>+IngresosNetos!D29/CantidadDeProducto!D29</f>
        <v>8.4663288159792405</v>
      </c>
      <c r="E29" s="384">
        <f>+IngresosNetos!E29/CantidadDeProducto!E29</f>
        <v>8.6604827441748853</v>
      </c>
      <c r="F29" s="384">
        <f>+IngresosNetos!F29/CantidadDeProducto!F29</f>
        <v>8.9442597673755184</v>
      </c>
      <c r="G29" s="384">
        <f>+IngresosNetos!G29/CantidadDeProducto!G29</f>
        <v>13.779986998472047</v>
      </c>
      <c r="H29" s="384">
        <f>+IngresosNetos!H29/CantidadDeProducto!H29</f>
        <v>13.779986998472047</v>
      </c>
      <c r="I29" s="384">
        <f>+IngresosNetos!I29/CantidadDeProducto!I29</f>
        <v>16.576407477599172</v>
      </c>
      <c r="J29" s="384">
        <f>+IngresosNetos!J29/CantidadDeProducto!J29</f>
        <v>18.693546506430298</v>
      </c>
      <c r="K29" s="384">
        <f>+IngresosNetos!K29/CantidadDeProducto!K29</f>
        <v>19.176735664851869</v>
      </c>
      <c r="L29" s="384">
        <f>+IngresosNetos!L29/CantidadDeProducto!L29</f>
        <v>19.067674128548727</v>
      </c>
      <c r="M29" s="384">
        <f>+IngresosNetos!M29/CantidadDeProducto!M29</f>
        <v>19.019076911477306</v>
      </c>
      <c r="N29" s="384">
        <f>+IngresosNetos!N29/CantidadDeProducto!N29</f>
        <v>18.577517905099572</v>
      </c>
      <c r="O29" s="384">
        <f>+IngresosNetos!O29/CantidadDeProducto!O29</f>
        <v>19.032195151256353</v>
      </c>
    </row>
    <row r="30" spans="2:15">
      <c r="B30" s="60" t="str">
        <f>+IngresosBrutos!B30</f>
        <v>AND-Más de 70 t hasta 100 t</v>
      </c>
      <c r="C30" s="385">
        <f>+IngresosNetos!C30/CantidadDeProducto!C30</f>
        <v>12.930613894955293</v>
      </c>
      <c r="D30" s="385">
        <f>+IngresosNetos!D30/CantidadDeProducto!D30</f>
        <v>13.093389771463677</v>
      </c>
      <c r="E30" s="385">
        <f>+IngresosNetos!E30/CantidadDeProducto!E30</f>
        <v>13.187227931891595</v>
      </c>
      <c r="F30" s="385">
        <f>+IngresosNetos!F30/CantidadDeProducto!F30</f>
        <v>13.393626512363175</v>
      </c>
      <c r="G30" s="385">
        <f>+IngresosNetos!G30/CantidadDeProducto!G30</f>
        <v>19.379933579184222</v>
      </c>
      <c r="H30" s="385">
        <f>+IngresosNetos!H30/CantidadDeProducto!H30</f>
        <v>19.379933579184222</v>
      </c>
      <c r="I30" s="385">
        <f>+IngresosNetos!I30/CantidadDeProducto!I30</f>
        <v>21.711980230598702</v>
      </c>
      <c r="J30" s="385">
        <f>+IngresosNetos!J30/CantidadDeProducto!J30</f>
        <v>19.674666594488816</v>
      </c>
      <c r="K30" s="385">
        <f>+IngresosNetos!K30/CantidadDeProducto!K30</f>
        <v>22.289233788068184</v>
      </c>
      <c r="L30" s="385">
        <f>+IngresosNetos!L30/CantidadDeProducto!L30</f>
        <v>23.194518245667613</v>
      </c>
      <c r="M30" s="385">
        <f>+IngresosNetos!M30/CantidadDeProducto!M30</f>
        <v>23.666066515150064</v>
      </c>
      <c r="N30" s="385">
        <f>+IngresosNetos!N30/CantidadDeProducto!N30</f>
        <v>24.508148370652194</v>
      </c>
      <c r="O30" s="385">
        <f>+IngresosNetos!O30/CantidadDeProducto!O30</f>
        <v>24.915296701751039</v>
      </c>
    </row>
    <row r="31" spans="2:15">
      <c r="B31" s="53" t="str">
        <f>+IngresosBrutos!B31</f>
        <v>AND-Más de 100 t</v>
      </c>
      <c r="C31" s="384">
        <f>+IngresosNetos!C31/CantidadDeProducto!C31</f>
        <v>27.661212267859078</v>
      </c>
      <c r="D31" s="384">
        <f>+IngresosNetos!D31/CantidadDeProducto!D31</f>
        <v>33.023255575423725</v>
      </c>
      <c r="E31" s="384">
        <f>+IngresosNetos!E31/CantidadDeProducto!E31</f>
        <v>34.383682604347825</v>
      </c>
      <c r="F31" s="384">
        <f>+IngresosNetos!F31/CantidadDeProducto!F31</f>
        <v>21.867302580882352</v>
      </c>
      <c r="G31" s="384">
        <f>+IngresosNetos!G31/CantidadDeProducto!G31</f>
        <v>52.225453603124997</v>
      </c>
      <c r="H31" s="384">
        <f>+IngresosNetos!H31/CantidadDeProducto!H31</f>
        <v>52.225453603124997</v>
      </c>
      <c r="I31" s="384">
        <f>+IngresosNetos!I31/CantidadDeProducto!I31</f>
        <v>79.392995468181823</v>
      </c>
      <c r="J31" s="384">
        <f>+IngresosNetos!J31/CantidadDeProducto!J31</f>
        <v>22.644511138636357</v>
      </c>
      <c r="K31" s="384">
        <f>+IngresosNetos!K31/CantidadDeProducto!K31</f>
        <v>76.082720850000001</v>
      </c>
      <c r="L31" s="384">
        <f>+IngresosNetos!L31/CantidadDeProducto!L31</f>
        <v>62.004770100000002</v>
      </c>
      <c r="M31" s="384">
        <f>+IngresosNetos!M31/CantidadDeProducto!M31</f>
        <v>58.397107499999997</v>
      </c>
      <c r="N31" s="384">
        <f>+IngresosNetos!N31/CantidadDeProducto!N31</f>
        <v>75.483609557142856</v>
      </c>
      <c r="O31" s="384">
        <f>+IngresosNetos!O31/CantidadDeProducto!O31</f>
        <v>18.14729805</v>
      </c>
    </row>
    <row r="32" spans="2:15">
      <c r="B32" s="60" t="str">
        <f>+IngresosBrutos!B32</f>
        <v>ANN-Hasta 10 t</v>
      </c>
      <c r="C32" s="385">
        <f>+IngresosNetos!C32/CantidadDeProducto!C32</f>
        <v>0.7652433344483901</v>
      </c>
      <c r="D32" s="385">
        <f>+IngresosNetos!D32/CantidadDeProducto!D32</f>
        <v>0.85594294546874994</v>
      </c>
      <c r="E32" s="385">
        <f>+IngresosNetos!E32/CantidadDeProducto!E32</f>
        <v>0.94499282965909093</v>
      </c>
      <c r="F32" s="385">
        <f>+IngresosNetos!F32/CantidadDeProducto!F32</f>
        <v>1.6708180499999998</v>
      </c>
      <c r="G32" s="385">
        <f>+IngresosNetos!G32/CantidadDeProducto!G32</f>
        <v>1.6607251927996445</v>
      </c>
      <c r="H32" s="385">
        <f>+IngresosNetos!H32/CantidadDeProducto!H32</f>
        <v>1.6607251927996445</v>
      </c>
      <c r="I32" s="385">
        <f>+IngresosNetos!I32/CantidadDeProducto!I32</f>
        <v>1.8874675480318512</v>
      </c>
      <c r="J32" s="385">
        <f>+IngresosNetos!J32/CantidadDeProducto!J32</f>
        <v>1.9875101563162987</v>
      </c>
      <c r="K32" s="385">
        <f>+IngresosNetos!K32/CantidadDeProducto!K32</f>
        <v>1.9978442893491142</v>
      </c>
      <c r="L32" s="385">
        <f>+IngresosNetos!L32/CantidadDeProducto!L32</f>
        <v>2.0097604828125024</v>
      </c>
      <c r="M32" s="385">
        <f>+IngresosNetos!M32/CantidadDeProducto!M32</f>
        <v>1.9993755195938536</v>
      </c>
      <c r="N32" s="385">
        <f>+IngresosNetos!N32/CantidadDeProducto!N32</f>
        <v>1.9926943530612238</v>
      </c>
      <c r="O32" s="385">
        <f>+IngresosNetos!O32/CantidadDeProducto!O32</f>
        <v>1.993482450000011</v>
      </c>
    </row>
    <row r="33" spans="2:15">
      <c r="B33" s="53" t="str">
        <f>+IngresosBrutos!B33</f>
        <v>ANN-Más de 10 t hasta 35 t</v>
      </c>
      <c r="C33" s="384">
        <f>+IngresosNetos!C33/CantidadDeProducto!C33</f>
        <v>4.0944964816578215</v>
      </c>
      <c r="D33" s="384">
        <f>+IngresosNetos!D33/CantidadDeProducto!D33</f>
        <v>3.8715640433147631</v>
      </c>
      <c r="E33" s="384">
        <f>+IngresosNetos!E33/CantidadDeProducto!E33</f>
        <v>3.5894013673765728</v>
      </c>
      <c r="F33" s="384">
        <f>+IngresosNetos!F33/CantidadDeProducto!F33</f>
        <v>3.6556628745497632</v>
      </c>
      <c r="G33" s="384">
        <f>+IngresosNetos!G33/CantidadDeProducto!G33</f>
        <v>5.0104270240157476</v>
      </c>
      <c r="H33" s="384">
        <f>+IngresosNetos!H33/CantidadDeProducto!H33</f>
        <v>5.0104270240157476</v>
      </c>
      <c r="I33" s="384">
        <f>+IngresosNetos!I33/CantidadDeProducto!I33</f>
        <v>5.8171846817555934</v>
      </c>
      <c r="J33" s="384">
        <f>+IngresosNetos!J33/CantidadDeProducto!J33</f>
        <v>6.0691321147773278</v>
      </c>
      <c r="K33" s="384">
        <f>+IngresosNetos!K33/CantidadDeProducto!K33</f>
        <v>6.2823485583529406</v>
      </c>
      <c r="L33" s="384">
        <f>+IngresosNetos!L33/CantidadDeProducto!L33</f>
        <v>6.4738285160472966</v>
      </c>
      <c r="M33" s="384">
        <f>+IngresosNetos!M33/CantidadDeProducto!M33</f>
        <v>7.003931417821784</v>
      </c>
      <c r="N33" s="384">
        <f>+IngresosNetos!N33/CantidadDeProducto!N33</f>
        <v>6.9508339397802192</v>
      </c>
      <c r="O33" s="384">
        <f>+IngresosNetos!O33/CantidadDeProducto!O33</f>
        <v>6.1002985112582859</v>
      </c>
    </row>
    <row r="34" spans="2:15">
      <c r="B34" s="60" t="str">
        <f>+IngresosBrutos!B34</f>
        <v>ANN-Más de 35 t hasta 70 t</v>
      </c>
      <c r="C34" s="385">
        <f>+IngresosNetos!C34/CantidadDeProducto!C34</f>
        <v>9.7640381469445163</v>
      </c>
      <c r="D34" s="385">
        <f>+IngresosNetos!D34/CantidadDeProducto!D34</f>
        <v>9.6838941599555319</v>
      </c>
      <c r="E34" s="385">
        <f>+IngresosNetos!E34/CantidadDeProducto!E34</f>
        <v>9.9029905483920349</v>
      </c>
      <c r="F34" s="385">
        <f>+IngresosNetos!F34/CantidadDeProducto!F34</f>
        <v>10.234780563201094</v>
      </c>
      <c r="G34" s="385">
        <f>+IngresosNetos!G34/CantidadDeProducto!G34</f>
        <v>16.180459227404842</v>
      </c>
      <c r="H34" s="385">
        <f>+IngresosNetos!H34/CantidadDeProducto!H34</f>
        <v>16.180459227404842</v>
      </c>
      <c r="I34" s="385">
        <f>+IngresosNetos!I34/CantidadDeProducto!I34</f>
        <v>20.160570347218822</v>
      </c>
      <c r="J34" s="385">
        <f>+IngresosNetos!J34/CantidadDeProducto!J34</f>
        <v>22.24541791954422</v>
      </c>
      <c r="K34" s="385">
        <f>+IngresosNetos!K34/CantidadDeProducto!K34</f>
        <v>22.839783742821282</v>
      </c>
      <c r="L34" s="385">
        <f>+IngresosNetos!L34/CantidadDeProducto!L34</f>
        <v>23.06232436815958</v>
      </c>
      <c r="M34" s="385">
        <f>+IngresosNetos!M34/CantidadDeProducto!M34</f>
        <v>23.077124394831028</v>
      </c>
      <c r="N34" s="385">
        <f>+IngresosNetos!N34/CantidadDeProducto!N34</f>
        <v>22.212340680093824</v>
      </c>
      <c r="O34" s="385">
        <f>+IngresosNetos!O34/CantidadDeProducto!O34</f>
        <v>22.576827405962035</v>
      </c>
    </row>
    <row r="35" spans="2:15">
      <c r="B35" s="53" t="str">
        <f>+IngresosBrutos!B35</f>
        <v>ANN-Más de 70 t hasta 100 t</v>
      </c>
      <c r="C35" s="384">
        <f>+IngresosNetos!C35/CantidadDeProducto!C35</f>
        <v>14.822885476721032</v>
      </c>
      <c r="D35" s="384">
        <f>+IngresosNetos!D35/CantidadDeProducto!D35</f>
        <v>15.097589531872057</v>
      </c>
      <c r="E35" s="384">
        <f>+IngresosNetos!E35/CantidadDeProducto!E35</f>
        <v>15.258639770941556</v>
      </c>
      <c r="F35" s="384">
        <f>+IngresosNetos!F35/CantidadDeProducto!F35</f>
        <v>15.441046380666666</v>
      </c>
      <c r="G35" s="384">
        <f>+IngresosNetos!G35/CantidadDeProducto!G35</f>
        <v>22.316759812085806</v>
      </c>
      <c r="H35" s="384">
        <f>+IngresosNetos!H35/CantidadDeProducto!H35</f>
        <v>22.316759812085806</v>
      </c>
      <c r="I35" s="384">
        <f>+IngresosNetos!I35/CantidadDeProducto!I35</f>
        <v>24.999155449328434</v>
      </c>
      <c r="J35" s="384">
        <f>+IngresosNetos!J35/CantidadDeProducto!J35</f>
        <v>25.303105257534245</v>
      </c>
      <c r="K35" s="384">
        <f>+IngresosNetos!K35/CantidadDeProducto!K35</f>
        <v>25.120968210000004</v>
      </c>
      <c r="L35" s="384">
        <f>+IngresosNetos!L35/CantidadDeProducto!L35</f>
        <v>25.217397060365851</v>
      </c>
      <c r="M35" s="384">
        <f>+IngresosNetos!M35/CantidadDeProducto!M35</f>
        <v>26.495301422093021</v>
      </c>
      <c r="N35" s="384">
        <f>+IngresosNetos!N35/CantidadDeProducto!N35</f>
        <v>28.26147390697674</v>
      </c>
      <c r="O35" s="384">
        <f>+IngresosNetos!O35/CantidadDeProducto!O35</f>
        <v>28.62386767606014</v>
      </c>
    </row>
    <row r="36" spans="2:15">
      <c r="B36" s="60" t="str">
        <f>+IngresosBrutos!B36</f>
        <v>ANN-Más de 100 t</v>
      </c>
      <c r="C36" s="385">
        <f>+IngresosNetos!C36/CantidadDeProducto!C36</f>
        <v>32.867031332669605</v>
      </c>
      <c r="D36" s="385">
        <f>+IngresosNetos!D36/CantidadDeProducto!D36</f>
        <v>36.10613528709677</v>
      </c>
      <c r="E36" s="385">
        <f>+IngresosNetos!E36/CantidadDeProducto!E36</f>
        <v>53.816136706451609</v>
      </c>
      <c r="F36" s="385">
        <f>+IngresosNetos!F36/CantidadDeProducto!F36</f>
        <v>37.231695899999998</v>
      </c>
      <c r="G36" s="385">
        <f>+IngresosNetos!G36/CantidadDeProducto!G36</f>
        <v>76.098703893749999</v>
      </c>
      <c r="H36" s="385">
        <f>+IngresosNetos!H36/CantidadDeProducto!H36</f>
        <v>76.098703893749999</v>
      </c>
      <c r="I36" s="385">
        <f>+IngresosNetos!I36/CantidadDeProducto!I36</f>
        <v>92.697050945454535</v>
      </c>
      <c r="J36" s="385">
        <f>+IngresosNetos!J36/CantidadDeProducto!J36</f>
        <v>94.680547649999994</v>
      </c>
      <c r="K36" s="385">
        <f>+IngresosNetos!K36/CantidadDeProducto!K36</f>
        <v>94.680547649999966</v>
      </c>
      <c r="L36" s="385">
        <f>+IngresosNetos!L36/CantidadDeProducto!L36</f>
        <v>92.986091468181812</v>
      </c>
      <c r="M36" s="385">
        <f>+IngresosNetos!M36/CantidadDeProducto!M36</f>
        <v>100.51705984090908</v>
      </c>
      <c r="N36" s="385">
        <f>+IngresosNetos!N36/CantidadDeProducto!N36</f>
        <v>100.79560195714285</v>
      </c>
      <c r="O36" s="385">
        <f>+IngresosNetos!O36/CantidadDeProducto!O36</f>
        <v>90.020793150000003</v>
      </c>
    </row>
    <row r="37" spans="2:15">
      <c r="B37" s="53" t="str">
        <f>+IngresosBrutos!B37</f>
        <v>DND-Hasta 10 t</v>
      </c>
      <c r="C37" s="384">
        <f>+IngresosNetos!C37/CantidadDeProducto!C37</f>
        <v>0.59897822089650032</v>
      </c>
      <c r="D37" s="384">
        <f>+IngresosNetos!D37/CantidadDeProducto!D37</f>
        <v>0.6976896509356223</v>
      </c>
      <c r="E37" s="384">
        <f>+IngresosNetos!E37/CantidadDeProducto!E37</f>
        <v>0.79420443064344881</v>
      </c>
      <c r="F37" s="384">
        <f>+IngresosNetos!F37/CantidadDeProducto!F37</f>
        <v>1.4539727062343726</v>
      </c>
      <c r="G37" s="384">
        <f>+IngresosNetos!G37/CantidadDeProducto!G37</f>
        <v>1.4429838799298129</v>
      </c>
      <c r="H37" s="384">
        <f>+IngresosNetos!H37/CantidadDeProducto!H37</f>
        <v>1.4429838799298129</v>
      </c>
      <c r="I37" s="384">
        <f>+IngresosNetos!I37/CantidadDeProducto!I37</f>
        <v>1.6569591339845053</v>
      </c>
      <c r="J37" s="384">
        <f>+IngresosNetos!J37/CantidadDeProducto!J37</f>
        <v>1.6093044699276109</v>
      </c>
      <c r="K37" s="384">
        <f>+IngresosNetos!K37/CantidadDeProducto!K37</f>
        <v>1.6970532536585452</v>
      </c>
      <c r="L37" s="384">
        <f>+IngresosNetos!L37/CantidadDeProducto!L37</f>
        <v>1.7316801349056674</v>
      </c>
      <c r="M37" s="384">
        <f>+IngresosNetos!M37/CantidadDeProducto!M37</f>
        <v>1.7233851836983696</v>
      </c>
      <c r="N37" s="384">
        <f>+IngresosNetos!N37/CantidadDeProducto!N37</f>
        <v>1.7249782838345915</v>
      </c>
      <c r="O37" s="384">
        <f>+IngresosNetos!O37/CantidadDeProducto!O37</f>
        <v>1.7228459870603265</v>
      </c>
    </row>
    <row r="38" spans="2:15">
      <c r="B38" s="60" t="str">
        <f>+IngresosBrutos!B38</f>
        <v>DND-Más de 10 t hasta 35 t</v>
      </c>
      <c r="C38" s="385">
        <f>+IngresosNetos!C38/CantidadDeProducto!C38</f>
        <v>3.266161651524925</v>
      </c>
      <c r="D38" s="385">
        <f>+IngresosNetos!D38/CantidadDeProducto!D38</f>
        <v>3.2018813290313051</v>
      </c>
      <c r="E38" s="385">
        <f>+IngresosNetos!E38/CantidadDeProducto!E38</f>
        <v>3.1432462021967473</v>
      </c>
      <c r="F38" s="385">
        <f>+IngresosNetos!F38/CantidadDeProducto!F38</f>
        <v>3.127068070301624</v>
      </c>
      <c r="G38" s="385">
        <f>+IngresosNetos!G38/CantidadDeProducto!G38</f>
        <v>4.4016168228699541</v>
      </c>
      <c r="H38" s="385">
        <f>+IngresosNetos!H38/CantidadDeProducto!H38</f>
        <v>4.4016168228699541</v>
      </c>
      <c r="I38" s="385">
        <f>+IngresosNetos!I38/CantidadDeProducto!I38</f>
        <v>5.0726748984848573</v>
      </c>
      <c r="J38" s="385">
        <f>+IngresosNetos!J38/CantidadDeProducto!J38</f>
        <v>5.1322753562969172</v>
      </c>
      <c r="K38" s="385">
        <f>+IngresosNetos!K38/CantidadDeProducto!K38</f>
        <v>5.3537187174216703</v>
      </c>
      <c r="L38" s="385">
        <f>+IngresosNetos!L38/CantidadDeProducto!L38</f>
        <v>5.4017450471279362</v>
      </c>
      <c r="M38" s="385">
        <f>+IngresosNetos!M38/CantidadDeProducto!M38</f>
        <v>5.7406941988169944</v>
      </c>
      <c r="N38" s="385">
        <f>+IngresosNetos!N38/CantidadDeProducto!N38</f>
        <v>5.8809734624999832</v>
      </c>
      <c r="O38" s="385">
        <f>+IngresosNetos!O38/CantidadDeProducto!O38</f>
        <v>5.278494930256417</v>
      </c>
    </row>
    <row r="39" spans="2:15">
      <c r="B39" s="53" t="str">
        <f>+IngresosBrutos!B39</f>
        <v>DND-Más de 35 t hasta 70 t</v>
      </c>
      <c r="C39" s="384">
        <f>+IngresosNetos!C39/CantidadDeProducto!C39</f>
        <v>8.5244463495261673</v>
      </c>
      <c r="D39" s="384">
        <f>+IngresosNetos!D39/CantidadDeProducto!D39</f>
        <v>8.4337044761399405</v>
      </c>
      <c r="E39" s="384">
        <f>+IngresosNetos!E39/CantidadDeProducto!E39</f>
        <v>8.6231577857867538</v>
      </c>
      <c r="F39" s="384">
        <f>+IngresosNetos!F39/CantidadDeProducto!F39</f>
        <v>8.9253190584454831</v>
      </c>
      <c r="G39" s="384">
        <f>+IngresosNetos!G39/CantidadDeProducto!G39</f>
        <v>13.811093331482256</v>
      </c>
      <c r="H39" s="384">
        <f>+IngresosNetos!H39/CantidadDeProducto!H39</f>
        <v>13.811093331482256</v>
      </c>
      <c r="I39" s="384">
        <f>+IngresosNetos!I39/CantidadDeProducto!I39</f>
        <v>19.364754034792</v>
      </c>
      <c r="J39" s="384">
        <f>+IngresosNetos!J39/CantidadDeProducto!J39</f>
        <v>18.649922762759083</v>
      </c>
      <c r="K39" s="384">
        <f>+IngresosNetos!K39/CantidadDeProducto!K39</f>
        <v>19.06546826470441</v>
      </c>
      <c r="L39" s="384">
        <f>+IngresosNetos!L39/CantidadDeProducto!L39</f>
        <v>18.79048530510261</v>
      </c>
      <c r="M39" s="384">
        <f>+IngresosNetos!M39/CantidadDeProducto!M39</f>
        <v>18.933095301136873</v>
      </c>
      <c r="N39" s="384">
        <f>+IngresosNetos!N39/CantidadDeProducto!N39</f>
        <v>18.575294218367564</v>
      </c>
      <c r="O39" s="384">
        <f>+IngresosNetos!O39/CantidadDeProducto!O39</f>
        <v>18.994804340480329</v>
      </c>
    </row>
    <row r="40" spans="2:15">
      <c r="B40" s="60" t="str">
        <f>+IngresosBrutos!B40</f>
        <v>DND-Más de 70 t hasta 100 t</v>
      </c>
      <c r="C40" s="385">
        <f>+IngresosNetos!C40/CantidadDeProducto!C40</f>
        <v>12.916953694934117</v>
      </c>
      <c r="D40" s="385">
        <f>+IngresosNetos!D40/CantidadDeProducto!D40</f>
        <v>12.988289647863379</v>
      </c>
      <c r="E40" s="385">
        <f>+IngresosNetos!E40/CantidadDeProducto!E40</f>
        <v>12.888147544762623</v>
      </c>
      <c r="F40" s="385">
        <f>+IngresosNetos!F40/CantidadDeProducto!F40</f>
        <v>12.895011169697799</v>
      </c>
      <c r="G40" s="385">
        <f>+IngresosNetos!G40/CantidadDeProducto!G40</f>
        <v>18.541230431457876</v>
      </c>
      <c r="H40" s="385">
        <f>+IngresosNetos!H40/CantidadDeProducto!H40</f>
        <v>18.541230431457876</v>
      </c>
      <c r="I40" s="385">
        <f>+IngresosNetos!I40/CantidadDeProducto!I40</f>
        <v>29.108447068241407</v>
      </c>
      <c r="J40" s="385">
        <f>+IngresosNetos!J40/CantidadDeProducto!J40</f>
        <v>19.890119645352325</v>
      </c>
      <c r="K40" s="385">
        <f>+IngresosNetos!K40/CantidadDeProducto!K40</f>
        <v>21.781234596853629</v>
      </c>
      <c r="L40" s="385">
        <f>+IngresosNetos!L40/CantidadDeProducto!L40</f>
        <v>22.700114180750408</v>
      </c>
      <c r="M40" s="385">
        <f>+IngresosNetos!M40/CantidadDeProducto!M40</f>
        <v>23.452993357463441</v>
      </c>
      <c r="N40" s="385">
        <f>+IngresosNetos!N40/CantidadDeProducto!N40</f>
        <v>24.468165367370705</v>
      </c>
      <c r="O40" s="385">
        <f>+IngresosNetos!O40/CantidadDeProducto!O40</f>
        <v>24.891908032983721</v>
      </c>
    </row>
    <row r="41" spans="2:15">
      <c r="B41" s="53" t="str">
        <f>+IngresosBrutos!B41</f>
        <v>DND-Más de 100 t</v>
      </c>
      <c r="C41" s="384">
        <f>+IngresosNetos!C41/CantidadDeProducto!C41</f>
        <v>27.499721675085055</v>
      </c>
      <c r="D41" s="384">
        <f>+IngresosNetos!D41/CantidadDeProducto!D41</f>
        <v>31.114947061682241</v>
      </c>
      <c r="E41" s="384">
        <f>+IngresosNetos!E41/CantidadDeProducto!E41</f>
        <v>38.003718845454536</v>
      </c>
      <c r="F41" s="384">
        <f>+IngresosNetos!F41/CantidadDeProducto!F41</f>
        <v>23.591505219827585</v>
      </c>
      <c r="G41" s="384">
        <f>+IngresosNetos!G41/CantidadDeProducto!G41</f>
        <v>61.966060072826089</v>
      </c>
      <c r="H41" s="384">
        <f>+IngresosNetos!H41/CantidadDeProducto!H41</f>
        <v>61.966060072826089</v>
      </c>
      <c r="I41" s="384">
        <f>+IngresosNetos!I41/CantidadDeProducto!I41</f>
        <v>80.208534419999992</v>
      </c>
      <c r="J41" s="384">
        <f>+IngresosNetos!J41/CantidadDeProducto!J41</f>
        <v>47.160123621428568</v>
      </c>
      <c r="K41" s="384">
        <f>+IngresosNetos!K41/CantidadDeProducto!K41</f>
        <v>78.683149390909094</v>
      </c>
      <c r="L41" s="384">
        <f>+IngresosNetos!L41/CantidadDeProducto!L41</f>
        <v>73.186767476470592</v>
      </c>
      <c r="M41" s="384">
        <f>+IngresosNetos!M41/CantidadDeProducto!M41</f>
        <v>78.667811909999983</v>
      </c>
      <c r="N41" s="384">
        <f>+IngresosNetos!N41/CantidadDeProducto!N41</f>
        <v>81.565563792857134</v>
      </c>
      <c r="O41" s="384">
        <f>+IngresosNetos!O41/CantidadDeProducto!O41</f>
        <v>39.205011825</v>
      </c>
    </row>
    <row r="42" spans="2:15">
      <c r="B42" s="60" t="str">
        <f>+IngresosBrutos!B42</f>
        <v>DNN-Hasta 10 t</v>
      </c>
      <c r="C42" s="385">
        <f>+IngresosNetos!C42/CantidadDeProducto!C42</f>
        <v>0.87633456019765332</v>
      </c>
      <c r="D42" s="385">
        <f>+IngresosNetos!D42/CantidadDeProducto!D42</f>
        <v>0.94851101183953024</v>
      </c>
      <c r="E42" s="385">
        <f>+IngresosNetos!E42/CantidadDeProducto!E42</f>
        <v>1.0089390018197573</v>
      </c>
      <c r="F42" s="385">
        <f>+IngresosNetos!F42/CantidadDeProducto!F42</f>
        <v>1.6708180499999998</v>
      </c>
      <c r="G42" s="385">
        <f>+IngresosNetos!G42/CantidadDeProducto!G42</f>
        <v>1.663001608915212</v>
      </c>
      <c r="H42" s="385">
        <f>+IngresosNetos!H42/CantidadDeProducto!H42</f>
        <v>1.663001608915212</v>
      </c>
      <c r="I42" s="385">
        <f>+IngresosNetos!I42/CantidadDeProducto!I42</f>
        <v>1.8743643159952605</v>
      </c>
      <c r="J42" s="385">
        <f>+IngresosNetos!J42/CantidadDeProducto!J42</f>
        <v>2.0085103442247676</v>
      </c>
      <c r="K42" s="385">
        <f>+IngresosNetos!K42/CantidadDeProducto!K42</f>
        <v>1.9989618966666665</v>
      </c>
      <c r="L42" s="385">
        <f>+IngresosNetos!L42/CantidadDeProducto!L42</f>
        <v>2.0167240125000028</v>
      </c>
      <c r="M42" s="385">
        <f>+IngresosNetos!M42/CantidadDeProducto!M42</f>
        <v>2.004811144480521</v>
      </c>
      <c r="N42" s="385">
        <f>+IngresosNetos!N42/CantidadDeProducto!N42</f>
        <v>1.9914458919587616</v>
      </c>
      <c r="O42" s="385">
        <f>+IngresosNetos!O42/CantidadDeProducto!O42</f>
        <v>2.0132199000000051</v>
      </c>
    </row>
    <row r="43" spans="2:15">
      <c r="B43" s="53" t="str">
        <f>+IngresosBrutos!B43</f>
        <v>DNN-Más de 10 t hasta 35 t</v>
      </c>
      <c r="C43" s="384">
        <f>+IngresosNetos!C43/CantidadDeProducto!C43</f>
        <v>4.2511148994037447</v>
      </c>
      <c r="D43" s="384">
        <f>+IngresosNetos!D43/CantidadDeProducto!D43</f>
        <v>4.2313722234939757</v>
      </c>
      <c r="E43" s="384">
        <f>+IngresosNetos!E43/CantidadDeProducto!E43</f>
        <v>3.5116497786407765</v>
      </c>
      <c r="F43" s="384">
        <f>+IngresosNetos!F43/CantidadDeProducto!F43</f>
        <v>3.9936241439999995</v>
      </c>
      <c r="G43" s="384">
        <f>+IngresosNetos!G43/CantidadDeProducto!G43</f>
        <v>4.6946307255882349</v>
      </c>
      <c r="H43" s="384">
        <f>+IngresosNetos!H43/CantidadDeProducto!H43</f>
        <v>4.6946307255882349</v>
      </c>
      <c r="I43" s="384">
        <f>+IngresosNetos!I43/CantidadDeProducto!I43</f>
        <v>5.7484866662234175</v>
      </c>
      <c r="J43" s="384">
        <f>+IngresosNetos!J43/CantidadDeProducto!J43</f>
        <v>5.8167766912500012</v>
      </c>
      <c r="K43" s="384">
        <f>+IngresosNetos!K43/CantidadDeProducto!K43</f>
        <v>5.9468229456081083</v>
      </c>
      <c r="L43" s="384">
        <f>+IngresosNetos!L43/CantidadDeProducto!L43</f>
        <v>5.4976702263157877</v>
      </c>
      <c r="M43" s="384">
        <f>+IngresosNetos!M43/CantidadDeProducto!M43</f>
        <v>6.3466348793478264</v>
      </c>
      <c r="N43" s="384">
        <f>+IngresosNetos!N43/CantidadDeProducto!N43</f>
        <v>6.338148788571428</v>
      </c>
      <c r="O43" s="384">
        <f>+IngresosNetos!O43/CantidadDeProducto!O43</f>
        <v>4.9081062928673314</v>
      </c>
    </row>
    <row r="44" spans="2:15">
      <c r="B44" s="60" t="str">
        <f>+IngresosBrutos!B44</f>
        <v>DNN-Más de 35 t hasta 70 t</v>
      </c>
      <c r="C44" s="385">
        <f>+IngresosNetos!C44/CantidadDeProducto!C44</f>
        <v>10.110903954471191</v>
      </c>
      <c r="D44" s="385">
        <f>+IngresosNetos!D44/CantidadDeProducto!D44</f>
        <v>9.9760675164756449</v>
      </c>
      <c r="E44" s="385">
        <f>+IngresosNetos!E44/CantidadDeProducto!E44</f>
        <v>10.263563073797469</v>
      </c>
      <c r="F44" s="385">
        <f>+IngresosNetos!F44/CantidadDeProducto!F44</f>
        <v>234.89148925161294</v>
      </c>
      <c r="G44" s="385">
        <f>+IngresosNetos!G44/CantidadDeProducto!G44</f>
        <v>423.86477528076921</v>
      </c>
      <c r="H44" s="385">
        <f>+IngresosNetos!H44/CantidadDeProducto!H44</f>
        <v>423.86477528076921</v>
      </c>
      <c r="I44" s="385">
        <f>+IngresosNetos!I44/CantidadDeProducto!I44</f>
        <v>21.719081687481619</v>
      </c>
      <c r="J44" s="385">
        <f>+IngresosNetos!J44/CantidadDeProducto!J44</f>
        <v>22.718452905364206</v>
      </c>
      <c r="K44" s="385">
        <f>+IngresosNetos!K44/CantidadDeProducto!K44</f>
        <v>23.093247835207901</v>
      </c>
      <c r="L44" s="385">
        <f>+IngresosNetos!L44/CantidadDeProducto!L44</f>
        <v>23.700985214826282</v>
      </c>
      <c r="M44" s="385">
        <f>+IngresosNetos!M44/CantidadDeProducto!M44</f>
        <v>23.539627304296364</v>
      </c>
      <c r="N44" s="385">
        <f>+IngresosNetos!N44/CantidadDeProducto!N44</f>
        <v>22.792260198174677</v>
      </c>
      <c r="O44" s="385">
        <f>+IngresosNetos!O44/CantidadDeProducto!O44</f>
        <v>22.959479130346672</v>
      </c>
    </row>
    <row r="45" spans="2:15">
      <c r="B45" s="53" t="str">
        <f>+IngresosBrutos!B45</f>
        <v>DNN-Más de 70 t hasta 100 t</v>
      </c>
      <c r="C45" s="384">
        <f>+IngresosNetos!C45/CantidadDeProducto!C45</f>
        <v>15.056581590093932</v>
      </c>
      <c r="D45" s="384">
        <f>+IngresosNetos!D45/CantidadDeProducto!D45</f>
        <v>15.059844215167093</v>
      </c>
      <c r="E45" s="384">
        <f>+IngresosNetos!E45/CantidadDeProducto!E45</f>
        <v>15.339549615517241</v>
      </c>
      <c r="F45" s="384">
        <f>+IngresosNetos!F45/CantidadDeProducto!F45</f>
        <v>21.308671670792076</v>
      </c>
      <c r="G45" s="384">
        <f>+IngresosNetos!G45/CantidadDeProducto!G45</f>
        <v>50.385515435893645</v>
      </c>
      <c r="H45" s="384">
        <f>+IngresosNetos!H45/CantidadDeProducto!H45</f>
        <v>50.385515435893645</v>
      </c>
      <c r="I45" s="384">
        <f>+IngresosNetos!I45/CantidadDeProducto!I45</f>
        <v>23.406974093906829</v>
      </c>
      <c r="J45" s="384">
        <f>+IngresosNetos!J45/CantidadDeProducto!J45</f>
        <v>26.682490955769229</v>
      </c>
      <c r="K45" s="384">
        <f>+IngresosNetos!K45/CantidadDeProducto!K45</f>
        <v>27.570230360270269</v>
      </c>
      <c r="L45" s="384">
        <f>+IngresosNetos!L45/CantidadDeProducto!L45</f>
        <v>27.982332908132534</v>
      </c>
      <c r="M45" s="384">
        <f>+IngresosNetos!M45/CantidadDeProducto!M45</f>
        <v>28.785268709999997</v>
      </c>
      <c r="N45" s="384">
        <f>+IngresosNetos!N45/CantidadDeProducto!N45</f>
        <v>29.112836824285711</v>
      </c>
      <c r="O45" s="384">
        <f>+IngresosNetos!O45/CantidadDeProducto!O45</f>
        <v>28.862461412704999</v>
      </c>
    </row>
    <row r="46" spans="2:15">
      <c r="B46" s="60" t="str">
        <f>+IngresosBrutos!B46</f>
        <v>DNN-Más de 100 t</v>
      </c>
      <c r="C46" s="385">
        <f>+IngresosNetos!C46/CantidadDeProducto!C46</f>
        <v>35.314161468115621</v>
      </c>
      <c r="D46" s="385">
        <f>+IngresosNetos!D46/CantidadDeProducto!D46</f>
        <v>40.088887669565217</v>
      </c>
      <c r="E46" s="385">
        <f>+IngresosNetos!E46/CantidadDeProducto!E46</f>
        <v>53.814947826315787</v>
      </c>
      <c r="F46" s="385">
        <f>+IngresosNetos!F46/CantidadDeProducto!F46</f>
        <v>1.2951968082135521</v>
      </c>
      <c r="G46" s="385">
        <f>+IngresosNetos!G46/CantidadDeProducto!G46</f>
        <v>1.28687879841793</v>
      </c>
      <c r="H46" s="385">
        <f>+IngresosNetos!H46/CantidadDeProducto!H46</f>
        <v>1.28687879841793</v>
      </c>
      <c r="I46" s="385">
        <f>+IngresosNetos!I46/CantidadDeProducto!I46</f>
        <v>43.085673393750007</v>
      </c>
      <c r="J46" s="385">
        <f>+IngresosNetos!J46/CantidadDeProducto!J46</f>
        <v>94.680547650000008</v>
      </c>
      <c r="K46" s="385">
        <f>+IngresosNetos!K46/CantidadDeProducto!K46</f>
        <v>94.701381624999996</v>
      </c>
      <c r="L46" s="385">
        <f>+IngresosNetos!L46/CantidadDeProducto!L46</f>
        <v>95.482150081578936</v>
      </c>
      <c r="M46" s="385">
        <f>+IngresosNetos!M46/CantidadDeProducto!M46</f>
        <v>100.41701635384615</v>
      </c>
      <c r="N46" s="385">
        <f>+IngresosNetos!N46/CantidadDeProducto!N46</f>
        <v>100.85236245</v>
      </c>
      <c r="O46" s="385">
        <f>+IngresosNetos!O46/CantidadDeProducto!O46</f>
        <v>90.020793150000003</v>
      </c>
    </row>
    <row r="47" spans="2:15">
      <c r="B47" s="53" t="str">
        <f>+IngresosBrutos!B47</f>
        <v>Parking Internacional</v>
      </c>
      <c r="C47" s="384">
        <f>+IngresosNetos!C47/CantidadDeProducto!C47</f>
        <v>61.162321859661063</v>
      </c>
      <c r="D47" s="384">
        <f>+IngresosNetos!D47/CantidadDeProducto!D47</f>
        <v>58.644397683208645</v>
      </c>
      <c r="E47" s="384">
        <f>+IngresosNetos!E47/CantidadDeProducto!E47</f>
        <v>57.134974187562634</v>
      </c>
      <c r="F47" s="384">
        <f>+IngresosNetos!F47/CantidadDeProducto!F47</f>
        <v>66.684140430066378</v>
      </c>
      <c r="G47" s="384">
        <f>+IngresosNetos!G47/CantidadDeProducto!G47</f>
        <v>71.515334756082211</v>
      </c>
      <c r="H47" s="384">
        <f>+IngresosNetos!H47/CantidadDeProducto!H47</f>
        <v>71.515334756082211</v>
      </c>
      <c r="I47" s="384">
        <f>+IngresosNetos!I47/CantidadDeProducto!I47</f>
        <v>70.081702453119178</v>
      </c>
      <c r="J47" s="384">
        <f>+IngresosNetos!J47/CantidadDeProducto!J47</f>
        <v>68.689980803691341</v>
      </c>
      <c r="K47" s="384">
        <f>+IngresosNetos!K47/CantidadDeProducto!K47</f>
        <v>64.917274753183733</v>
      </c>
      <c r="L47" s="384">
        <f>+IngresosNetos!L47/CantidadDeProducto!L47</f>
        <v>62.26435903090298</v>
      </c>
      <c r="M47" s="384">
        <f>+IngresosNetos!M47/CantidadDeProducto!M47</f>
        <v>66.169047619071804</v>
      </c>
      <c r="N47" s="384">
        <f>+IngresosNetos!N47/CantidadDeProducto!N47</f>
        <v>58.034102695438833</v>
      </c>
      <c r="O47" s="384">
        <f>+IngresosNetos!O47/CantidadDeProducto!O47</f>
        <v>54.678303500887964</v>
      </c>
    </row>
    <row r="48" spans="2:15">
      <c r="B48" s="60" t="str">
        <f>+IngresosBrutos!B48</f>
        <v>Parking Nacional</v>
      </c>
      <c r="C48" s="385">
        <f>+IngresosNetos!C48/CantidadDeProducto!C48</f>
        <v>11.085823960842054</v>
      </c>
      <c r="D48" s="385">
        <f>+IngresosNetos!D48/CantidadDeProducto!D48</f>
        <v>14.767758122242208</v>
      </c>
      <c r="E48" s="385">
        <f>+IngresosNetos!E48/CantidadDeProducto!E48</f>
        <v>6.3375449199319114</v>
      </c>
      <c r="F48" s="385">
        <f>+IngresosNetos!F48/CantidadDeProducto!F48</f>
        <v>6.0611184045929223</v>
      </c>
      <c r="G48" s="385">
        <f>+IngresosNetos!G48/CantidadDeProducto!G48</f>
        <v>6.6631685417170363</v>
      </c>
      <c r="H48" s="385">
        <f>+IngresosNetos!H48/CantidadDeProducto!H48</f>
        <v>6.6631685417170363</v>
      </c>
      <c r="I48" s="385">
        <f>+IngresosNetos!I48/CantidadDeProducto!I48</f>
        <v>7.4134341218764819</v>
      </c>
      <c r="J48" s="385">
        <f>+IngresosNetos!J48/CantidadDeProducto!J48</f>
        <v>7.2024727386510099</v>
      </c>
      <c r="K48" s="385">
        <f>+IngresosNetos!K48/CantidadDeProducto!K48</f>
        <v>5.7787103744277548</v>
      </c>
      <c r="L48" s="385">
        <f>+IngresosNetos!L48/CantidadDeProducto!L48</f>
        <v>5.2622554996570239</v>
      </c>
      <c r="M48" s="385">
        <f>+IngresosNetos!M48/CantidadDeProducto!M48</f>
        <v>5.8282398929858621</v>
      </c>
      <c r="N48" s="385">
        <f>+IngresosNetos!N48/CantidadDeProducto!N48</f>
        <v>7.6345415611670351</v>
      </c>
      <c r="O48" s="385">
        <f>+IngresosNetos!O48/CantidadDeProducto!O48</f>
        <v>6.6903261479484684</v>
      </c>
    </row>
    <row r="49" spans="2:15">
      <c r="B49" s="53" t="str">
        <f>+IngresosBrutos!B49</f>
        <v>Boarding Bridges (PLB)</v>
      </c>
      <c r="C49" s="384">
        <v>0</v>
      </c>
      <c r="D49" s="384">
        <v>0</v>
      </c>
      <c r="E49" s="384">
        <v>0</v>
      </c>
      <c r="F49" s="384">
        <v>0</v>
      </c>
      <c r="G49" s="384">
        <v>0</v>
      </c>
      <c r="H49" s="384">
        <f>+IngresosNetos!H49/CantidadDeProducto!H49</f>
        <v>52.008821278039314</v>
      </c>
      <c r="I49" s="384">
        <f>+IngresosNetos!I49/CantidadDeProducto!I49</f>
        <v>51.482127316650875</v>
      </c>
      <c r="J49" s="384">
        <f>+IngresosNetos!J49/CantidadDeProducto!J49</f>
        <v>51.336406135883237</v>
      </c>
      <c r="K49" s="384">
        <f>+IngresosNetos!K49/CantidadDeProducto!K49</f>
        <v>51.603797447250464</v>
      </c>
      <c r="L49" s="384">
        <f>+IngresosNetos!L49/CantidadDeProducto!L49</f>
        <v>50.480298387225091</v>
      </c>
      <c r="M49" s="384">
        <f>+IngresosNetos!M49/CantidadDeProducto!M49</f>
        <v>41.660224346753751</v>
      </c>
      <c r="N49" s="384">
        <f>+IngresosNetos!N49/CantidadDeProducto!N49</f>
        <v>50.456863773972294</v>
      </c>
      <c r="O49" s="384">
        <f>+IngresosNetos!O49/CantidadDeProducto!O49</f>
        <v>61.748652737733835</v>
      </c>
    </row>
    <row r="50" spans="2:15">
      <c r="B50" s="60" t="str">
        <f>+IngresosBrutos!B50</f>
        <v>Cargo</v>
      </c>
      <c r="C50" s="385">
        <f>+IngresosNetos!C50/CantidadDeProducto!C50</f>
        <v>5.2488983273247447</v>
      </c>
      <c r="D50" s="385">
        <f>+IngresosNetos!D50/CantidadDeProducto!D50</f>
        <v>9.4230568725697594</v>
      </c>
      <c r="E50" s="385">
        <f>+IngresosNetos!E50/CantidadDeProducto!E50</f>
        <v>10.497804382354976</v>
      </c>
      <c r="F50" s="385">
        <f>+IngresosNetos!F50/CantidadDeProducto!F50</f>
        <v>9.1091572954415092</v>
      </c>
      <c r="G50" s="385">
        <f>+IngresosNetos!G50/CantidadDeProducto!G50</f>
        <v>9.4453280898289353</v>
      </c>
      <c r="H50" s="385">
        <f>+IngresosNetos!H50/CantidadDeProducto!H50</f>
        <v>9.4453280898289353</v>
      </c>
      <c r="I50" s="385">
        <f>+IngresosNetos!I50/CantidadDeProducto!I50</f>
        <v>9.8147775583442787</v>
      </c>
      <c r="J50" s="385">
        <f>+IngresosNetos!J50/CantidadDeProducto!J50</f>
        <v>10.06285398512864</v>
      </c>
      <c r="K50" s="385">
        <f>+IngresosNetos!K50/CantidadDeProducto!K50</f>
        <v>10.337744515706479</v>
      </c>
      <c r="L50" s="385">
        <f>+IngresosNetos!L50/CantidadDeProducto!L50</f>
        <v>10.483316115971835</v>
      </c>
      <c r="M50" s="385">
        <f>+IngresosNetos!M50/CantidadDeProducto!M50</f>
        <v>10.761902703436304</v>
      </c>
      <c r="N50" s="385">
        <f>+IngresosNetos!N50/CantidadDeProducto!N50</f>
        <v>10.959700625580265</v>
      </c>
      <c r="O50" s="385">
        <f>+IngresosNetos!O50/CantidadDeProducto!O50</f>
        <v>11.395359935815996</v>
      </c>
    </row>
    <row r="51" spans="2:15">
      <c r="B51" s="53" t="str">
        <f>+IngresosBrutos!B51</f>
        <v>Ground Handling</v>
      </c>
      <c r="C51" s="384">
        <f>+IngresosNetos!C51/CantidadDeProducto!C51</f>
        <v>9.0102365270680664</v>
      </c>
      <c r="D51" s="384">
        <f>+IngresosNetos!D51/CantidadDeProducto!D51</f>
        <v>9.7837096736180467</v>
      </c>
      <c r="E51" s="384">
        <f>+IngresosNetos!E51/CantidadDeProducto!E51</f>
        <v>11.886366754903458</v>
      </c>
      <c r="F51" s="384">
        <f>+IngresosNetos!F51/CantidadDeProducto!F51</f>
        <v>14.944172758554167</v>
      </c>
      <c r="G51" s="384">
        <f>+IngresosNetos!G51/CantidadDeProducto!G51</f>
        <v>19.54126662267932</v>
      </c>
      <c r="H51" s="384">
        <f>+IngresosNetos!H51/CantidadDeProducto!H51</f>
        <v>19.54126662267932</v>
      </c>
      <c r="I51" s="384">
        <f>+IngresosNetos!I51/CantidadDeProducto!I51</f>
        <v>18.749508983240247</v>
      </c>
      <c r="J51" s="384">
        <f>+IngresosNetos!J51/CantidadDeProducto!J51</f>
        <v>19.113496218820504</v>
      </c>
      <c r="K51" s="384">
        <f>+IngresosNetos!K51/CantidadDeProducto!K51</f>
        <v>20.330827461685175</v>
      </c>
      <c r="L51" s="384">
        <f>+IngresosNetos!L51/CantidadDeProducto!L51</f>
        <v>20.416627460308341</v>
      </c>
      <c r="M51" s="384">
        <f>+IngresosNetos!M51/CantidadDeProducto!M51</f>
        <v>20.181764516735814</v>
      </c>
      <c r="N51" s="384">
        <f>+IngresosNetos!N51/CantidadDeProducto!N51</f>
        <v>20.25563882478043</v>
      </c>
      <c r="O51" s="384">
        <f>+IngresosNetos!O51/CantidadDeProducto!O51</f>
        <v>20.212854856844842</v>
      </c>
    </row>
    <row r="52" spans="2:15">
      <c r="B52" s="60" t="str">
        <f>+IngresosBrutos!B52</f>
        <v>Catering</v>
      </c>
      <c r="C52" s="385">
        <f>+IngresosNetos!C52/CantidadDeProducto!C52</f>
        <v>11.403617166512486</v>
      </c>
      <c r="D52" s="385">
        <f>+IngresosNetos!D52/CantidadDeProducto!D52</f>
        <v>11.265014338388758</v>
      </c>
      <c r="E52" s="385">
        <f>+IngresosNetos!E52/CantidadDeProducto!E52</f>
        <v>12.925489475428048</v>
      </c>
      <c r="F52" s="385">
        <f>+IngresosNetos!F52/CantidadDeProducto!F52</f>
        <v>15.147160739178767</v>
      </c>
      <c r="G52" s="385">
        <f>+IngresosNetos!G52/CantidadDeProducto!G52</f>
        <v>17.291966007833626</v>
      </c>
      <c r="H52" s="385">
        <f>+IngresosNetos!H52/CantidadDeProducto!H52</f>
        <v>17.291966007833626</v>
      </c>
      <c r="I52" s="385">
        <f>+IngresosNetos!I52/CantidadDeProducto!I52</f>
        <v>16.712044087791305</v>
      </c>
      <c r="J52" s="385">
        <f>+IngresosNetos!J52/CantidadDeProducto!J52</f>
        <v>18.819768268580955</v>
      </c>
      <c r="K52" s="385">
        <f>+IngresosNetos!K52/CantidadDeProducto!K52</f>
        <v>19.486211289180865</v>
      </c>
      <c r="L52" s="385">
        <f>+IngresosNetos!L52/CantidadDeProducto!L52</f>
        <v>22.174829049668411</v>
      </c>
      <c r="M52" s="385">
        <f>+IngresosNetos!M52/CantidadDeProducto!M52</f>
        <v>22.107978906751534</v>
      </c>
      <c r="N52" s="385">
        <f>+IngresosNetos!N52/CantidadDeProducto!N52</f>
        <v>22.47746291073803</v>
      </c>
      <c r="O52" s="385">
        <f>+IngresosNetos!O52/CantidadDeProducto!O52</f>
        <v>22.686740568753088</v>
      </c>
    </row>
    <row r="53" spans="2:15">
      <c r="B53" s="53" t="str">
        <f>+IngresosBrutos!B53</f>
        <v>Fuel</v>
      </c>
      <c r="C53" s="384">
        <f>+IngresosNetos!C53/CantidadDeProducto!C53</f>
        <v>27.433417084769882</v>
      </c>
      <c r="D53" s="384">
        <f>+IngresosNetos!D53/CantidadDeProducto!D53</f>
        <v>34.69522829405372</v>
      </c>
      <c r="E53" s="384">
        <f>+IngresosNetos!E53/CantidadDeProducto!E53</f>
        <v>34.695228988617352</v>
      </c>
      <c r="F53" s="384">
        <f>+IngresosNetos!F53/CantidadDeProducto!F53</f>
        <v>34.695228972318958</v>
      </c>
      <c r="G53" s="384">
        <f>+IngresosNetos!G53/CantidadDeProducto!G53</f>
        <v>38.624565195577553</v>
      </c>
      <c r="H53" s="384">
        <f>+IngresosNetos!H53/CantidadDeProducto!H53</f>
        <v>38.624565195577553</v>
      </c>
      <c r="I53" s="384">
        <f>+IngresosNetos!I53/CantidadDeProducto!I53</f>
        <v>38.684392958325482</v>
      </c>
      <c r="J53" s="384">
        <f>+IngresosNetos!J53/CantidadDeProducto!J53</f>
        <v>38.684392966860933</v>
      </c>
      <c r="K53" s="384">
        <f>+IngresosNetos!K53/CantidadDeProducto!K53</f>
        <v>43.139328556844617</v>
      </c>
      <c r="L53" s="384">
        <f>+IngresosNetos!L53/CantidadDeProducto!L53</f>
        <v>42.747174960183067</v>
      </c>
      <c r="M53" s="384">
        <f>+IngresosNetos!M53/CantidadDeProducto!M53</f>
        <v>41.518799037186035</v>
      </c>
      <c r="N53" s="384">
        <f>+IngresosNetos!N53/CantidadDeProducto!N53</f>
        <v>42.964450199719536</v>
      </c>
      <c r="O53" s="384">
        <f>+IngresosNetos!O53/CantidadDeProducto!O53</f>
        <v>42.981255928991871</v>
      </c>
    </row>
    <row r="54" spans="2:15">
      <c r="B54" s="60" t="str">
        <f>+IngresosBrutos!B54</f>
        <v>Parking Lot</v>
      </c>
      <c r="C54" s="385">
        <f>+IngresosNetos!C54/CantidadDeProducto!C54</f>
        <v>0.20968813311168089</v>
      </c>
      <c r="D54" s="385">
        <f>+IngresosNetos!D54/CantidadDeProducto!D54</f>
        <v>0.38870724342500645</v>
      </c>
      <c r="E54" s="385">
        <f>+IngresosNetos!E54/CantidadDeProducto!E54</f>
        <v>0.44591117947180386</v>
      </c>
      <c r="F54" s="385">
        <f>+IngresosNetos!F54/CantidadDeProducto!F54</f>
        <v>0.45228343290441175</v>
      </c>
      <c r="G54" s="385">
        <f>+IngresosNetos!G54/CantidadDeProducto!G54</f>
        <v>0.46864235118243536</v>
      </c>
      <c r="H54" s="385">
        <f>+IngresosNetos!H54/CantidadDeProducto!H54</f>
        <v>0.46864235118243536</v>
      </c>
      <c r="I54" s="385">
        <f>+IngresosNetos!I54/CantidadDeProducto!I54</f>
        <v>0.46445001728432239</v>
      </c>
      <c r="J54" s="385">
        <f>+IngresosNetos!J54/CantidadDeProducto!J54</f>
        <v>0.49354031894087552</v>
      </c>
      <c r="K54" s="385">
        <f>+IngresosNetos!K54/CantidadDeProducto!K54</f>
        <v>0.52497355829136139</v>
      </c>
      <c r="L54" s="385">
        <f>+IngresosNetos!L54/CantidadDeProducto!L54</f>
        <v>0.51357089742084461</v>
      </c>
      <c r="M54" s="385">
        <f>+IngresosNetos!M54/CantidadDeProducto!M54</f>
        <v>0.61138815559254256</v>
      </c>
      <c r="N54" s="385">
        <f>+IngresosNetos!N54/CantidadDeProducto!N54</f>
        <v>0.7260608895699987</v>
      </c>
      <c r="O54" s="385">
        <f>+IngresosNetos!O54/CantidadDeProducto!O54</f>
        <v>0.75993450592430756</v>
      </c>
    </row>
    <row r="55" spans="2:15">
      <c r="B55" s="53" t="str">
        <f>+IngresosBrutos!B55</f>
        <v>Counter - Terminal</v>
      </c>
      <c r="C55" s="384">
        <f>+IngresosNetos!C55/CantidadDeProducto!C55</f>
        <v>5.7660040516218265E-2</v>
      </c>
      <c r="D55" s="384">
        <f>+IngresosNetos!D55/CantidadDeProducto!D55</f>
        <v>6.6129299177321896E-2</v>
      </c>
      <c r="E55" s="384">
        <f>+IngresosNetos!E55/CantidadDeProducto!E55</f>
        <v>5.8347268638154183E-2</v>
      </c>
      <c r="F55" s="384">
        <f>+IngresosNetos!F55/CantidadDeProducto!F55</f>
        <v>5.0649234857984969E-2</v>
      </c>
      <c r="G55" s="384">
        <f>+IngresosNetos!G55/CantidadDeProducto!G55</f>
        <v>4.204712285049348E-2</v>
      </c>
      <c r="H55" s="384">
        <f>+IngresosNetos!H55/CantidadDeProducto!H55</f>
        <v>4.204712285049348E-2</v>
      </c>
      <c r="I55" s="384">
        <f>+IngresosNetos!I55/CantidadDeProducto!I55</f>
        <v>3.6749247113965669E-2</v>
      </c>
      <c r="J55" s="384">
        <f>+IngresosNetos!J55/CantidadDeProducto!J55</f>
        <v>3.8730691155494802E-2</v>
      </c>
      <c r="K55" s="384">
        <f>+IngresosNetos!K55/CantidadDeProducto!K55</f>
        <v>3.9863249541584787E-2</v>
      </c>
      <c r="L55" s="384">
        <f>+IngresosNetos!L55/CantidadDeProducto!L55</f>
        <v>3.4961914805479354E-2</v>
      </c>
      <c r="M55" s="384">
        <f>+IngresosNetos!M55/CantidadDeProducto!M55</f>
        <v>4.645305803324911E-2</v>
      </c>
      <c r="N55" s="384">
        <f>+IngresosNetos!N55/CantidadDeProducto!N55</f>
        <v>5.2675718128518755E-2</v>
      </c>
      <c r="O55" s="384">
        <f>+IngresosNetos!O55/CantidadDeProducto!O55</f>
        <v>4.9392484047008425E-2</v>
      </c>
    </row>
    <row r="56" spans="2:15">
      <c r="B56" s="60" t="str">
        <f>+IngresosBrutos!B56</f>
        <v>Oficinas - Terminal</v>
      </c>
      <c r="C56" s="385">
        <f>+IngresosNetos!C56/CantidadDeProducto!C56</f>
        <v>5.6924535070914759</v>
      </c>
      <c r="D56" s="385">
        <f>+IngresosNetos!D56/CantidadDeProducto!D56</f>
        <v>5.7305371867559716</v>
      </c>
      <c r="E56" s="385">
        <f>+IngresosNetos!E56/CantidadDeProducto!E56</f>
        <v>5.272570072130474</v>
      </c>
      <c r="F56" s="385">
        <f>+IngresosNetos!F56/CantidadDeProducto!F56</f>
        <v>5.3542330699301166</v>
      </c>
      <c r="G56" s="385">
        <f>+IngresosNetos!G56/CantidadDeProducto!G56</f>
        <v>5.3850965500012116</v>
      </c>
      <c r="H56" s="385">
        <f>+IngresosNetos!H56/CantidadDeProducto!H56</f>
        <v>5.3850965500012116</v>
      </c>
      <c r="I56" s="385">
        <f>+IngresosNetos!I56/CantidadDeProducto!I56</f>
        <v>5.4142016955591084</v>
      </c>
      <c r="J56" s="385">
        <f>+IngresosNetos!J56/CantidadDeProducto!J56</f>
        <v>7.2697816629644176</v>
      </c>
      <c r="K56" s="385">
        <f>+IngresosNetos!K56/CantidadDeProducto!K56</f>
        <v>10.568859857019966</v>
      </c>
      <c r="L56" s="385">
        <f>+IngresosNetos!L56/CantidadDeProducto!L56</f>
        <v>15.220927773293578</v>
      </c>
      <c r="M56" s="385">
        <f>+IngresosNetos!M56/CantidadDeProducto!M56</f>
        <v>15.706032376188706</v>
      </c>
      <c r="N56" s="385">
        <f>+IngresosNetos!N56/CantidadDeProducto!N56</f>
        <v>16.267575284543092</v>
      </c>
      <c r="O56" s="385">
        <f>+IngresosNetos!O56/CantidadDeProducto!O56</f>
        <v>15.982472182231744</v>
      </c>
    </row>
    <row r="57" spans="2:15">
      <c r="B57" s="53" t="str">
        <f>+IngresosBrutos!B57</f>
        <v>Oficinas - Fuera Terminal</v>
      </c>
      <c r="C57" s="384">
        <f>+IngresosNetos!C57/CantidadDeProducto!C57</f>
        <v>4.1049357542955223</v>
      </c>
      <c r="D57" s="384">
        <f>+IngresosNetos!D57/CantidadDeProducto!D57</f>
        <v>4.1051175805155022</v>
      </c>
      <c r="E57" s="384">
        <f>+IngresosNetos!E57/CantidadDeProducto!E57</f>
        <v>4.0916737582417992</v>
      </c>
      <c r="F57" s="384">
        <f>+IngresosNetos!F57/CantidadDeProducto!F57</f>
        <v>4.103311891744637</v>
      </c>
      <c r="G57" s="384">
        <f>+IngresosNetos!G57/CantidadDeProducto!G57</f>
        <v>4.2379306124532929</v>
      </c>
      <c r="H57" s="384">
        <f>+IngresosNetos!H57/CantidadDeProducto!H57</f>
        <v>4.2379306124532929</v>
      </c>
      <c r="I57" s="384">
        <f>+IngresosNetos!I57/CantidadDeProducto!I57</f>
        <v>4.3243937788329649</v>
      </c>
      <c r="J57" s="384">
        <f>+IngresosNetos!J57/CantidadDeProducto!J57</f>
        <v>4.7247559355755557</v>
      </c>
      <c r="K57" s="384">
        <f>+IngresosNetos!K57/CantidadDeProducto!K57</f>
        <v>2.6888906877646557</v>
      </c>
      <c r="L57" s="384">
        <f>+IngresosNetos!L57/CantidadDeProducto!L57</f>
        <v>2.3830034837469092</v>
      </c>
      <c r="M57" s="384">
        <f>+IngresosNetos!M57/CantidadDeProducto!M57</f>
        <v>2.524379656317612</v>
      </c>
      <c r="N57" s="384">
        <f>+IngresosNetos!N57/CantidadDeProducto!N57</f>
        <v>2.3015300078110457</v>
      </c>
      <c r="O57" s="384">
        <f>+IngresosNetos!O57/CantidadDeProducto!O57</f>
        <v>6.7271483407295456</v>
      </c>
    </row>
    <row r="58" spans="2:15">
      <c r="B58" s="60" t="str">
        <f>+IngresosBrutos!B58</f>
        <v xml:space="preserve">Almacen </v>
      </c>
      <c r="C58" s="385">
        <f>+IngresosNetos!C58/CantidadDeProducto!C58</f>
        <v>2.5385666903145605</v>
      </c>
      <c r="D58" s="385">
        <f>+IngresosNetos!D58/CantidadDeProducto!D58</f>
        <v>2.5035862425464601</v>
      </c>
      <c r="E58" s="385">
        <f>+IngresosNetos!E58/CantidadDeProducto!E58</f>
        <v>2.5622841788047102</v>
      </c>
      <c r="F58" s="385">
        <f>+IngresosNetos!F58/CantidadDeProducto!F58</f>
        <v>2.5765372734991767</v>
      </c>
      <c r="G58" s="385">
        <f>+IngresosNetos!G58/CantidadDeProducto!G58</f>
        <v>2.6590176904727381</v>
      </c>
      <c r="H58" s="385">
        <f>+IngresosNetos!H58/CantidadDeProducto!H58</f>
        <v>2.6590176904727381</v>
      </c>
      <c r="I58" s="385">
        <f>+IngresosNetos!I58/CantidadDeProducto!I58</f>
        <v>2.7746606721048908</v>
      </c>
      <c r="J58" s="385">
        <f>+IngresosNetos!J58/CantidadDeProducto!J58</f>
        <v>2.5846895965718892</v>
      </c>
      <c r="K58" s="385">
        <f>+IngresosNetos!K58/CantidadDeProducto!K58</f>
        <v>1.6606052377939684</v>
      </c>
      <c r="L58" s="385">
        <f>+IngresosNetos!L58/CantidadDeProducto!L58</f>
        <v>1.6999872752755805</v>
      </c>
      <c r="M58" s="385">
        <f>+IngresosNetos!M58/CantidadDeProducto!M58</f>
        <v>1.5147363990149174</v>
      </c>
      <c r="N58" s="385">
        <f>+IngresosNetos!N58/CantidadDeProducto!N58</f>
        <v>1.5473310415689649</v>
      </c>
      <c r="O58" s="385">
        <f>+IngresosNetos!O58/CantidadDeProducto!O58</f>
        <v>2.2164197510703088</v>
      </c>
    </row>
    <row r="59" spans="2:15">
      <c r="B59" s="53" t="str">
        <f>+IngresosBrutos!B59</f>
        <v>Talleres</v>
      </c>
      <c r="C59" s="384">
        <f>+IngresosNetos!C59/CantidadDeProducto!C59</f>
        <v>2.4676898719452183</v>
      </c>
      <c r="D59" s="384">
        <f>+IngresosNetos!D59/CantidadDeProducto!D59</f>
        <v>2.4676991014965783</v>
      </c>
      <c r="E59" s="384">
        <f>+IngresosNetos!E59/CantidadDeProducto!E59</f>
        <v>2.4669829999999995</v>
      </c>
      <c r="F59" s="384">
        <f>+IngresosNetos!F59/CantidadDeProducto!F59</f>
        <v>2.4679900921930411</v>
      </c>
      <c r="G59" s="384">
        <f>+IngresosNetos!G59/CantidadDeProducto!G59</f>
        <v>2.4678064875222772</v>
      </c>
      <c r="H59" s="384">
        <f>+IngresosNetos!H59/CantidadDeProducto!H59</f>
        <v>2.4678064875222772</v>
      </c>
      <c r="I59" s="384">
        <f>+IngresosNetos!I59/CantidadDeProducto!I59</f>
        <v>2.4669875589016539</v>
      </c>
      <c r="J59" s="384">
        <f>+IngresosNetos!J59/CantidadDeProducto!J59</f>
        <v>2.4669829999999999</v>
      </c>
      <c r="K59" s="384">
        <f>+IngresosNetos!K59/CantidadDeProducto!K59</f>
        <v>1.5970682874549045</v>
      </c>
      <c r="L59" s="384">
        <f>+IngresosNetos!L59/CantidadDeProducto!L59</f>
        <v>1.4906868156601982</v>
      </c>
      <c r="M59" s="384">
        <f>+IngresosNetos!M59/CantidadDeProducto!M59</f>
        <v>1.3540155168768837</v>
      </c>
      <c r="N59" s="384">
        <f>+IngresosNetos!N59/CantidadDeProducto!N59</f>
        <v>1.2072436139166116</v>
      </c>
      <c r="O59" s="384">
        <f>+IngresosNetos!O59/CantidadDeProducto!O59</f>
        <v>0.99596588156198484</v>
      </c>
    </row>
    <row r="60" spans="2:15">
      <c r="B60" s="60" t="str">
        <f>+IngresosBrutos!B60</f>
        <v>Terrenos</v>
      </c>
      <c r="C60" s="385">
        <f>+IngresosNetos!C60/CantidadDeProducto!C60</f>
        <v>0.5877642523313954</v>
      </c>
      <c r="D60" s="385">
        <f>+IngresosNetos!D60/CantidadDeProducto!D60</f>
        <v>0.57938068161283407</v>
      </c>
      <c r="E60" s="385">
        <f>+IngresosNetos!E60/CantidadDeProducto!E60</f>
        <v>0.59469438635837413</v>
      </c>
      <c r="F60" s="385">
        <f>+IngresosNetos!F60/CantidadDeProducto!F60</f>
        <v>0.58936195852814821</v>
      </c>
      <c r="G60" s="385">
        <f>+IngresosNetos!G60/CantidadDeProducto!G60</f>
        <v>0.5952523722156432</v>
      </c>
      <c r="H60" s="385">
        <f>+IngresosNetos!H60/CantidadDeProducto!H60</f>
        <v>0.5952523722156432</v>
      </c>
      <c r="I60" s="385">
        <f>+IngresosNetos!I60/CantidadDeProducto!I60</f>
        <v>0.6231508802569149</v>
      </c>
      <c r="J60" s="385">
        <f>+IngresosNetos!J60/CantidadDeProducto!J60</f>
        <v>0.63642405182424655</v>
      </c>
      <c r="K60" s="385">
        <f>+IngresosNetos!K60/CantidadDeProducto!K60</f>
        <v>0.48944476130041947</v>
      </c>
      <c r="L60" s="385">
        <f>+IngresosNetos!L60/CantidadDeProducto!L60</f>
        <v>1.5074392754129906</v>
      </c>
      <c r="M60" s="385">
        <f>+IngresosNetos!M60/CantidadDeProducto!M60</f>
        <v>2.1121858987633484</v>
      </c>
      <c r="N60" s="385">
        <f>+IngresosNetos!N60/CantidadDeProducto!N60</f>
        <v>1.8371157171316463</v>
      </c>
      <c r="O60" s="385">
        <f>+IngresosNetos!O60/CantidadDeProducto!O60</f>
        <v>1.9574178053493732</v>
      </c>
    </row>
    <row r="61" spans="2:15">
      <c r="B61" s="53" t="str">
        <f>+IngresosBrutos!B61</f>
        <v>Bancos</v>
      </c>
      <c r="C61" s="384">
        <f>+IngresosNetos!C61/CantidadDeProducto!C61</f>
        <v>7.6976940950726708E-3</v>
      </c>
      <c r="D61" s="384">
        <f>+IngresosNetos!D61/CantidadDeProducto!D61</f>
        <v>8.6578126260948279E-3</v>
      </c>
      <c r="E61" s="384">
        <f>+IngresosNetos!E61/CantidadDeProducto!E61</f>
        <v>9.621355249254903E-3</v>
      </c>
      <c r="F61" s="384">
        <f>+IngresosNetos!F61/CantidadDeProducto!F61</f>
        <v>8.7738151910398427E-3</v>
      </c>
      <c r="G61" s="384">
        <f>+IngresosNetos!G61/CantidadDeProducto!G61</f>
        <v>1.1408838123398136E-2</v>
      </c>
      <c r="H61" s="384">
        <f>+IngresosNetos!H61/CantidadDeProducto!H61</f>
        <v>1.1408838123398136E-2</v>
      </c>
      <c r="I61" s="384">
        <f>+IngresosNetos!I61/CantidadDeProducto!I61</f>
        <v>2.0048338216546092E-2</v>
      </c>
      <c r="J61" s="384">
        <f>+IngresosNetos!J61/CantidadDeProducto!J61</f>
        <v>1.8941473079369751E-2</v>
      </c>
      <c r="K61" s="384">
        <f>+IngresosNetos!K61/CantidadDeProducto!K61</f>
        <v>2.0163041307867717E-2</v>
      </c>
      <c r="L61" s="384">
        <f>+IngresosNetos!L61/CantidadDeProducto!L61</f>
        <v>1.9405380091346472E-2</v>
      </c>
      <c r="M61" s="384">
        <f>+IngresosNetos!M61/CantidadDeProducto!M61</f>
        <v>1.8358066611220275E-2</v>
      </c>
      <c r="N61" s="384">
        <f>+IngresosNetos!N61/CantidadDeProducto!N61</f>
        <v>2.1120270895633658E-2</v>
      </c>
      <c r="O61" s="384">
        <f>+IngresosNetos!O61/CantidadDeProducto!O61</f>
        <v>2.7061484540480994E-2</v>
      </c>
    </row>
    <row r="62" spans="2:15">
      <c r="B62" s="60" t="str">
        <f>+IngresosBrutos!B62</f>
        <v xml:space="preserve">Arrendamiento de locales </v>
      </c>
      <c r="C62" s="385">
        <f>+IngresosNetos!C62/CantidadDeProducto!C62</f>
        <v>0.31430446084654262</v>
      </c>
      <c r="D62" s="385">
        <f>+IngresosNetos!D62/CantidadDeProducto!D62</f>
        <v>0.3911302782015848</v>
      </c>
      <c r="E62" s="385">
        <f>+IngresosNetos!E62/CantidadDeProducto!E62</f>
        <v>0.37992467435988758</v>
      </c>
      <c r="F62" s="385">
        <f>+IngresosNetos!F62/CantidadDeProducto!F62</f>
        <v>0.28592437297715739</v>
      </c>
      <c r="G62" s="385">
        <f>+IngresosNetos!G62/CantidadDeProducto!G62</f>
        <v>0.38796145610739974</v>
      </c>
      <c r="H62" s="385">
        <f>+IngresosNetos!H62/CantidadDeProducto!H62</f>
        <v>0.38796145610739974</v>
      </c>
      <c r="I62" s="385">
        <f>+IngresosNetos!I62/CantidadDeProducto!I62</f>
        <v>0.48032788072139432</v>
      </c>
      <c r="J62" s="385">
        <f>+IngresosNetos!J62/CantidadDeProducto!J62</f>
        <v>0.54300061027949587</v>
      </c>
      <c r="K62" s="385">
        <f>+IngresosNetos!K62/CantidadDeProducto!K62</f>
        <v>0.64859604610986454</v>
      </c>
      <c r="L62" s="385">
        <f>+IngresosNetos!L62/CantidadDeProducto!L62</f>
        <v>0.80087154250944048</v>
      </c>
      <c r="M62" s="385">
        <f>+IngresosNetos!M62/CantidadDeProducto!M62</f>
        <v>0.78463702027557936</v>
      </c>
      <c r="N62" s="385">
        <f>+IngresosNetos!N62/CantidadDeProducto!N62</f>
        <v>0.93537964572888743</v>
      </c>
      <c r="O62" s="385">
        <f>+IngresosNetos!O62/CantidadDeProducto!O62</f>
        <v>0.91136268861141856</v>
      </c>
    </row>
    <row r="63" spans="2:15">
      <c r="B63" s="53" t="str">
        <f>+IngresosBrutos!B63</f>
        <v>Tiendas Comerciales</v>
      </c>
      <c r="C63" s="384">
        <f>+IngresosNetos!C63/CantidadDeProducto!C63</f>
        <v>5.8062065954277179E-3</v>
      </c>
      <c r="D63" s="384">
        <f>+IngresosNetos!D63/CantidadDeProducto!D63</f>
        <v>1.9455564713022858E-2</v>
      </c>
      <c r="E63" s="384">
        <f>+IngresosNetos!E63/CantidadDeProducto!E63</f>
        <v>1.8272434776662651E-2</v>
      </c>
      <c r="F63" s="384">
        <f>+IngresosNetos!F63/CantidadDeProducto!F63</f>
        <v>1.505614637214106E-2</v>
      </c>
      <c r="G63" s="384">
        <f>+IngresosNetos!G63/CantidadDeProducto!G63</f>
        <v>2.9504401610466061E-3</v>
      </c>
      <c r="H63" s="384">
        <f>+IngresosNetos!H63/CantidadDeProducto!H63</f>
        <v>2.9504401610466061E-3</v>
      </c>
      <c r="I63" s="384">
        <f>+IngresosNetos!I63/CantidadDeProducto!I63</f>
        <v>9.5620030006070104E-3</v>
      </c>
      <c r="J63" s="384">
        <f>+IngresosNetos!J63/CantidadDeProducto!J63</f>
        <v>8.3805850211052593E-3</v>
      </c>
      <c r="K63" s="384">
        <f>+IngresosNetos!K63/CantidadDeProducto!K63</f>
        <v>7.7351075340869203E-3</v>
      </c>
      <c r="L63" s="384">
        <f>+IngresosNetos!L63/CantidadDeProducto!L63</f>
        <v>7.3460451111435759E-3</v>
      </c>
      <c r="M63" s="384">
        <f>+IngresosNetos!M63/CantidadDeProducto!M63</f>
        <v>4.7875420856860326E-3</v>
      </c>
      <c r="N63" s="384">
        <f>+IngresosNetos!N63/CantidadDeProducto!N63</f>
        <v>2.9003391131398109E-3</v>
      </c>
      <c r="O63" s="384">
        <f>+IngresosNetos!O63/CantidadDeProducto!O63</f>
        <v>6.4831302576846403E-3</v>
      </c>
    </row>
    <row r="64" spans="2:15">
      <c r="B64" s="60" t="str">
        <f>+IngresosBrutos!B64</f>
        <v>Duty Free</v>
      </c>
      <c r="C64" s="385">
        <f>+IngresosNetos!C64/CantidadDeProducto!C64</f>
        <v>0.25381404884359388</v>
      </c>
      <c r="D64" s="385">
        <f>+IngresosNetos!D64/CantidadDeProducto!D64</f>
        <v>0.39865416982778867</v>
      </c>
      <c r="E64" s="385">
        <f>+IngresosNetos!E64/CantidadDeProducto!E64</f>
        <v>0.415302774925142</v>
      </c>
      <c r="F64" s="385">
        <f>+IngresosNetos!F64/CantidadDeProducto!F64</f>
        <v>0.36958488618718016</v>
      </c>
      <c r="G64" s="385">
        <f>+IngresosNetos!G64/CantidadDeProducto!G64</f>
        <v>0.36317327814302458</v>
      </c>
      <c r="H64" s="385">
        <f>+IngresosNetos!H64/CantidadDeProducto!H64</f>
        <v>0.36317327814302458</v>
      </c>
      <c r="I64" s="385">
        <f>+IngresosNetos!I64/CantidadDeProducto!I64</f>
        <v>0.38138125248651517</v>
      </c>
      <c r="J64" s="385">
        <f>+IngresosNetos!J64/CantidadDeProducto!J64</f>
        <v>0.39932641302187694</v>
      </c>
      <c r="K64" s="385">
        <f>+IngresosNetos!K64/CantidadDeProducto!K64</f>
        <v>0.41515235923714239</v>
      </c>
      <c r="L64" s="385">
        <f>+IngresosNetos!L64/CantidadDeProducto!L64</f>
        <v>0.4862685772415048</v>
      </c>
      <c r="M64" s="385">
        <f>+IngresosNetos!M64/CantidadDeProducto!M64</f>
        <v>0.51881423628373435</v>
      </c>
      <c r="N64" s="385">
        <f>+IngresosNetos!N64/CantidadDeProducto!N64</f>
        <v>0.61454765431228475</v>
      </c>
      <c r="O64" s="385">
        <f>+IngresosNetos!O64/CantidadDeProducto!O64</f>
        <v>0.62377127926474185</v>
      </c>
    </row>
    <row r="65" spans="2:15">
      <c r="B65" s="53" t="str">
        <f>+IngresosBrutos!B65</f>
        <v>Comidas y bebidas</v>
      </c>
      <c r="C65" s="384">
        <f>+IngresosNetos!C65/CantidadDeProducto!C65</f>
        <v>4.6922494343821203E-2</v>
      </c>
      <c r="D65" s="384">
        <f>+IngresosNetos!D65/CantidadDeProducto!D65</f>
        <v>7.7382466991804733E-2</v>
      </c>
      <c r="E65" s="384">
        <f>+IngresosNetos!E65/CantidadDeProducto!E65</f>
        <v>7.9985970007435875E-2</v>
      </c>
      <c r="F65" s="384">
        <f>+IngresosNetos!F65/CantidadDeProducto!F65</f>
        <v>8.2104863598873007E-2</v>
      </c>
      <c r="G65" s="384">
        <f>+IngresosNetos!G65/CantidadDeProducto!G65</f>
        <v>0.12937190959952258</v>
      </c>
      <c r="H65" s="384">
        <f>+IngresosNetos!H65/CantidadDeProducto!H65</f>
        <v>0.12937190959952258</v>
      </c>
      <c r="I65" s="384">
        <f>+IngresosNetos!I65/CantidadDeProducto!I65</f>
        <v>0.15016396869561552</v>
      </c>
      <c r="J65" s="384">
        <f>+IngresosNetos!J65/CantidadDeProducto!J65</f>
        <v>0.17057118974160371</v>
      </c>
      <c r="K65" s="384">
        <f>+IngresosNetos!K65/CantidadDeProducto!K65</f>
        <v>0.18933914792550444</v>
      </c>
      <c r="L65" s="384">
        <f>+IngresosNetos!L65/CantidadDeProducto!L65</f>
        <v>0.19291939452577331</v>
      </c>
      <c r="M65" s="384">
        <f>+IngresosNetos!M65/CantidadDeProducto!M65</f>
        <v>0.22720930788902011</v>
      </c>
      <c r="N65" s="384">
        <f>+IngresosNetos!N65/CantidadDeProducto!N65</f>
        <v>0.25404209806948941</v>
      </c>
      <c r="O65" s="384">
        <f>+IngresosNetos!O65/CantidadDeProducto!O65</f>
        <v>0.26587371689806</v>
      </c>
    </row>
    <row r="66" spans="2:15">
      <c r="B66" s="60" t="str">
        <f>+IngresosBrutos!B66</f>
        <v>Transporte terrestre de pasajeros</v>
      </c>
      <c r="C66" s="385">
        <f>+IngresosNetos!C66/CantidadDeProducto!C66</f>
        <v>3.8190735488496663E-2</v>
      </c>
      <c r="D66" s="385">
        <f>+IngresosNetos!D66/CantidadDeProducto!D66</f>
        <v>6.026142264114194E-2</v>
      </c>
      <c r="E66" s="385">
        <f>+IngresosNetos!E66/CantidadDeProducto!E66</f>
        <v>5.5068945649273116E-2</v>
      </c>
      <c r="F66" s="385">
        <f>+IngresosNetos!F66/CantidadDeProducto!F66</f>
        <v>4.5568725327773965E-2</v>
      </c>
      <c r="G66" s="385">
        <f>+IngresosNetos!G66/CantidadDeProducto!G66</f>
        <v>4.3047716151731981E-2</v>
      </c>
      <c r="H66" s="385">
        <f>+IngresosNetos!H66/CantidadDeProducto!H66</f>
        <v>4.3047716151731981E-2</v>
      </c>
      <c r="I66" s="385">
        <f>+IngresosNetos!I66/CantidadDeProducto!I66</f>
        <v>4.3975934836565235E-2</v>
      </c>
      <c r="J66" s="385">
        <f>+IngresosNetos!J66/CantidadDeProducto!J66</f>
        <v>4.2002585243394737E-2</v>
      </c>
      <c r="K66" s="385">
        <f>+IngresosNetos!K66/CantidadDeProducto!K66</f>
        <v>5.6415696136485352E-2</v>
      </c>
      <c r="L66" s="385">
        <f>+IngresosNetos!L66/CantidadDeProducto!L66</f>
        <v>5.9120623378073868E-2</v>
      </c>
      <c r="M66" s="385">
        <f>+IngresosNetos!M66/CantidadDeProducto!M66</f>
        <v>6.0833391502751556E-2</v>
      </c>
      <c r="N66" s="385">
        <f>+IngresosNetos!N66/CantidadDeProducto!N66</f>
        <v>7.1153501194067464E-2</v>
      </c>
      <c r="O66" s="385">
        <f>+IngresosNetos!O66/CantidadDeProducto!O66</f>
        <v>7.1377269161030057E-2</v>
      </c>
    </row>
    <row r="67" spans="2:15">
      <c r="B67" s="53" t="str">
        <f>+IngresosBrutos!B67</f>
        <v>Publicidad</v>
      </c>
      <c r="C67" s="384">
        <f>+IngresosNetos!C67/CantidadDeProducto!C67</f>
        <v>3.608596815279713E-3</v>
      </c>
      <c r="D67" s="384">
        <f>+IngresosNetos!D67/CantidadDeProducto!D67</f>
        <v>4.1688665185998397E-2</v>
      </c>
      <c r="E67" s="384">
        <f>+IngresosNetos!E67/CantidadDeProducto!E67</f>
        <v>3.1903673530974501E-2</v>
      </c>
      <c r="F67" s="384">
        <f>+IngresosNetos!F67/CantidadDeProducto!F67</f>
        <v>4.1718070783722534E-2</v>
      </c>
      <c r="G67" s="384">
        <f>+IngresosNetos!G67/CantidadDeProducto!G67</f>
        <v>5.0709144403556443E-2</v>
      </c>
      <c r="H67" s="384">
        <f>+IngresosNetos!H67/CantidadDeProducto!H67</f>
        <v>5.0709144403556443E-2</v>
      </c>
      <c r="I67" s="384">
        <f>+IngresosNetos!I67/CantidadDeProducto!I67</f>
        <v>5.7045927160823906E-2</v>
      </c>
      <c r="J67" s="384">
        <f>+IngresosNetos!J67/CantidadDeProducto!J67</f>
        <v>4.3118631372174046E-2</v>
      </c>
      <c r="K67" s="384">
        <f>+IngresosNetos!K67/CantidadDeProducto!K67</f>
        <v>8.484713561725396E-2</v>
      </c>
      <c r="L67" s="384">
        <f>+IngresosNetos!L67/CantidadDeProducto!L67</f>
        <v>0.10710222617907277</v>
      </c>
      <c r="M67" s="384">
        <f>+IngresosNetos!M67/CantidadDeProducto!M67</f>
        <v>0.10987991671094323</v>
      </c>
      <c r="N67" s="384">
        <f>+IngresosNetos!N67/CantidadDeProducto!N67</f>
        <v>0.10646495648534769</v>
      </c>
      <c r="O67" s="384">
        <f>+IngresosNetos!O67/CantidadDeProducto!O67</f>
        <v>0.11144802522470811</v>
      </c>
    </row>
    <row r="68" spans="2:15">
      <c r="B68" s="60" t="str">
        <f>+IngresosBrutos!B68</f>
        <v>Otros Comerciales</v>
      </c>
      <c r="C68" s="385">
        <f>+IngresosNetos!C68/CantidadDeProducto!C68</f>
        <v>0.11591499258840354</v>
      </c>
      <c r="D68" s="385">
        <f>+IngresosNetos!D68/CantidadDeProducto!D68</f>
        <v>0.17312912737067351</v>
      </c>
      <c r="E68" s="385">
        <f>+IngresosNetos!E68/CantidadDeProducto!E68</f>
        <v>0.25104522091225584</v>
      </c>
      <c r="F68" s="385">
        <f>+IngresosNetos!F68/CantidadDeProducto!F68</f>
        <v>0.28066267122731975</v>
      </c>
      <c r="G68" s="385">
        <f>+IngresosNetos!G68/CantidadDeProducto!G68</f>
        <v>0.21345932139598339</v>
      </c>
      <c r="H68" s="385">
        <f>+IngresosNetos!H68/CantidadDeProducto!H68</f>
        <v>0.2134593213959827</v>
      </c>
      <c r="I68" s="385">
        <f>+IngresosNetos!I68/CantidadDeProducto!I68</f>
        <v>0.17970629078459435</v>
      </c>
      <c r="J68" s="385">
        <f>+IngresosNetos!J68/CantidadDeProducto!J68</f>
        <v>0.23301983068792839</v>
      </c>
      <c r="K68" s="385">
        <f>+IngresosNetos!K68/CantidadDeProducto!K68</f>
        <v>0.1687938752380361</v>
      </c>
      <c r="L68" s="385">
        <f>+IngresosNetos!L68/CantidadDeProducto!L68</f>
        <v>0.2347319246715634</v>
      </c>
      <c r="M68" s="385">
        <f>+IngresosNetos!M68/CantidadDeProducto!M68</f>
        <v>0.25732204515451096</v>
      </c>
      <c r="N68" s="385">
        <f>+IngresosNetos!N68/CantidadDeProducto!N68</f>
        <v>0.2302048639594865</v>
      </c>
      <c r="O68" s="385">
        <f>+IngresosNetos!O68/CantidadDeProducto!O68</f>
        <v>0.2539544899437875</v>
      </c>
    </row>
    <row r="71" spans="2:15"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</row>
    <row r="73" spans="2:15"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</row>
    <row r="76" spans="2:15"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</row>
  </sheetData>
  <mergeCells count="1">
    <mergeCell ref="E2:H2"/>
  </mergeCells>
  <hyperlinks>
    <hyperlink ref="E2:H2" location="Indice!D3" display="ÍNDICE"/>
  </hyperlinks>
  <pageMargins left="0.7" right="0.7" top="0.75" bottom="0.75" header="0.3" footer="0.3"/>
  <pageSetup orientation="portrait" r:id="rId1"/>
  <ignoredErrors>
    <ignoredError sqref="C4:O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5">
    <tabColor rgb="FF00B050"/>
  </sheetPr>
  <dimension ref="B2:Q21"/>
  <sheetViews>
    <sheetView showGridLines="0" workbookViewId="0">
      <selection activeCell="E2" sqref="E2:H2"/>
    </sheetView>
  </sheetViews>
  <sheetFormatPr baseColWidth="10" defaultRowHeight="9"/>
  <cols>
    <col min="1" max="1" width="8.140625" style="35" customWidth="1"/>
    <col min="2" max="2" width="8.28515625" style="35" customWidth="1"/>
    <col min="3" max="3" width="35.140625" style="35" customWidth="1"/>
    <col min="4" max="15" width="7.7109375" style="35" customWidth="1"/>
    <col min="16" max="16384" width="11.42578125" style="35"/>
  </cols>
  <sheetData>
    <row r="2" spans="2:17" ht="15">
      <c r="E2" s="444" t="s">
        <v>555</v>
      </c>
      <c r="F2" s="444"/>
      <c r="G2" s="444"/>
      <c r="H2" s="444"/>
    </row>
    <row r="4" spans="2:17">
      <c r="C4" s="70"/>
      <c r="D4" s="70"/>
      <c r="E4" s="70"/>
      <c r="F4" s="71"/>
      <c r="G4" s="70"/>
      <c r="H4" s="70"/>
      <c r="I4" s="70"/>
      <c r="J4" s="70"/>
      <c r="K4" s="70"/>
      <c r="L4" s="70"/>
      <c r="M4" s="70"/>
      <c r="N4" s="70"/>
      <c r="O4" s="70"/>
    </row>
    <row r="5" spans="2:17" ht="9.75" thickBot="1">
      <c r="C5" s="42" t="s">
        <v>397</v>
      </c>
      <c r="D5" s="42">
        <v>2002</v>
      </c>
      <c r="E5" s="42">
        <v>2003</v>
      </c>
      <c r="F5" s="42">
        <v>2004</v>
      </c>
      <c r="G5" s="49" t="s">
        <v>469</v>
      </c>
      <c r="H5" s="88">
        <v>2005</v>
      </c>
      <c r="I5" s="42">
        <v>2006</v>
      </c>
      <c r="J5" s="42">
        <v>2007</v>
      </c>
      <c r="K5" s="42">
        <v>2008</v>
      </c>
      <c r="L5" s="42">
        <v>2009</v>
      </c>
      <c r="M5" s="42">
        <v>2010</v>
      </c>
      <c r="N5" s="42">
        <v>2011</v>
      </c>
      <c r="O5" s="43">
        <v>2012</v>
      </c>
    </row>
    <row r="6" spans="2:17" ht="9.75" thickTop="1">
      <c r="C6" s="257" t="s">
        <v>522</v>
      </c>
      <c r="D6" s="259">
        <f>+D7/D8</f>
        <v>1.0302133033180074</v>
      </c>
      <c r="E6" s="259">
        <f t="shared" ref="E6:O6" si="0">+E7/E8</f>
        <v>1.0305079359158049</v>
      </c>
      <c r="F6" s="259">
        <f t="shared" si="0"/>
        <v>1.0950649053066723</v>
      </c>
      <c r="G6" s="259">
        <f t="shared" si="0"/>
        <v>1.0975166405945664</v>
      </c>
      <c r="H6" s="259"/>
      <c r="I6" s="259">
        <f t="shared" si="0"/>
        <v>1.0705470756154201</v>
      </c>
      <c r="J6" s="259">
        <f t="shared" si="0"/>
        <v>1.2003777158168258</v>
      </c>
      <c r="K6" s="259">
        <f t="shared" si="0"/>
        <v>1.0916753165223978</v>
      </c>
      <c r="L6" s="259">
        <f t="shared" si="0"/>
        <v>1.0738814824300862</v>
      </c>
      <c r="M6" s="259">
        <f t="shared" si="0"/>
        <v>1.1125646275974557</v>
      </c>
      <c r="N6" s="259">
        <f t="shared" si="0"/>
        <v>1.1168953162057123</v>
      </c>
      <c r="O6" s="259">
        <f t="shared" si="0"/>
        <v>1.105000858278872</v>
      </c>
      <c r="P6" s="73"/>
      <c r="Q6" s="73"/>
    </row>
    <row r="7" spans="2:17">
      <c r="C7" s="258" t="s">
        <v>186</v>
      </c>
      <c r="D7" s="64">
        <f>+SUMPRODUCT(PreciosImplicitos!C5:C68,CantidadDeProducto!D5:D68)</f>
        <v>24118580.300254438</v>
      </c>
      <c r="E7" s="64">
        <f>+SUMPRODUCT(PreciosImplicitos!D5:D68,CantidadDeProducto!E5:E68)</f>
        <v>28566070.432859123</v>
      </c>
      <c r="F7" s="64">
        <f>+SUMPRODUCT(PreciosImplicitos!E5:E68,CantidadDeProducto!F5:F68)</f>
        <v>33761817.311606392</v>
      </c>
      <c r="G7" s="64">
        <f>+SUMPRODUCT(PreciosImplicitos!F5:F68,CantidadDeProducto!G5:G68)</f>
        <v>36616950.057423569</v>
      </c>
      <c r="H7" s="64"/>
      <c r="I7" s="64">
        <f>+SUMPRODUCT(PreciosImplicitos!H5:H68,CantidadDeProducto!I5:I68)</f>
        <v>42172663.773705967</v>
      </c>
      <c r="J7" s="64">
        <f>+SUMPRODUCT(PreciosImplicitos!I5:I68,CantidadDeProducto!J5:J68)</f>
        <v>52777166.077764712</v>
      </c>
      <c r="K7" s="64">
        <f>+SUMPRODUCT(PreciosImplicitos!J5:J68,CantidadDeProducto!K5:K68)</f>
        <v>58983815.471877642</v>
      </c>
      <c r="L7" s="64">
        <f>+SUMPRODUCT(PreciosImplicitos!K5:K68,CantidadDeProducto!L5:L68)</f>
        <v>65691606.656132624</v>
      </c>
      <c r="M7" s="64">
        <f>+SUMPRODUCT(PreciosImplicitos!L5:L68,CantidadDeProducto!M5:M68)</f>
        <v>76764959.359078288</v>
      </c>
      <c r="N7" s="64">
        <f>+SUMPRODUCT(PreciosImplicitos!M5:M68,CantidadDeProducto!N5:N68)</f>
        <v>87672417.786500171</v>
      </c>
      <c r="O7" s="64">
        <f>+SUMPRODUCT(PreciosImplicitos!N5:N68,CantidadDeProducto!O5:O68)</f>
        <v>102556012.42939202</v>
      </c>
    </row>
    <row r="8" spans="2:17">
      <c r="C8" s="257" t="s">
        <v>187</v>
      </c>
      <c r="D8" s="63">
        <f>+SUMPRODUCT(PreciosImplicitos!C5:C68,CantidadDeProducto!C5:C68)</f>
        <v>23411249.129258707</v>
      </c>
      <c r="E8" s="63">
        <f>+SUMPRODUCT(PreciosImplicitos!D5:D68,CantidadDeProducto!D5:D68)</f>
        <v>27720378.890117586</v>
      </c>
      <c r="F8" s="63">
        <f>+SUMPRODUCT(PreciosImplicitos!E5:E68,CantidadDeProducto!E5:E68)</f>
        <v>30830882.396099996</v>
      </c>
      <c r="G8" s="63">
        <f>+SUMPRODUCT(PreciosImplicitos!F5:F68,CantidadDeProducto!F5:F68)</f>
        <v>33363457.739999983</v>
      </c>
      <c r="H8" s="63"/>
      <c r="I8" s="63">
        <f>+SUMPRODUCT(PreciosImplicitos!H5:H68,CantidadDeProducto!H5:H68)</f>
        <v>39393563.098999992</v>
      </c>
      <c r="J8" s="63">
        <f>+SUMPRODUCT(PreciosImplicitos!I5:I68,CantidadDeProducto!I5:I68)</f>
        <v>43967132.497000098</v>
      </c>
      <c r="K8" s="63">
        <f>+SUMPRODUCT(PreciosImplicitos!J5:J68,CantidadDeProducto!J5:J68)</f>
        <v>54030547.891999975</v>
      </c>
      <c r="L8" s="63">
        <f>+SUMPRODUCT(PreciosImplicitos!K5:K68,CantidadDeProducto!K5:K68)</f>
        <v>61172119.764537796</v>
      </c>
      <c r="M8" s="63">
        <f>+SUMPRODUCT(PreciosImplicitos!L5:L68,CantidadDeProducto!L5:L68)</f>
        <v>68998202.40092437</v>
      </c>
      <c r="N8" s="63">
        <f>+SUMPRODUCT(PreciosImplicitos!M5:M68,CantidadDeProducto!M5:M68)</f>
        <v>78496539.930294126</v>
      </c>
      <c r="O8" s="63">
        <f>+SUMPRODUCT(PreciosImplicitos!N5:N68,CantidadDeProducto!N5:N68)</f>
        <v>92810798.888546839</v>
      </c>
      <c r="P8" s="73"/>
    </row>
    <row r="9" spans="2:17">
      <c r="C9" s="258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73"/>
    </row>
    <row r="10" spans="2:17">
      <c r="C10" s="257" t="s">
        <v>523</v>
      </c>
      <c r="D10" s="259">
        <f>+D11/D12</f>
        <v>1.0325915778931969</v>
      </c>
      <c r="E10" s="259">
        <f t="shared" ref="E10:O10" si="1">+E11/E12</f>
        <v>1.0300623687616928</v>
      </c>
      <c r="F10" s="259">
        <f t="shared" si="1"/>
        <v>1.0896322088251544</v>
      </c>
      <c r="G10" s="259">
        <f t="shared" si="1"/>
        <v>1.096126387193944</v>
      </c>
      <c r="H10" s="259"/>
      <c r="I10" s="259">
        <f t="shared" si="1"/>
        <v>1.0480376723242146</v>
      </c>
      <c r="J10" s="259">
        <f t="shared" si="1"/>
        <v>1.2017365169834662</v>
      </c>
      <c r="K10" s="259">
        <f t="shared" si="1"/>
        <v>1.0916184348643787</v>
      </c>
      <c r="L10" s="259">
        <f t="shared" si="1"/>
        <v>1.0711141624857543</v>
      </c>
      <c r="M10" s="259">
        <f t="shared" si="1"/>
        <v>1.114660565578782</v>
      </c>
      <c r="N10" s="259">
        <f t="shared" si="1"/>
        <v>1.1166761887709695</v>
      </c>
      <c r="O10" s="259">
        <f t="shared" si="1"/>
        <v>1.1052078368192917</v>
      </c>
      <c r="P10" s="72"/>
    </row>
    <row r="11" spans="2:17">
      <c r="C11" s="258" t="s">
        <v>186</v>
      </c>
      <c r="D11" s="64">
        <f>+SUMPRODUCT(PreciosImplicitos!D5:D68,CantidadDeProducto!D5:D68)</f>
        <v>27720378.890117586</v>
      </c>
      <c r="E11" s="64">
        <f>+SUMPRODUCT(PreciosImplicitos!E5:E68,CantidadDeProducto!E5:E68)</f>
        <v>30830882.396099996</v>
      </c>
      <c r="F11" s="64">
        <f>+SUMPRODUCT(PreciosImplicitos!F5:F68,CantidadDeProducto!F5:F68)</f>
        <v>33363457.739999983</v>
      </c>
      <c r="G11" s="64">
        <f>+SUMPRODUCT(PreciosImplicitos!G5:G68,CantidadDeProducto!G5:G68)</f>
        <v>38432053.482877001</v>
      </c>
      <c r="H11" s="64"/>
      <c r="I11" s="64">
        <f>+SUMPRODUCT(PreciosImplicitos!I5:I68,CantidadDeProducto!I5:I68)</f>
        <v>43967132.497000098</v>
      </c>
      <c r="J11" s="64">
        <f>+SUMPRODUCT(PreciosImplicitos!J5:J68,CantidadDeProducto!J5:J68)</f>
        <v>54030547.891999975</v>
      </c>
      <c r="K11" s="64">
        <f>+SUMPRODUCT(PreciosImplicitos!K5:K68,CantidadDeProducto!K5:K68)</f>
        <v>61172119.764537796</v>
      </c>
      <c r="L11" s="64">
        <f>+SUMPRODUCT(PreciosImplicitos!L5:L68,CantidadDeProducto!L5:L68)</f>
        <v>68998202.40092437</v>
      </c>
      <c r="M11" s="64">
        <f>+SUMPRODUCT(PreciosImplicitos!M5:M68,CantidadDeProducto!M5:M68)</f>
        <v>78496539.930294126</v>
      </c>
      <c r="N11" s="64">
        <f>+SUMPRODUCT(PreciosImplicitos!N5:N68,CantidadDeProducto!N5:N68)</f>
        <v>92810798.888546839</v>
      </c>
      <c r="O11" s="64">
        <f>+SUMPRODUCT(PreciosImplicitos!O5:O68,CantidadDeProducto!O5:O68)</f>
        <v>106340620.18440014</v>
      </c>
      <c r="P11" s="73"/>
    </row>
    <row r="12" spans="2:17">
      <c r="C12" s="257" t="s">
        <v>187</v>
      </c>
      <c r="D12" s="63">
        <f>+SUMPRODUCT(PreciosImplicitos!D5:D68,CantidadDeProducto!C5:C68)</f>
        <v>26845443.526351098</v>
      </c>
      <c r="E12" s="63">
        <f>+SUMPRODUCT(PreciosImplicitos!E5:E68,CantidadDeProducto!D5:D68)</f>
        <v>29931083.137386985</v>
      </c>
      <c r="F12" s="63">
        <f>+SUMPRODUCT(PreciosImplicitos!F5:F68,CantidadDeProducto!E5:E68)</f>
        <v>30619008.386299986</v>
      </c>
      <c r="G12" s="63">
        <f>+SUMPRODUCT(PreciosImplicitos!G5:G68,CantidadDeProducto!F5:F68)</f>
        <v>35061699.026571281</v>
      </c>
      <c r="H12" s="63"/>
      <c r="I12" s="63">
        <f>+SUMPRODUCT(PreciosImplicitos!I5:I68,CantidadDeProducto!H5:H68)</f>
        <v>41951862.664912574</v>
      </c>
      <c r="J12" s="63">
        <f>+SUMPRODUCT(PreciosImplicitos!J5:J68,CantidadDeProducto!I5:I68)</f>
        <v>44960394.502802104</v>
      </c>
      <c r="K12" s="63">
        <f>+SUMPRODUCT(PreciosImplicitos!K5:K68,CantidadDeProducto!J5:J68)</f>
        <v>56038005.415452458</v>
      </c>
      <c r="L12" s="63">
        <f>+SUMPRODUCT(PreciosImplicitos!L5:L68,CantidadDeProducto!K5:K68)</f>
        <v>64417225.369141772</v>
      </c>
      <c r="M12" s="63">
        <f>+SUMPRODUCT(PreciosImplicitos!M5:M68,CantidadDeProducto!L5:L68)</f>
        <v>70421922.470662788</v>
      </c>
      <c r="N12" s="63">
        <f>+SUMPRODUCT(PreciosImplicitos!N5:N68,CantidadDeProducto!M5:M68)</f>
        <v>83113439.528692544</v>
      </c>
      <c r="O12" s="63">
        <f>+SUMPRODUCT(PreciosImplicitos!O5:O68,CantidadDeProducto!N5:N68)</f>
        <v>96217758.001464024</v>
      </c>
      <c r="P12" s="73"/>
    </row>
    <row r="13" spans="2:17">
      <c r="C13" s="258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73"/>
    </row>
    <row r="14" spans="2:17">
      <c r="C14" s="257" t="s">
        <v>524</v>
      </c>
      <c r="D14" s="259">
        <f>(D6*D10)^0.5</f>
        <v>1.0314017551079231</v>
      </c>
      <c r="E14" s="259">
        <f t="shared" ref="E14:O14" si="2">(E6*E10)^0.5</f>
        <v>1.0302851282519596</v>
      </c>
      <c r="F14" s="259">
        <f t="shared" si="2"/>
        <v>1.0923451796827859</v>
      </c>
      <c r="G14" s="259">
        <f t="shared" si="2"/>
        <v>1.096821293620869</v>
      </c>
      <c r="H14" s="259"/>
      <c r="I14" s="259">
        <f t="shared" si="2"/>
        <v>1.0592325831664544</v>
      </c>
      <c r="J14" s="259">
        <f t="shared" si="2"/>
        <v>1.2010569242422615</v>
      </c>
      <c r="K14" s="259">
        <f t="shared" si="2"/>
        <v>1.0916468753229018</v>
      </c>
      <c r="L14" s="259">
        <f t="shared" si="2"/>
        <v>1.0724969299079892</v>
      </c>
      <c r="M14" s="259">
        <f t="shared" si="2"/>
        <v>1.1136121034905857</v>
      </c>
      <c r="N14" s="259">
        <f t="shared" si="2"/>
        <v>1.1167857471138953</v>
      </c>
      <c r="O14" s="259">
        <f t="shared" si="2"/>
        <v>1.1051043427033724</v>
      </c>
    </row>
    <row r="15" spans="2:17">
      <c r="C15" s="258" t="s">
        <v>525</v>
      </c>
      <c r="D15" s="260">
        <f>LN(D14)</f>
        <v>3.0918804308591775E-2</v>
      </c>
      <c r="E15" s="260">
        <f t="shared" ref="E15:O15" si="3">LN(E14)</f>
        <v>2.983558747856821E-2</v>
      </c>
      <c r="F15" s="260">
        <f t="shared" si="3"/>
        <v>8.8326925984682794E-2</v>
      </c>
      <c r="G15" s="260">
        <f t="shared" si="3"/>
        <v>9.2416263392673587E-2</v>
      </c>
      <c r="H15" s="260"/>
      <c r="I15" s="260">
        <f t="shared" si="3"/>
        <v>5.7544667780385923E-2</v>
      </c>
      <c r="J15" s="260">
        <f t="shared" si="3"/>
        <v>0.18320193934536891</v>
      </c>
      <c r="K15" s="260">
        <f t="shared" si="3"/>
        <v>8.7687450779560194E-2</v>
      </c>
      <c r="L15" s="260">
        <f t="shared" si="3"/>
        <v>6.9989509259284405E-2</v>
      </c>
      <c r="M15" s="260">
        <f t="shared" si="3"/>
        <v>0.1076088793343786</v>
      </c>
      <c r="N15" s="260">
        <f t="shared" si="3"/>
        <v>0.11045469068978282</v>
      </c>
      <c r="O15" s="260">
        <f t="shared" si="3"/>
        <v>9.9939758297550807E-2</v>
      </c>
      <c r="P15" s="261"/>
    </row>
    <row r="16" spans="2:17" ht="9.75" thickBot="1">
      <c r="B16" s="33"/>
      <c r="C16" s="42" t="s">
        <v>521</v>
      </c>
      <c r="J16" s="391"/>
      <c r="O16" s="172">
        <f>+AVERAGE(D15:O15)</f>
        <v>8.7084043331893443E-2</v>
      </c>
    </row>
    <row r="17" spans="2:15" ht="9.75" thickTop="1"/>
    <row r="18" spans="2:15">
      <c r="B18" s="33"/>
      <c r="C18" s="72"/>
      <c r="D18" s="34"/>
      <c r="E18" s="34"/>
      <c r="F18" s="34"/>
      <c r="G18" s="34"/>
      <c r="H18" s="34"/>
      <c r="I18" s="34"/>
      <c r="J18" s="34"/>
      <c r="K18" s="34"/>
      <c r="L18" s="34"/>
    </row>
    <row r="19" spans="2:15">
      <c r="B19" s="33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</row>
    <row r="20" spans="2:15">
      <c r="B20" s="33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</row>
    <row r="21" spans="2:15">
      <c r="B21" s="33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</row>
  </sheetData>
  <mergeCells count="1">
    <mergeCell ref="E2:H2"/>
  </mergeCells>
  <hyperlinks>
    <hyperlink ref="E2:H2" location="Indice!D3" display="ÍNDICE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6">
    <tabColor rgb="FF00B050"/>
  </sheetPr>
  <dimension ref="B2:Q23"/>
  <sheetViews>
    <sheetView showGridLines="0" workbookViewId="0">
      <selection activeCell="E2" sqref="E2:H2"/>
    </sheetView>
  </sheetViews>
  <sheetFormatPr baseColWidth="10" defaultRowHeight="9"/>
  <cols>
    <col min="1" max="1" width="8.140625" style="35" customWidth="1"/>
    <col min="2" max="2" width="8.28515625" style="35" customWidth="1"/>
    <col min="3" max="3" width="17.140625" style="35" customWidth="1"/>
    <col min="4" max="15" width="7.7109375" style="35" customWidth="1"/>
    <col min="16" max="16" width="11.42578125" style="35"/>
    <col min="17" max="20" width="5.7109375" style="35" customWidth="1"/>
    <col min="21" max="16384" width="11.42578125" style="35"/>
  </cols>
  <sheetData>
    <row r="2" spans="2:17" ht="15">
      <c r="E2" s="444" t="s">
        <v>555</v>
      </c>
      <c r="F2" s="444"/>
      <c r="G2" s="444"/>
      <c r="H2" s="444"/>
    </row>
    <row r="4" spans="2:17">
      <c r="C4" s="70"/>
      <c r="D4" s="70"/>
      <c r="E4" s="70"/>
      <c r="F4" s="71"/>
      <c r="G4" s="70"/>
      <c r="H4" s="70"/>
      <c r="I4" s="70"/>
      <c r="J4" s="70"/>
      <c r="K4" s="70"/>
      <c r="L4" s="70"/>
      <c r="M4" s="70"/>
      <c r="N4" s="70"/>
      <c r="O4" s="70"/>
    </row>
    <row r="5" spans="2:17" ht="9.75" thickBot="1">
      <c r="C5" s="42" t="s">
        <v>397</v>
      </c>
      <c r="D5" s="42">
        <v>2002</v>
      </c>
      <c r="E5" s="42">
        <v>2003</v>
      </c>
      <c r="F5" s="42">
        <v>2004</v>
      </c>
      <c r="G5" s="49" t="s">
        <v>469</v>
      </c>
      <c r="H5" s="88">
        <v>2005</v>
      </c>
      <c r="I5" s="42">
        <v>2006</v>
      </c>
      <c r="J5" s="42">
        <v>2007</v>
      </c>
      <c r="K5" s="42">
        <v>2008</v>
      </c>
      <c r="L5" s="42">
        <v>2009</v>
      </c>
      <c r="M5" s="42">
        <v>2010</v>
      </c>
      <c r="N5" s="42">
        <v>2011</v>
      </c>
      <c r="O5" s="43">
        <v>2012</v>
      </c>
    </row>
    <row r="6" spans="2:17" ht="9.75" thickTop="1">
      <c r="B6" s="33"/>
      <c r="C6" s="257" t="s">
        <v>398</v>
      </c>
      <c r="D6" s="259">
        <f>+D7/D8</f>
        <v>1.146689925775914</v>
      </c>
      <c r="E6" s="259">
        <f t="shared" ref="E6:O6" si="0">+E7/E8</f>
        <v>1.0797501454086373</v>
      </c>
      <c r="F6" s="259">
        <f t="shared" si="0"/>
        <v>0.99312786422788824</v>
      </c>
      <c r="G6" s="259">
        <f t="shared" si="0"/>
        <v>1.0509012375097815</v>
      </c>
      <c r="H6" s="259"/>
      <c r="I6" s="259">
        <f t="shared" si="0"/>
        <v>1.0649420708526243</v>
      </c>
      <c r="J6" s="259">
        <f t="shared" si="0"/>
        <v>1.0225910117260837</v>
      </c>
      <c r="K6" s="259">
        <f t="shared" si="0"/>
        <v>1.0371541211735467</v>
      </c>
      <c r="L6" s="259">
        <f t="shared" si="0"/>
        <v>1.0530487682476095</v>
      </c>
      <c r="M6" s="259">
        <f t="shared" si="0"/>
        <v>1.0206341617636019</v>
      </c>
      <c r="N6" s="259">
        <f t="shared" si="0"/>
        <v>1.0588166001010781</v>
      </c>
      <c r="O6" s="259">
        <f t="shared" si="0"/>
        <v>1.0367086497877094</v>
      </c>
      <c r="P6" s="73"/>
      <c r="Q6" s="73"/>
    </row>
    <row r="7" spans="2:17">
      <c r="B7" s="33"/>
      <c r="C7" s="258" t="s">
        <v>186</v>
      </c>
      <c r="D7" s="64">
        <f>+SUMPRODUCT(PreciosImplicitos!D5:D68,CantidadDeProducto!C5:C68)</f>
        <v>26845443.526351098</v>
      </c>
      <c r="E7" s="64">
        <f>+SUMPRODUCT(PreciosImplicitos!E5:E68,CantidadDeProducto!D5:D68)</f>
        <v>29931083.137386985</v>
      </c>
      <c r="F7" s="64">
        <f>+SUMPRODUCT(PreciosImplicitos!F5:F68,CantidadDeProducto!E5:E68)</f>
        <v>30619008.386299986</v>
      </c>
      <c r="G7" s="64">
        <f>+SUMPRODUCT(PreciosImplicitos!G5:G68,CantidadDeProducto!F5:F68)</f>
        <v>35061699.026571281</v>
      </c>
      <c r="H7" s="64"/>
      <c r="I7" s="64">
        <f>+SUMPRODUCT(PreciosImplicitos!I5:I68,CantidadDeProducto!H5:H68)</f>
        <v>41951862.664912574</v>
      </c>
      <c r="J7" s="64">
        <f>+SUMPRODUCT(PreciosImplicitos!J5:J68,CantidadDeProducto!I5:I68)</f>
        <v>44960394.502802104</v>
      </c>
      <c r="K7" s="64">
        <f>+SUMPRODUCT(PreciosImplicitos!K5:K68,CantidadDeProducto!J5:J68)</f>
        <v>56038005.415452458</v>
      </c>
      <c r="L7" s="64">
        <f>+SUMPRODUCT(PreciosImplicitos!L5:L68,CantidadDeProducto!K5:K68)</f>
        <v>64417225.369141772</v>
      </c>
      <c r="M7" s="64">
        <f>+SUMPRODUCT(PreciosImplicitos!M5:M68,CantidadDeProducto!L5:L68)</f>
        <v>70421922.470662788</v>
      </c>
      <c r="N7" s="64">
        <f>+SUMPRODUCT(PreciosImplicitos!N5:N68,CantidadDeProducto!M5:M68)</f>
        <v>83113439.528692544</v>
      </c>
      <c r="O7" s="64">
        <f>+SUMPRODUCT(PreciosImplicitos!O5:O68,CantidadDeProducto!N5:N68)</f>
        <v>96217758.001464024</v>
      </c>
    </row>
    <row r="8" spans="2:17">
      <c r="C8" s="257" t="s">
        <v>187</v>
      </c>
      <c r="D8" s="63">
        <f>+SUMPRODUCT(PreciosImplicitos!C5:C68,CantidadDeProducto!C5:C68)</f>
        <v>23411249.129258707</v>
      </c>
      <c r="E8" s="63">
        <f>+SUMPRODUCT(PreciosImplicitos!D5:D68,CantidadDeProducto!D5:D68)</f>
        <v>27720378.890117586</v>
      </c>
      <c r="F8" s="63">
        <f>+SUMPRODUCT(PreciosImplicitos!E5:E68,CantidadDeProducto!E5:E68)</f>
        <v>30830882.396099996</v>
      </c>
      <c r="G8" s="63">
        <f>+SUMPRODUCT(PreciosImplicitos!F5:F68,CantidadDeProducto!F5:F68)</f>
        <v>33363457.739999983</v>
      </c>
      <c r="H8" s="63"/>
      <c r="I8" s="63">
        <f>+SUMPRODUCT(PreciosImplicitos!H5:H68,CantidadDeProducto!H5:H68)</f>
        <v>39393563.098999992</v>
      </c>
      <c r="J8" s="63">
        <f>+SUMPRODUCT(PreciosImplicitos!I5:I68,CantidadDeProducto!I5:I68)</f>
        <v>43967132.497000098</v>
      </c>
      <c r="K8" s="63">
        <f>+SUMPRODUCT(PreciosImplicitos!J5:J68,CantidadDeProducto!J5:J68)</f>
        <v>54030547.891999975</v>
      </c>
      <c r="L8" s="63">
        <f>+SUMPRODUCT(PreciosImplicitos!K5:K68,CantidadDeProducto!K5:K68)</f>
        <v>61172119.764537796</v>
      </c>
      <c r="M8" s="63">
        <f>+SUMPRODUCT(PreciosImplicitos!L5:L68,CantidadDeProducto!L5:L68)</f>
        <v>68998202.40092437</v>
      </c>
      <c r="N8" s="63">
        <f>+SUMPRODUCT(PreciosImplicitos!M5:M68,CantidadDeProducto!M5:M68)</f>
        <v>78496539.930294126</v>
      </c>
      <c r="O8" s="63">
        <f>+SUMPRODUCT(PreciosImplicitos!N5:N68,CantidadDeProducto!N5:N68)</f>
        <v>92810798.888546839</v>
      </c>
      <c r="P8" s="73"/>
    </row>
    <row r="9" spans="2:17">
      <c r="C9" s="258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73"/>
    </row>
    <row r="10" spans="2:17">
      <c r="C10" s="257" t="s">
        <v>399</v>
      </c>
      <c r="D10" s="259">
        <f>+D11/D12</f>
        <v>1.1493370897052821</v>
      </c>
      <c r="E10" s="259">
        <f t="shared" ref="E10:O10" si="1">+E11/E12</f>
        <v>1.0792832870927775</v>
      </c>
      <c r="F10" s="259">
        <f t="shared" si="1"/>
        <v>0.98820088480635593</v>
      </c>
      <c r="G10" s="259">
        <f t="shared" si="1"/>
        <v>1.0495700330750362</v>
      </c>
      <c r="H10" s="259"/>
      <c r="I10" s="259">
        <f t="shared" si="1"/>
        <v>1.0425505188129225</v>
      </c>
      <c r="J10" s="259">
        <f t="shared" si="1"/>
        <v>1.0237485622549052</v>
      </c>
      <c r="K10" s="259">
        <f t="shared" si="1"/>
        <v>1.0371000803381989</v>
      </c>
      <c r="L10" s="259">
        <f t="shared" si="1"/>
        <v>1.0503351327986292</v>
      </c>
      <c r="M10" s="259">
        <f t="shared" si="1"/>
        <v>1.0225569138012063</v>
      </c>
      <c r="N10" s="259">
        <f t="shared" si="1"/>
        <v>1.0586088673242666</v>
      </c>
      <c r="O10" s="259">
        <f t="shared" si="1"/>
        <v>1.0369028364632815</v>
      </c>
      <c r="P10" s="72"/>
    </row>
    <row r="11" spans="2:17">
      <c r="C11" s="258" t="s">
        <v>186</v>
      </c>
      <c r="D11" s="64">
        <f>+SUMPRODUCT(PreciosImplicitos!D5:D68,CantidadDeProducto!D5:D68)</f>
        <v>27720378.890117586</v>
      </c>
      <c r="E11" s="64">
        <f>+SUMPRODUCT(PreciosImplicitos!E5:E68,CantidadDeProducto!E5:E68)</f>
        <v>30830882.396099996</v>
      </c>
      <c r="F11" s="64">
        <f>+SUMPRODUCT(PreciosImplicitos!F5:F68,CantidadDeProducto!F5:F68)</f>
        <v>33363457.739999983</v>
      </c>
      <c r="G11" s="64">
        <f>+SUMPRODUCT(PreciosImplicitos!G5:G68,CantidadDeProducto!G5:G68)</f>
        <v>38432053.482877001</v>
      </c>
      <c r="H11" s="64"/>
      <c r="I11" s="64">
        <f>+SUMPRODUCT(PreciosImplicitos!I5:I68,CantidadDeProducto!I5:I68)</f>
        <v>43967132.497000098</v>
      </c>
      <c r="J11" s="64">
        <f>+SUMPRODUCT(PreciosImplicitos!J5:J68,CantidadDeProducto!J5:J68)</f>
        <v>54030547.891999975</v>
      </c>
      <c r="K11" s="64">
        <f>+SUMPRODUCT(PreciosImplicitos!K5:K68,CantidadDeProducto!K5:K68)</f>
        <v>61172119.764537796</v>
      </c>
      <c r="L11" s="64">
        <f>+SUMPRODUCT(PreciosImplicitos!L5:L68,CantidadDeProducto!L5:L68)</f>
        <v>68998202.40092437</v>
      </c>
      <c r="M11" s="64">
        <f>+SUMPRODUCT(PreciosImplicitos!M5:M68,CantidadDeProducto!M5:M68)</f>
        <v>78496539.930294126</v>
      </c>
      <c r="N11" s="64">
        <f>+SUMPRODUCT(PreciosImplicitos!N5:N68,CantidadDeProducto!N5:N68)</f>
        <v>92810798.888546839</v>
      </c>
      <c r="O11" s="64">
        <f>+SUMPRODUCT(PreciosImplicitos!O5:O68,CantidadDeProducto!O5:O68)</f>
        <v>106340620.18440014</v>
      </c>
      <c r="P11" s="73"/>
    </row>
    <row r="12" spans="2:17">
      <c r="C12" s="257" t="s">
        <v>187</v>
      </c>
      <c r="D12" s="63">
        <f>+SUMPRODUCT(PreciosImplicitos!C5:C68,CantidadDeProducto!D5:D68)</f>
        <v>24118580.300254438</v>
      </c>
      <c r="E12" s="63">
        <f>+SUMPRODUCT(PreciosImplicitos!D5:D68,CantidadDeProducto!E5:E68)</f>
        <v>28566070.432859123</v>
      </c>
      <c r="F12" s="63">
        <f>+SUMPRODUCT(PreciosImplicitos!E5:E68,CantidadDeProducto!F5:F68)</f>
        <v>33761817.311606392</v>
      </c>
      <c r="G12" s="63">
        <f>+SUMPRODUCT(PreciosImplicitos!F5:F68,CantidadDeProducto!G5:G68)</f>
        <v>36616950.057423569</v>
      </c>
      <c r="H12" s="63"/>
      <c r="I12" s="63">
        <f>+SUMPRODUCT(PreciosImplicitos!H5:H68,CantidadDeProducto!I5:I68)</f>
        <v>42172663.773705967</v>
      </c>
      <c r="J12" s="63">
        <f>+SUMPRODUCT(PreciosImplicitos!I5:I68,CantidadDeProducto!J5:J68)</f>
        <v>52777166.077764712</v>
      </c>
      <c r="K12" s="63">
        <f>+SUMPRODUCT(PreciosImplicitos!J5:J68,CantidadDeProducto!K5:K68)</f>
        <v>58983815.471877642</v>
      </c>
      <c r="L12" s="63">
        <f>+SUMPRODUCT(PreciosImplicitos!K5:K68,CantidadDeProducto!L5:L68)</f>
        <v>65691606.656132624</v>
      </c>
      <c r="M12" s="63">
        <f>+SUMPRODUCT(PreciosImplicitos!L5:L68,CantidadDeProducto!M5:M68)</f>
        <v>76764959.359078288</v>
      </c>
      <c r="N12" s="63">
        <f>+SUMPRODUCT(PreciosImplicitos!M5:M68,CantidadDeProducto!N5:N68)</f>
        <v>87672417.786500171</v>
      </c>
      <c r="O12" s="63">
        <f>+SUMPRODUCT(PreciosImplicitos!N5:N68,CantidadDeProducto!O5:O68)</f>
        <v>102556012.42939202</v>
      </c>
      <c r="P12" s="73"/>
    </row>
    <row r="13" spans="2:17">
      <c r="C13" s="258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73"/>
    </row>
    <row r="14" spans="2:17">
      <c r="C14" s="257" t="s">
        <v>367</v>
      </c>
      <c r="D14" s="259">
        <f>(D6*D10)^0.5</f>
        <v>1.1480127447400812</v>
      </c>
      <c r="E14" s="259">
        <f t="shared" ref="E14:O14" si="2">(E6*E10)^0.5</f>
        <v>1.0795166910129452</v>
      </c>
      <c r="F14" s="259">
        <f t="shared" si="2"/>
        <v>0.99066131152672243</v>
      </c>
      <c r="G14" s="259">
        <f t="shared" si="2"/>
        <v>1.0502354243748102</v>
      </c>
      <c r="H14" s="259"/>
      <c r="I14" s="259">
        <f t="shared" si="2"/>
        <v>1.0536868170728488</v>
      </c>
      <c r="J14" s="259">
        <f t="shared" si="2"/>
        <v>1.0231696232929157</v>
      </c>
      <c r="K14" s="259">
        <f t="shared" si="2"/>
        <v>1.0371271004038893</v>
      </c>
      <c r="L14" s="259">
        <f t="shared" si="2"/>
        <v>1.0516910752881694</v>
      </c>
      <c r="M14" s="259">
        <f t="shared" si="2"/>
        <v>1.021595085429188</v>
      </c>
      <c r="N14" s="259">
        <f t="shared" si="2"/>
        <v>1.0587127286176989</v>
      </c>
      <c r="O14" s="259">
        <f t="shared" si="2"/>
        <v>1.0368057385792648</v>
      </c>
    </row>
    <row r="15" spans="2:17">
      <c r="C15" s="257" t="s">
        <v>396</v>
      </c>
      <c r="D15" s="262">
        <f>LN(D14)</f>
        <v>0.13803239952571758</v>
      </c>
      <c r="E15" s="262">
        <f t="shared" ref="E15:O15" si="3">LN(E14)</f>
        <v>7.6513432653049218E-2</v>
      </c>
      <c r="F15" s="262">
        <f t="shared" si="3"/>
        <v>-9.3825674193447426E-3</v>
      </c>
      <c r="G15" s="262">
        <f t="shared" si="3"/>
        <v>4.9014352727594558E-2</v>
      </c>
      <c r="H15" s="262"/>
      <c r="I15" s="262">
        <f t="shared" si="3"/>
        <v>5.2295268463035297E-2</v>
      </c>
      <c r="J15" s="262">
        <f t="shared" si="3"/>
        <v>2.29052828950797E-2</v>
      </c>
      <c r="K15" s="262">
        <f t="shared" si="3"/>
        <v>3.645448721794442E-2</v>
      </c>
      <c r="L15" s="262">
        <f t="shared" si="3"/>
        <v>5.0399416521502531E-2</v>
      </c>
      <c r="M15" s="262">
        <f t="shared" si="3"/>
        <v>2.1365215064076952E-2</v>
      </c>
      <c r="N15" s="262">
        <f t="shared" si="3"/>
        <v>5.7053763169862805E-2</v>
      </c>
      <c r="O15" s="262">
        <f t="shared" si="3"/>
        <v>3.6144581495679985E-2</v>
      </c>
      <c r="P15" s="263"/>
      <c r="Q15" s="263"/>
    </row>
    <row r="16" spans="2:17">
      <c r="B16" s="33"/>
      <c r="C16" s="72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</row>
    <row r="17" spans="2:15" ht="9.75" thickBot="1">
      <c r="C17" s="72"/>
      <c r="N17" s="42" t="s">
        <v>147</v>
      </c>
      <c r="O17" s="172">
        <f>+AVERAGE(D15:O15)</f>
        <v>4.8254148392199853E-2</v>
      </c>
    </row>
    <row r="18" spans="2:15" ht="9.75" thickTop="1">
      <c r="B18" s="33"/>
      <c r="C18" s="72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75"/>
      <c r="O18" s="75"/>
    </row>
    <row r="19" spans="2:15">
      <c r="B19" s="33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</row>
    <row r="20" spans="2:15">
      <c r="B20" s="33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</row>
    <row r="21" spans="2:15">
      <c r="B21" s="33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</row>
    <row r="23" spans="2:15"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</row>
  </sheetData>
  <mergeCells count="1">
    <mergeCell ref="E2:H2"/>
  </mergeCells>
  <hyperlinks>
    <hyperlink ref="E2:H2" location="Indice!D3" display="ÍNDICE"/>
  </hyperlinks>
  <pageMargins left="0.7" right="0.7" top="0.75" bottom="0.75" header="0.3" footer="0.3"/>
  <pageSetup paperSize="9" orientation="portrait" r:id="rId1"/>
  <ignoredErrors>
    <ignoredError sqref="I7:I8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">
    <tabColor rgb="FF92D050"/>
  </sheetPr>
  <dimension ref="A1:K61"/>
  <sheetViews>
    <sheetView showGridLines="0" workbookViewId="0">
      <selection activeCell="C2" sqref="C2:F2"/>
    </sheetView>
  </sheetViews>
  <sheetFormatPr baseColWidth="10" defaultRowHeight="9"/>
  <cols>
    <col min="1" max="1" width="7.7109375" style="78" customWidth="1"/>
    <col min="2" max="2" width="24.85546875" style="78" customWidth="1"/>
    <col min="3" max="7" width="13.42578125" style="78" customWidth="1"/>
    <col min="8" max="8" width="12.28515625" style="78" customWidth="1"/>
    <col min="9" max="14" width="18.140625" style="78" customWidth="1"/>
    <col min="15" max="15" width="35.5703125" style="78" customWidth="1"/>
    <col min="16" max="16" width="16.85546875" style="78" customWidth="1"/>
    <col min="17" max="17" width="16.140625" style="78" customWidth="1"/>
    <col min="18" max="20" width="16.85546875" style="78" customWidth="1"/>
    <col min="21" max="21" width="13.7109375" style="78" bestFit="1" customWidth="1"/>
    <col min="22" max="22" width="35.5703125" style="78" customWidth="1"/>
    <col min="23" max="27" width="16.5703125" style="78" customWidth="1"/>
    <col min="28" max="29" width="11.42578125" style="78" customWidth="1"/>
    <col min="30" max="30" width="36.140625" style="78" bestFit="1" customWidth="1"/>
    <col min="31" max="32" width="15.7109375" style="78" bestFit="1" customWidth="1"/>
    <col min="33" max="33" width="11.42578125" style="78" customWidth="1"/>
    <col min="34" max="34" width="36.140625" style="78" bestFit="1" customWidth="1"/>
    <col min="35" max="35" width="15.140625" style="78" customWidth="1"/>
    <col min="36" max="250" width="11.42578125" style="78"/>
    <col min="251" max="251" width="7.7109375" style="78" customWidth="1"/>
    <col min="252" max="252" width="44.28515625" style="78" customWidth="1"/>
    <col min="253" max="253" width="18.42578125" style="78" bestFit="1" customWidth="1"/>
    <col min="254" max="254" width="18.28515625" style="78" customWidth="1"/>
    <col min="255" max="255" width="15.7109375" style="78" customWidth="1"/>
    <col min="256" max="256" width="19.5703125" style="78" bestFit="1" customWidth="1"/>
    <col min="257" max="257" width="15.7109375" style="78" bestFit="1" customWidth="1"/>
    <col min="258" max="258" width="23" style="78" customWidth="1"/>
    <col min="259" max="259" width="19" style="78" customWidth="1"/>
    <col min="260" max="260" width="18.42578125" style="78" bestFit="1" customWidth="1"/>
    <col min="261" max="261" width="13.7109375" style="78" customWidth="1"/>
    <col min="262" max="262" width="17.140625" style="78" bestFit="1" customWidth="1"/>
    <col min="263" max="263" width="22.5703125" style="78" customWidth="1"/>
    <col min="264" max="264" width="26.85546875" style="78" customWidth="1"/>
    <col min="265" max="270" width="18.140625" style="78" customWidth="1"/>
    <col min="271" max="271" width="35.5703125" style="78" customWidth="1"/>
    <col min="272" max="272" width="16.85546875" style="78" customWidth="1"/>
    <col min="273" max="273" width="16.140625" style="78" customWidth="1"/>
    <col min="274" max="276" width="16.85546875" style="78" customWidth="1"/>
    <col min="277" max="277" width="13.7109375" style="78" bestFit="1" customWidth="1"/>
    <col min="278" max="278" width="35.5703125" style="78" customWidth="1"/>
    <col min="279" max="283" width="16.5703125" style="78" customWidth="1"/>
    <col min="284" max="285" width="11.42578125" style="78" customWidth="1"/>
    <col min="286" max="286" width="36.140625" style="78" bestFit="1" customWidth="1"/>
    <col min="287" max="288" width="15.7109375" style="78" bestFit="1" customWidth="1"/>
    <col min="289" max="289" width="11.42578125" style="78" customWidth="1"/>
    <col min="290" max="290" width="36.140625" style="78" bestFit="1" customWidth="1"/>
    <col min="291" max="291" width="15.140625" style="78" customWidth="1"/>
    <col min="292" max="506" width="11.42578125" style="78"/>
    <col min="507" max="507" width="7.7109375" style="78" customWidth="1"/>
    <col min="508" max="508" width="44.28515625" style="78" customWidth="1"/>
    <col min="509" max="509" width="18.42578125" style="78" bestFit="1" customWidth="1"/>
    <col min="510" max="510" width="18.28515625" style="78" customWidth="1"/>
    <col min="511" max="511" width="15.7109375" style="78" customWidth="1"/>
    <col min="512" max="512" width="19.5703125" style="78" bestFit="1" customWidth="1"/>
    <col min="513" max="513" width="15.7109375" style="78" bestFit="1" customWidth="1"/>
    <col min="514" max="514" width="23" style="78" customWidth="1"/>
    <col min="515" max="515" width="19" style="78" customWidth="1"/>
    <col min="516" max="516" width="18.42578125" style="78" bestFit="1" customWidth="1"/>
    <col min="517" max="517" width="13.7109375" style="78" customWidth="1"/>
    <col min="518" max="518" width="17.140625" style="78" bestFit="1" customWidth="1"/>
    <col min="519" max="519" width="22.5703125" style="78" customWidth="1"/>
    <col min="520" max="520" width="26.85546875" style="78" customWidth="1"/>
    <col min="521" max="526" width="18.140625" style="78" customWidth="1"/>
    <col min="527" max="527" width="35.5703125" style="78" customWidth="1"/>
    <col min="528" max="528" width="16.85546875" style="78" customWidth="1"/>
    <col min="529" max="529" width="16.140625" style="78" customWidth="1"/>
    <col min="530" max="532" width="16.85546875" style="78" customWidth="1"/>
    <col min="533" max="533" width="13.7109375" style="78" bestFit="1" customWidth="1"/>
    <col min="534" max="534" width="35.5703125" style="78" customWidth="1"/>
    <col min="535" max="539" width="16.5703125" style="78" customWidth="1"/>
    <col min="540" max="541" width="11.42578125" style="78" customWidth="1"/>
    <col min="542" max="542" width="36.140625" style="78" bestFit="1" customWidth="1"/>
    <col min="543" max="544" width="15.7109375" style="78" bestFit="1" customWidth="1"/>
    <col min="545" max="545" width="11.42578125" style="78" customWidth="1"/>
    <col min="546" max="546" width="36.140625" style="78" bestFit="1" customWidth="1"/>
    <col min="547" max="547" width="15.140625" style="78" customWidth="1"/>
    <col min="548" max="762" width="11.42578125" style="78"/>
    <col min="763" max="763" width="7.7109375" style="78" customWidth="1"/>
    <col min="764" max="764" width="44.28515625" style="78" customWidth="1"/>
    <col min="765" max="765" width="18.42578125" style="78" bestFit="1" customWidth="1"/>
    <col min="766" max="766" width="18.28515625" style="78" customWidth="1"/>
    <col min="767" max="767" width="15.7109375" style="78" customWidth="1"/>
    <col min="768" max="768" width="19.5703125" style="78" bestFit="1" customWidth="1"/>
    <col min="769" max="769" width="15.7109375" style="78" bestFit="1" customWidth="1"/>
    <col min="770" max="770" width="23" style="78" customWidth="1"/>
    <col min="771" max="771" width="19" style="78" customWidth="1"/>
    <col min="772" max="772" width="18.42578125" style="78" bestFit="1" customWidth="1"/>
    <col min="773" max="773" width="13.7109375" style="78" customWidth="1"/>
    <col min="774" max="774" width="17.140625" style="78" bestFit="1" customWidth="1"/>
    <col min="775" max="775" width="22.5703125" style="78" customWidth="1"/>
    <col min="776" max="776" width="26.85546875" style="78" customWidth="1"/>
    <col min="777" max="782" width="18.140625" style="78" customWidth="1"/>
    <col min="783" max="783" width="35.5703125" style="78" customWidth="1"/>
    <col min="784" max="784" width="16.85546875" style="78" customWidth="1"/>
    <col min="785" max="785" width="16.140625" style="78" customWidth="1"/>
    <col min="786" max="788" width="16.85546875" style="78" customWidth="1"/>
    <col min="789" max="789" width="13.7109375" style="78" bestFit="1" customWidth="1"/>
    <col min="790" max="790" width="35.5703125" style="78" customWidth="1"/>
    <col min="791" max="795" width="16.5703125" style="78" customWidth="1"/>
    <col min="796" max="797" width="11.42578125" style="78" customWidth="1"/>
    <col min="798" max="798" width="36.140625" style="78" bestFit="1" customWidth="1"/>
    <col min="799" max="800" width="15.7109375" style="78" bestFit="1" customWidth="1"/>
    <col min="801" max="801" width="11.42578125" style="78" customWidth="1"/>
    <col min="802" max="802" width="36.140625" style="78" bestFit="1" customWidth="1"/>
    <col min="803" max="803" width="15.140625" style="78" customWidth="1"/>
    <col min="804" max="1018" width="11.42578125" style="78"/>
    <col min="1019" max="1019" width="7.7109375" style="78" customWidth="1"/>
    <col min="1020" max="1020" width="44.28515625" style="78" customWidth="1"/>
    <col min="1021" max="1021" width="18.42578125" style="78" bestFit="1" customWidth="1"/>
    <col min="1022" max="1022" width="18.28515625" style="78" customWidth="1"/>
    <col min="1023" max="1023" width="15.7109375" style="78" customWidth="1"/>
    <col min="1024" max="1024" width="19.5703125" style="78" bestFit="1" customWidth="1"/>
    <col min="1025" max="1025" width="15.7109375" style="78" bestFit="1" customWidth="1"/>
    <col min="1026" max="1026" width="23" style="78" customWidth="1"/>
    <col min="1027" max="1027" width="19" style="78" customWidth="1"/>
    <col min="1028" max="1028" width="18.42578125" style="78" bestFit="1" customWidth="1"/>
    <col min="1029" max="1029" width="13.7109375" style="78" customWidth="1"/>
    <col min="1030" max="1030" width="17.140625" style="78" bestFit="1" customWidth="1"/>
    <col min="1031" max="1031" width="22.5703125" style="78" customWidth="1"/>
    <col min="1032" max="1032" width="26.85546875" style="78" customWidth="1"/>
    <col min="1033" max="1038" width="18.140625" style="78" customWidth="1"/>
    <col min="1039" max="1039" width="35.5703125" style="78" customWidth="1"/>
    <col min="1040" max="1040" width="16.85546875" style="78" customWidth="1"/>
    <col min="1041" max="1041" width="16.140625" style="78" customWidth="1"/>
    <col min="1042" max="1044" width="16.85546875" style="78" customWidth="1"/>
    <col min="1045" max="1045" width="13.7109375" style="78" bestFit="1" customWidth="1"/>
    <col min="1046" max="1046" width="35.5703125" style="78" customWidth="1"/>
    <col min="1047" max="1051" width="16.5703125" style="78" customWidth="1"/>
    <col min="1052" max="1053" width="11.42578125" style="78" customWidth="1"/>
    <col min="1054" max="1054" width="36.140625" style="78" bestFit="1" customWidth="1"/>
    <col min="1055" max="1056" width="15.7109375" style="78" bestFit="1" customWidth="1"/>
    <col min="1057" max="1057" width="11.42578125" style="78" customWidth="1"/>
    <col min="1058" max="1058" width="36.140625" style="78" bestFit="1" customWidth="1"/>
    <col min="1059" max="1059" width="15.140625" style="78" customWidth="1"/>
    <col min="1060" max="1274" width="11.42578125" style="78"/>
    <col min="1275" max="1275" width="7.7109375" style="78" customWidth="1"/>
    <col min="1276" max="1276" width="44.28515625" style="78" customWidth="1"/>
    <col min="1277" max="1277" width="18.42578125" style="78" bestFit="1" customWidth="1"/>
    <col min="1278" max="1278" width="18.28515625" style="78" customWidth="1"/>
    <col min="1279" max="1279" width="15.7109375" style="78" customWidth="1"/>
    <col min="1280" max="1280" width="19.5703125" style="78" bestFit="1" customWidth="1"/>
    <col min="1281" max="1281" width="15.7109375" style="78" bestFit="1" customWidth="1"/>
    <col min="1282" max="1282" width="23" style="78" customWidth="1"/>
    <col min="1283" max="1283" width="19" style="78" customWidth="1"/>
    <col min="1284" max="1284" width="18.42578125" style="78" bestFit="1" customWidth="1"/>
    <col min="1285" max="1285" width="13.7109375" style="78" customWidth="1"/>
    <col min="1286" max="1286" width="17.140625" style="78" bestFit="1" customWidth="1"/>
    <col min="1287" max="1287" width="22.5703125" style="78" customWidth="1"/>
    <col min="1288" max="1288" width="26.85546875" style="78" customWidth="1"/>
    <col min="1289" max="1294" width="18.140625" style="78" customWidth="1"/>
    <col min="1295" max="1295" width="35.5703125" style="78" customWidth="1"/>
    <col min="1296" max="1296" width="16.85546875" style="78" customWidth="1"/>
    <col min="1297" max="1297" width="16.140625" style="78" customWidth="1"/>
    <col min="1298" max="1300" width="16.85546875" style="78" customWidth="1"/>
    <col min="1301" max="1301" width="13.7109375" style="78" bestFit="1" customWidth="1"/>
    <col min="1302" max="1302" width="35.5703125" style="78" customWidth="1"/>
    <col min="1303" max="1307" width="16.5703125" style="78" customWidth="1"/>
    <col min="1308" max="1309" width="11.42578125" style="78" customWidth="1"/>
    <col min="1310" max="1310" width="36.140625" style="78" bestFit="1" customWidth="1"/>
    <col min="1311" max="1312" width="15.7109375" style="78" bestFit="1" customWidth="1"/>
    <col min="1313" max="1313" width="11.42578125" style="78" customWidth="1"/>
    <col min="1314" max="1314" width="36.140625" style="78" bestFit="1" customWidth="1"/>
    <col min="1315" max="1315" width="15.140625" style="78" customWidth="1"/>
    <col min="1316" max="1530" width="11.42578125" style="78"/>
    <col min="1531" max="1531" width="7.7109375" style="78" customWidth="1"/>
    <col min="1532" max="1532" width="44.28515625" style="78" customWidth="1"/>
    <col min="1533" max="1533" width="18.42578125" style="78" bestFit="1" customWidth="1"/>
    <col min="1534" max="1534" width="18.28515625" style="78" customWidth="1"/>
    <col min="1535" max="1535" width="15.7109375" style="78" customWidth="1"/>
    <col min="1536" max="1536" width="19.5703125" style="78" bestFit="1" customWidth="1"/>
    <col min="1537" max="1537" width="15.7109375" style="78" bestFit="1" customWidth="1"/>
    <col min="1538" max="1538" width="23" style="78" customWidth="1"/>
    <col min="1539" max="1539" width="19" style="78" customWidth="1"/>
    <col min="1540" max="1540" width="18.42578125" style="78" bestFit="1" customWidth="1"/>
    <col min="1541" max="1541" width="13.7109375" style="78" customWidth="1"/>
    <col min="1542" max="1542" width="17.140625" style="78" bestFit="1" customWidth="1"/>
    <col min="1543" max="1543" width="22.5703125" style="78" customWidth="1"/>
    <col min="1544" max="1544" width="26.85546875" style="78" customWidth="1"/>
    <col min="1545" max="1550" width="18.140625" style="78" customWidth="1"/>
    <col min="1551" max="1551" width="35.5703125" style="78" customWidth="1"/>
    <col min="1552" max="1552" width="16.85546875" style="78" customWidth="1"/>
    <col min="1553" max="1553" width="16.140625" style="78" customWidth="1"/>
    <col min="1554" max="1556" width="16.85546875" style="78" customWidth="1"/>
    <col min="1557" max="1557" width="13.7109375" style="78" bestFit="1" customWidth="1"/>
    <col min="1558" max="1558" width="35.5703125" style="78" customWidth="1"/>
    <col min="1559" max="1563" width="16.5703125" style="78" customWidth="1"/>
    <col min="1564" max="1565" width="11.42578125" style="78" customWidth="1"/>
    <col min="1566" max="1566" width="36.140625" style="78" bestFit="1" customWidth="1"/>
    <col min="1567" max="1568" width="15.7109375" style="78" bestFit="1" customWidth="1"/>
    <col min="1569" max="1569" width="11.42578125" style="78" customWidth="1"/>
    <col min="1570" max="1570" width="36.140625" style="78" bestFit="1" customWidth="1"/>
    <col min="1571" max="1571" width="15.140625" style="78" customWidth="1"/>
    <col min="1572" max="1786" width="11.42578125" style="78"/>
    <col min="1787" max="1787" width="7.7109375" style="78" customWidth="1"/>
    <col min="1788" max="1788" width="44.28515625" style="78" customWidth="1"/>
    <col min="1789" max="1789" width="18.42578125" style="78" bestFit="1" customWidth="1"/>
    <col min="1790" max="1790" width="18.28515625" style="78" customWidth="1"/>
    <col min="1791" max="1791" width="15.7109375" style="78" customWidth="1"/>
    <col min="1792" max="1792" width="19.5703125" style="78" bestFit="1" customWidth="1"/>
    <col min="1793" max="1793" width="15.7109375" style="78" bestFit="1" customWidth="1"/>
    <col min="1794" max="1794" width="23" style="78" customWidth="1"/>
    <col min="1795" max="1795" width="19" style="78" customWidth="1"/>
    <col min="1796" max="1796" width="18.42578125" style="78" bestFit="1" customWidth="1"/>
    <col min="1797" max="1797" width="13.7109375" style="78" customWidth="1"/>
    <col min="1798" max="1798" width="17.140625" style="78" bestFit="1" customWidth="1"/>
    <col min="1799" max="1799" width="22.5703125" style="78" customWidth="1"/>
    <col min="1800" max="1800" width="26.85546875" style="78" customWidth="1"/>
    <col min="1801" max="1806" width="18.140625" style="78" customWidth="1"/>
    <col min="1807" max="1807" width="35.5703125" style="78" customWidth="1"/>
    <col min="1808" max="1808" width="16.85546875" style="78" customWidth="1"/>
    <col min="1809" max="1809" width="16.140625" style="78" customWidth="1"/>
    <col min="1810" max="1812" width="16.85546875" style="78" customWidth="1"/>
    <col min="1813" max="1813" width="13.7109375" style="78" bestFit="1" customWidth="1"/>
    <col min="1814" max="1814" width="35.5703125" style="78" customWidth="1"/>
    <col min="1815" max="1819" width="16.5703125" style="78" customWidth="1"/>
    <col min="1820" max="1821" width="11.42578125" style="78" customWidth="1"/>
    <col min="1822" max="1822" width="36.140625" style="78" bestFit="1" customWidth="1"/>
    <col min="1823" max="1824" width="15.7109375" style="78" bestFit="1" customWidth="1"/>
    <col min="1825" max="1825" width="11.42578125" style="78" customWidth="1"/>
    <col min="1826" max="1826" width="36.140625" style="78" bestFit="1" customWidth="1"/>
    <col min="1827" max="1827" width="15.140625" style="78" customWidth="1"/>
    <col min="1828" max="2042" width="11.42578125" style="78"/>
    <col min="2043" max="2043" width="7.7109375" style="78" customWidth="1"/>
    <col min="2044" max="2044" width="44.28515625" style="78" customWidth="1"/>
    <col min="2045" max="2045" width="18.42578125" style="78" bestFit="1" customWidth="1"/>
    <col min="2046" max="2046" width="18.28515625" style="78" customWidth="1"/>
    <col min="2047" max="2047" width="15.7109375" style="78" customWidth="1"/>
    <col min="2048" max="2048" width="19.5703125" style="78" bestFit="1" customWidth="1"/>
    <col min="2049" max="2049" width="15.7109375" style="78" bestFit="1" customWidth="1"/>
    <col min="2050" max="2050" width="23" style="78" customWidth="1"/>
    <col min="2051" max="2051" width="19" style="78" customWidth="1"/>
    <col min="2052" max="2052" width="18.42578125" style="78" bestFit="1" customWidth="1"/>
    <col min="2053" max="2053" width="13.7109375" style="78" customWidth="1"/>
    <col min="2054" max="2054" width="17.140625" style="78" bestFit="1" customWidth="1"/>
    <col min="2055" max="2055" width="22.5703125" style="78" customWidth="1"/>
    <col min="2056" max="2056" width="26.85546875" style="78" customWidth="1"/>
    <col min="2057" max="2062" width="18.140625" style="78" customWidth="1"/>
    <col min="2063" max="2063" width="35.5703125" style="78" customWidth="1"/>
    <col min="2064" max="2064" width="16.85546875" style="78" customWidth="1"/>
    <col min="2065" max="2065" width="16.140625" style="78" customWidth="1"/>
    <col min="2066" max="2068" width="16.85546875" style="78" customWidth="1"/>
    <col min="2069" max="2069" width="13.7109375" style="78" bestFit="1" customWidth="1"/>
    <col min="2070" max="2070" width="35.5703125" style="78" customWidth="1"/>
    <col min="2071" max="2075" width="16.5703125" style="78" customWidth="1"/>
    <col min="2076" max="2077" width="11.42578125" style="78" customWidth="1"/>
    <col min="2078" max="2078" width="36.140625" style="78" bestFit="1" customWidth="1"/>
    <col min="2079" max="2080" width="15.7109375" style="78" bestFit="1" customWidth="1"/>
    <col min="2081" max="2081" width="11.42578125" style="78" customWidth="1"/>
    <col min="2082" max="2082" width="36.140625" style="78" bestFit="1" customWidth="1"/>
    <col min="2083" max="2083" width="15.140625" style="78" customWidth="1"/>
    <col min="2084" max="2298" width="11.42578125" style="78"/>
    <col min="2299" max="2299" width="7.7109375" style="78" customWidth="1"/>
    <col min="2300" max="2300" width="44.28515625" style="78" customWidth="1"/>
    <col min="2301" max="2301" width="18.42578125" style="78" bestFit="1" customWidth="1"/>
    <col min="2302" max="2302" width="18.28515625" style="78" customWidth="1"/>
    <col min="2303" max="2303" width="15.7109375" style="78" customWidth="1"/>
    <col min="2304" max="2304" width="19.5703125" style="78" bestFit="1" customWidth="1"/>
    <col min="2305" max="2305" width="15.7109375" style="78" bestFit="1" customWidth="1"/>
    <col min="2306" max="2306" width="23" style="78" customWidth="1"/>
    <col min="2307" max="2307" width="19" style="78" customWidth="1"/>
    <col min="2308" max="2308" width="18.42578125" style="78" bestFit="1" customWidth="1"/>
    <col min="2309" max="2309" width="13.7109375" style="78" customWidth="1"/>
    <col min="2310" max="2310" width="17.140625" style="78" bestFit="1" customWidth="1"/>
    <col min="2311" max="2311" width="22.5703125" style="78" customWidth="1"/>
    <col min="2312" max="2312" width="26.85546875" style="78" customWidth="1"/>
    <col min="2313" max="2318" width="18.140625" style="78" customWidth="1"/>
    <col min="2319" max="2319" width="35.5703125" style="78" customWidth="1"/>
    <col min="2320" max="2320" width="16.85546875" style="78" customWidth="1"/>
    <col min="2321" max="2321" width="16.140625" style="78" customWidth="1"/>
    <col min="2322" max="2324" width="16.85546875" style="78" customWidth="1"/>
    <col min="2325" max="2325" width="13.7109375" style="78" bestFit="1" customWidth="1"/>
    <col min="2326" max="2326" width="35.5703125" style="78" customWidth="1"/>
    <col min="2327" max="2331" width="16.5703125" style="78" customWidth="1"/>
    <col min="2332" max="2333" width="11.42578125" style="78" customWidth="1"/>
    <col min="2334" max="2334" width="36.140625" style="78" bestFit="1" customWidth="1"/>
    <col min="2335" max="2336" width="15.7109375" style="78" bestFit="1" customWidth="1"/>
    <col min="2337" max="2337" width="11.42578125" style="78" customWidth="1"/>
    <col min="2338" max="2338" width="36.140625" style="78" bestFit="1" customWidth="1"/>
    <col min="2339" max="2339" width="15.140625" style="78" customWidth="1"/>
    <col min="2340" max="2554" width="11.42578125" style="78"/>
    <col min="2555" max="2555" width="7.7109375" style="78" customWidth="1"/>
    <col min="2556" max="2556" width="44.28515625" style="78" customWidth="1"/>
    <col min="2557" max="2557" width="18.42578125" style="78" bestFit="1" customWidth="1"/>
    <col min="2558" max="2558" width="18.28515625" style="78" customWidth="1"/>
    <col min="2559" max="2559" width="15.7109375" style="78" customWidth="1"/>
    <col min="2560" max="2560" width="19.5703125" style="78" bestFit="1" customWidth="1"/>
    <col min="2561" max="2561" width="15.7109375" style="78" bestFit="1" customWidth="1"/>
    <col min="2562" max="2562" width="23" style="78" customWidth="1"/>
    <col min="2563" max="2563" width="19" style="78" customWidth="1"/>
    <col min="2564" max="2564" width="18.42578125" style="78" bestFit="1" customWidth="1"/>
    <col min="2565" max="2565" width="13.7109375" style="78" customWidth="1"/>
    <col min="2566" max="2566" width="17.140625" style="78" bestFit="1" customWidth="1"/>
    <col min="2567" max="2567" width="22.5703125" style="78" customWidth="1"/>
    <col min="2568" max="2568" width="26.85546875" style="78" customWidth="1"/>
    <col min="2569" max="2574" width="18.140625" style="78" customWidth="1"/>
    <col min="2575" max="2575" width="35.5703125" style="78" customWidth="1"/>
    <col min="2576" max="2576" width="16.85546875" style="78" customWidth="1"/>
    <col min="2577" max="2577" width="16.140625" style="78" customWidth="1"/>
    <col min="2578" max="2580" width="16.85546875" style="78" customWidth="1"/>
    <col min="2581" max="2581" width="13.7109375" style="78" bestFit="1" customWidth="1"/>
    <col min="2582" max="2582" width="35.5703125" style="78" customWidth="1"/>
    <col min="2583" max="2587" width="16.5703125" style="78" customWidth="1"/>
    <col min="2588" max="2589" width="11.42578125" style="78" customWidth="1"/>
    <col min="2590" max="2590" width="36.140625" style="78" bestFit="1" customWidth="1"/>
    <col min="2591" max="2592" width="15.7109375" style="78" bestFit="1" customWidth="1"/>
    <col min="2593" max="2593" width="11.42578125" style="78" customWidth="1"/>
    <col min="2594" max="2594" width="36.140625" style="78" bestFit="1" customWidth="1"/>
    <col min="2595" max="2595" width="15.140625" style="78" customWidth="1"/>
    <col min="2596" max="2810" width="11.42578125" style="78"/>
    <col min="2811" max="2811" width="7.7109375" style="78" customWidth="1"/>
    <col min="2812" max="2812" width="44.28515625" style="78" customWidth="1"/>
    <col min="2813" max="2813" width="18.42578125" style="78" bestFit="1" customWidth="1"/>
    <col min="2814" max="2814" width="18.28515625" style="78" customWidth="1"/>
    <col min="2815" max="2815" width="15.7109375" style="78" customWidth="1"/>
    <col min="2816" max="2816" width="19.5703125" style="78" bestFit="1" customWidth="1"/>
    <col min="2817" max="2817" width="15.7109375" style="78" bestFit="1" customWidth="1"/>
    <col min="2818" max="2818" width="23" style="78" customWidth="1"/>
    <col min="2819" max="2819" width="19" style="78" customWidth="1"/>
    <col min="2820" max="2820" width="18.42578125" style="78" bestFit="1" customWidth="1"/>
    <col min="2821" max="2821" width="13.7109375" style="78" customWidth="1"/>
    <col min="2822" max="2822" width="17.140625" style="78" bestFit="1" customWidth="1"/>
    <col min="2823" max="2823" width="22.5703125" style="78" customWidth="1"/>
    <col min="2824" max="2824" width="26.85546875" style="78" customWidth="1"/>
    <col min="2825" max="2830" width="18.140625" style="78" customWidth="1"/>
    <col min="2831" max="2831" width="35.5703125" style="78" customWidth="1"/>
    <col min="2832" max="2832" width="16.85546875" style="78" customWidth="1"/>
    <col min="2833" max="2833" width="16.140625" style="78" customWidth="1"/>
    <col min="2834" max="2836" width="16.85546875" style="78" customWidth="1"/>
    <col min="2837" max="2837" width="13.7109375" style="78" bestFit="1" customWidth="1"/>
    <col min="2838" max="2838" width="35.5703125" style="78" customWidth="1"/>
    <col min="2839" max="2843" width="16.5703125" style="78" customWidth="1"/>
    <col min="2844" max="2845" width="11.42578125" style="78" customWidth="1"/>
    <col min="2846" max="2846" width="36.140625" style="78" bestFit="1" customWidth="1"/>
    <col min="2847" max="2848" width="15.7109375" style="78" bestFit="1" customWidth="1"/>
    <col min="2849" max="2849" width="11.42578125" style="78" customWidth="1"/>
    <col min="2850" max="2850" width="36.140625" style="78" bestFit="1" customWidth="1"/>
    <col min="2851" max="2851" width="15.140625" style="78" customWidth="1"/>
    <col min="2852" max="3066" width="11.42578125" style="78"/>
    <col min="3067" max="3067" width="7.7109375" style="78" customWidth="1"/>
    <col min="3068" max="3068" width="44.28515625" style="78" customWidth="1"/>
    <col min="3069" max="3069" width="18.42578125" style="78" bestFit="1" customWidth="1"/>
    <col min="3070" max="3070" width="18.28515625" style="78" customWidth="1"/>
    <col min="3071" max="3071" width="15.7109375" style="78" customWidth="1"/>
    <col min="3072" max="3072" width="19.5703125" style="78" bestFit="1" customWidth="1"/>
    <col min="3073" max="3073" width="15.7109375" style="78" bestFit="1" customWidth="1"/>
    <col min="3074" max="3074" width="23" style="78" customWidth="1"/>
    <col min="3075" max="3075" width="19" style="78" customWidth="1"/>
    <col min="3076" max="3076" width="18.42578125" style="78" bestFit="1" customWidth="1"/>
    <col min="3077" max="3077" width="13.7109375" style="78" customWidth="1"/>
    <col min="3078" max="3078" width="17.140625" style="78" bestFit="1" customWidth="1"/>
    <col min="3079" max="3079" width="22.5703125" style="78" customWidth="1"/>
    <col min="3080" max="3080" width="26.85546875" style="78" customWidth="1"/>
    <col min="3081" max="3086" width="18.140625" style="78" customWidth="1"/>
    <col min="3087" max="3087" width="35.5703125" style="78" customWidth="1"/>
    <col min="3088" max="3088" width="16.85546875" style="78" customWidth="1"/>
    <col min="3089" max="3089" width="16.140625" style="78" customWidth="1"/>
    <col min="3090" max="3092" width="16.85546875" style="78" customWidth="1"/>
    <col min="3093" max="3093" width="13.7109375" style="78" bestFit="1" customWidth="1"/>
    <col min="3094" max="3094" width="35.5703125" style="78" customWidth="1"/>
    <col min="3095" max="3099" width="16.5703125" style="78" customWidth="1"/>
    <col min="3100" max="3101" width="11.42578125" style="78" customWidth="1"/>
    <col min="3102" max="3102" width="36.140625" style="78" bestFit="1" customWidth="1"/>
    <col min="3103" max="3104" width="15.7109375" style="78" bestFit="1" customWidth="1"/>
    <col min="3105" max="3105" width="11.42578125" style="78" customWidth="1"/>
    <col min="3106" max="3106" width="36.140625" style="78" bestFit="1" customWidth="1"/>
    <col min="3107" max="3107" width="15.140625" style="78" customWidth="1"/>
    <col min="3108" max="3322" width="11.42578125" style="78"/>
    <col min="3323" max="3323" width="7.7109375" style="78" customWidth="1"/>
    <col min="3324" max="3324" width="44.28515625" style="78" customWidth="1"/>
    <col min="3325" max="3325" width="18.42578125" style="78" bestFit="1" customWidth="1"/>
    <col min="3326" max="3326" width="18.28515625" style="78" customWidth="1"/>
    <col min="3327" max="3327" width="15.7109375" style="78" customWidth="1"/>
    <col min="3328" max="3328" width="19.5703125" style="78" bestFit="1" customWidth="1"/>
    <col min="3329" max="3329" width="15.7109375" style="78" bestFit="1" customWidth="1"/>
    <col min="3330" max="3330" width="23" style="78" customWidth="1"/>
    <col min="3331" max="3331" width="19" style="78" customWidth="1"/>
    <col min="3332" max="3332" width="18.42578125" style="78" bestFit="1" customWidth="1"/>
    <col min="3333" max="3333" width="13.7109375" style="78" customWidth="1"/>
    <col min="3334" max="3334" width="17.140625" style="78" bestFit="1" customWidth="1"/>
    <col min="3335" max="3335" width="22.5703125" style="78" customWidth="1"/>
    <col min="3336" max="3336" width="26.85546875" style="78" customWidth="1"/>
    <col min="3337" max="3342" width="18.140625" style="78" customWidth="1"/>
    <col min="3343" max="3343" width="35.5703125" style="78" customWidth="1"/>
    <col min="3344" max="3344" width="16.85546875" style="78" customWidth="1"/>
    <col min="3345" max="3345" width="16.140625" style="78" customWidth="1"/>
    <col min="3346" max="3348" width="16.85546875" style="78" customWidth="1"/>
    <col min="3349" max="3349" width="13.7109375" style="78" bestFit="1" customWidth="1"/>
    <col min="3350" max="3350" width="35.5703125" style="78" customWidth="1"/>
    <col min="3351" max="3355" width="16.5703125" style="78" customWidth="1"/>
    <col min="3356" max="3357" width="11.42578125" style="78" customWidth="1"/>
    <col min="3358" max="3358" width="36.140625" style="78" bestFit="1" customWidth="1"/>
    <col min="3359" max="3360" width="15.7109375" style="78" bestFit="1" customWidth="1"/>
    <col min="3361" max="3361" width="11.42578125" style="78" customWidth="1"/>
    <col min="3362" max="3362" width="36.140625" style="78" bestFit="1" customWidth="1"/>
    <col min="3363" max="3363" width="15.140625" style="78" customWidth="1"/>
    <col min="3364" max="3578" width="11.42578125" style="78"/>
    <col min="3579" max="3579" width="7.7109375" style="78" customWidth="1"/>
    <col min="3580" max="3580" width="44.28515625" style="78" customWidth="1"/>
    <col min="3581" max="3581" width="18.42578125" style="78" bestFit="1" customWidth="1"/>
    <col min="3582" max="3582" width="18.28515625" style="78" customWidth="1"/>
    <col min="3583" max="3583" width="15.7109375" style="78" customWidth="1"/>
    <col min="3584" max="3584" width="19.5703125" style="78" bestFit="1" customWidth="1"/>
    <col min="3585" max="3585" width="15.7109375" style="78" bestFit="1" customWidth="1"/>
    <col min="3586" max="3586" width="23" style="78" customWidth="1"/>
    <col min="3587" max="3587" width="19" style="78" customWidth="1"/>
    <col min="3588" max="3588" width="18.42578125" style="78" bestFit="1" customWidth="1"/>
    <col min="3589" max="3589" width="13.7109375" style="78" customWidth="1"/>
    <col min="3590" max="3590" width="17.140625" style="78" bestFit="1" customWidth="1"/>
    <col min="3591" max="3591" width="22.5703125" style="78" customWidth="1"/>
    <col min="3592" max="3592" width="26.85546875" style="78" customWidth="1"/>
    <col min="3593" max="3598" width="18.140625" style="78" customWidth="1"/>
    <col min="3599" max="3599" width="35.5703125" style="78" customWidth="1"/>
    <col min="3600" max="3600" width="16.85546875" style="78" customWidth="1"/>
    <col min="3601" max="3601" width="16.140625" style="78" customWidth="1"/>
    <col min="3602" max="3604" width="16.85546875" style="78" customWidth="1"/>
    <col min="3605" max="3605" width="13.7109375" style="78" bestFit="1" customWidth="1"/>
    <col min="3606" max="3606" width="35.5703125" style="78" customWidth="1"/>
    <col min="3607" max="3611" width="16.5703125" style="78" customWidth="1"/>
    <col min="3612" max="3613" width="11.42578125" style="78" customWidth="1"/>
    <col min="3614" max="3614" width="36.140625" style="78" bestFit="1" customWidth="1"/>
    <col min="3615" max="3616" width="15.7109375" style="78" bestFit="1" customWidth="1"/>
    <col min="3617" max="3617" width="11.42578125" style="78" customWidth="1"/>
    <col min="3618" max="3618" width="36.140625" style="78" bestFit="1" customWidth="1"/>
    <col min="3619" max="3619" width="15.140625" style="78" customWidth="1"/>
    <col min="3620" max="3834" width="11.42578125" style="78"/>
    <col min="3835" max="3835" width="7.7109375" style="78" customWidth="1"/>
    <col min="3836" max="3836" width="44.28515625" style="78" customWidth="1"/>
    <col min="3837" max="3837" width="18.42578125" style="78" bestFit="1" customWidth="1"/>
    <col min="3838" max="3838" width="18.28515625" style="78" customWidth="1"/>
    <col min="3839" max="3839" width="15.7109375" style="78" customWidth="1"/>
    <col min="3840" max="3840" width="19.5703125" style="78" bestFit="1" customWidth="1"/>
    <col min="3841" max="3841" width="15.7109375" style="78" bestFit="1" customWidth="1"/>
    <col min="3842" max="3842" width="23" style="78" customWidth="1"/>
    <col min="3843" max="3843" width="19" style="78" customWidth="1"/>
    <col min="3844" max="3844" width="18.42578125" style="78" bestFit="1" customWidth="1"/>
    <col min="3845" max="3845" width="13.7109375" style="78" customWidth="1"/>
    <col min="3846" max="3846" width="17.140625" style="78" bestFit="1" customWidth="1"/>
    <col min="3847" max="3847" width="22.5703125" style="78" customWidth="1"/>
    <col min="3848" max="3848" width="26.85546875" style="78" customWidth="1"/>
    <col min="3849" max="3854" width="18.140625" style="78" customWidth="1"/>
    <col min="3855" max="3855" width="35.5703125" style="78" customWidth="1"/>
    <col min="3856" max="3856" width="16.85546875" style="78" customWidth="1"/>
    <col min="3857" max="3857" width="16.140625" style="78" customWidth="1"/>
    <col min="3858" max="3860" width="16.85546875" style="78" customWidth="1"/>
    <col min="3861" max="3861" width="13.7109375" style="78" bestFit="1" customWidth="1"/>
    <col min="3862" max="3862" width="35.5703125" style="78" customWidth="1"/>
    <col min="3863" max="3867" width="16.5703125" style="78" customWidth="1"/>
    <col min="3868" max="3869" width="11.42578125" style="78" customWidth="1"/>
    <col min="3870" max="3870" width="36.140625" style="78" bestFit="1" customWidth="1"/>
    <col min="3871" max="3872" width="15.7109375" style="78" bestFit="1" customWidth="1"/>
    <col min="3873" max="3873" width="11.42578125" style="78" customWidth="1"/>
    <col min="3874" max="3874" width="36.140625" style="78" bestFit="1" customWidth="1"/>
    <col min="3875" max="3875" width="15.140625" style="78" customWidth="1"/>
    <col min="3876" max="4090" width="11.42578125" style="78"/>
    <col min="4091" max="4091" width="7.7109375" style="78" customWidth="1"/>
    <col min="4092" max="4092" width="44.28515625" style="78" customWidth="1"/>
    <col min="4093" max="4093" width="18.42578125" style="78" bestFit="1" customWidth="1"/>
    <col min="4094" max="4094" width="18.28515625" style="78" customWidth="1"/>
    <col min="4095" max="4095" width="15.7109375" style="78" customWidth="1"/>
    <col min="4096" max="4096" width="19.5703125" style="78" bestFit="1" customWidth="1"/>
    <col min="4097" max="4097" width="15.7109375" style="78" bestFit="1" customWidth="1"/>
    <col min="4098" max="4098" width="23" style="78" customWidth="1"/>
    <col min="4099" max="4099" width="19" style="78" customWidth="1"/>
    <col min="4100" max="4100" width="18.42578125" style="78" bestFit="1" customWidth="1"/>
    <col min="4101" max="4101" width="13.7109375" style="78" customWidth="1"/>
    <col min="4102" max="4102" width="17.140625" style="78" bestFit="1" customWidth="1"/>
    <col min="4103" max="4103" width="22.5703125" style="78" customWidth="1"/>
    <col min="4104" max="4104" width="26.85546875" style="78" customWidth="1"/>
    <col min="4105" max="4110" width="18.140625" style="78" customWidth="1"/>
    <col min="4111" max="4111" width="35.5703125" style="78" customWidth="1"/>
    <col min="4112" max="4112" width="16.85546875" style="78" customWidth="1"/>
    <col min="4113" max="4113" width="16.140625" style="78" customWidth="1"/>
    <col min="4114" max="4116" width="16.85546875" style="78" customWidth="1"/>
    <col min="4117" max="4117" width="13.7109375" style="78" bestFit="1" customWidth="1"/>
    <col min="4118" max="4118" width="35.5703125" style="78" customWidth="1"/>
    <col min="4119" max="4123" width="16.5703125" style="78" customWidth="1"/>
    <col min="4124" max="4125" width="11.42578125" style="78" customWidth="1"/>
    <col min="4126" max="4126" width="36.140625" style="78" bestFit="1" customWidth="1"/>
    <col min="4127" max="4128" width="15.7109375" style="78" bestFit="1" customWidth="1"/>
    <col min="4129" max="4129" width="11.42578125" style="78" customWidth="1"/>
    <col min="4130" max="4130" width="36.140625" style="78" bestFit="1" customWidth="1"/>
    <col min="4131" max="4131" width="15.140625" style="78" customWidth="1"/>
    <col min="4132" max="4346" width="11.42578125" style="78"/>
    <col min="4347" max="4347" width="7.7109375" style="78" customWidth="1"/>
    <col min="4348" max="4348" width="44.28515625" style="78" customWidth="1"/>
    <col min="4349" max="4349" width="18.42578125" style="78" bestFit="1" customWidth="1"/>
    <col min="4350" max="4350" width="18.28515625" style="78" customWidth="1"/>
    <col min="4351" max="4351" width="15.7109375" style="78" customWidth="1"/>
    <col min="4352" max="4352" width="19.5703125" style="78" bestFit="1" customWidth="1"/>
    <col min="4353" max="4353" width="15.7109375" style="78" bestFit="1" customWidth="1"/>
    <col min="4354" max="4354" width="23" style="78" customWidth="1"/>
    <col min="4355" max="4355" width="19" style="78" customWidth="1"/>
    <col min="4356" max="4356" width="18.42578125" style="78" bestFit="1" customWidth="1"/>
    <col min="4357" max="4357" width="13.7109375" style="78" customWidth="1"/>
    <col min="4358" max="4358" width="17.140625" style="78" bestFit="1" customWidth="1"/>
    <col min="4359" max="4359" width="22.5703125" style="78" customWidth="1"/>
    <col min="4360" max="4360" width="26.85546875" style="78" customWidth="1"/>
    <col min="4361" max="4366" width="18.140625" style="78" customWidth="1"/>
    <col min="4367" max="4367" width="35.5703125" style="78" customWidth="1"/>
    <col min="4368" max="4368" width="16.85546875" style="78" customWidth="1"/>
    <col min="4369" max="4369" width="16.140625" style="78" customWidth="1"/>
    <col min="4370" max="4372" width="16.85546875" style="78" customWidth="1"/>
    <col min="4373" max="4373" width="13.7109375" style="78" bestFit="1" customWidth="1"/>
    <col min="4374" max="4374" width="35.5703125" style="78" customWidth="1"/>
    <col min="4375" max="4379" width="16.5703125" style="78" customWidth="1"/>
    <col min="4380" max="4381" width="11.42578125" style="78" customWidth="1"/>
    <col min="4382" max="4382" width="36.140625" style="78" bestFit="1" customWidth="1"/>
    <col min="4383" max="4384" width="15.7109375" style="78" bestFit="1" customWidth="1"/>
    <col min="4385" max="4385" width="11.42578125" style="78" customWidth="1"/>
    <col min="4386" max="4386" width="36.140625" style="78" bestFit="1" customWidth="1"/>
    <col min="4387" max="4387" width="15.140625" style="78" customWidth="1"/>
    <col min="4388" max="4602" width="11.42578125" style="78"/>
    <col min="4603" max="4603" width="7.7109375" style="78" customWidth="1"/>
    <col min="4604" max="4604" width="44.28515625" style="78" customWidth="1"/>
    <col min="4605" max="4605" width="18.42578125" style="78" bestFit="1" customWidth="1"/>
    <col min="4606" max="4606" width="18.28515625" style="78" customWidth="1"/>
    <col min="4607" max="4607" width="15.7109375" style="78" customWidth="1"/>
    <col min="4608" max="4608" width="19.5703125" style="78" bestFit="1" customWidth="1"/>
    <col min="4609" max="4609" width="15.7109375" style="78" bestFit="1" customWidth="1"/>
    <col min="4610" max="4610" width="23" style="78" customWidth="1"/>
    <col min="4611" max="4611" width="19" style="78" customWidth="1"/>
    <col min="4612" max="4612" width="18.42578125" style="78" bestFit="1" customWidth="1"/>
    <col min="4613" max="4613" width="13.7109375" style="78" customWidth="1"/>
    <col min="4614" max="4614" width="17.140625" style="78" bestFit="1" customWidth="1"/>
    <col min="4615" max="4615" width="22.5703125" style="78" customWidth="1"/>
    <col min="4616" max="4616" width="26.85546875" style="78" customWidth="1"/>
    <col min="4617" max="4622" width="18.140625" style="78" customWidth="1"/>
    <col min="4623" max="4623" width="35.5703125" style="78" customWidth="1"/>
    <col min="4624" max="4624" width="16.85546875" style="78" customWidth="1"/>
    <col min="4625" max="4625" width="16.140625" style="78" customWidth="1"/>
    <col min="4626" max="4628" width="16.85546875" style="78" customWidth="1"/>
    <col min="4629" max="4629" width="13.7109375" style="78" bestFit="1" customWidth="1"/>
    <col min="4630" max="4630" width="35.5703125" style="78" customWidth="1"/>
    <col min="4631" max="4635" width="16.5703125" style="78" customWidth="1"/>
    <col min="4636" max="4637" width="11.42578125" style="78" customWidth="1"/>
    <col min="4638" max="4638" width="36.140625" style="78" bestFit="1" customWidth="1"/>
    <col min="4639" max="4640" width="15.7109375" style="78" bestFit="1" customWidth="1"/>
    <col min="4641" max="4641" width="11.42578125" style="78" customWidth="1"/>
    <col min="4642" max="4642" width="36.140625" style="78" bestFit="1" customWidth="1"/>
    <col min="4643" max="4643" width="15.140625" style="78" customWidth="1"/>
    <col min="4644" max="4858" width="11.42578125" style="78"/>
    <col min="4859" max="4859" width="7.7109375" style="78" customWidth="1"/>
    <col min="4860" max="4860" width="44.28515625" style="78" customWidth="1"/>
    <col min="4861" max="4861" width="18.42578125" style="78" bestFit="1" customWidth="1"/>
    <col min="4862" max="4862" width="18.28515625" style="78" customWidth="1"/>
    <col min="4863" max="4863" width="15.7109375" style="78" customWidth="1"/>
    <col min="4864" max="4864" width="19.5703125" style="78" bestFit="1" customWidth="1"/>
    <col min="4865" max="4865" width="15.7109375" style="78" bestFit="1" customWidth="1"/>
    <col min="4866" max="4866" width="23" style="78" customWidth="1"/>
    <col min="4867" max="4867" width="19" style="78" customWidth="1"/>
    <col min="4868" max="4868" width="18.42578125" style="78" bestFit="1" customWidth="1"/>
    <col min="4869" max="4869" width="13.7109375" style="78" customWidth="1"/>
    <col min="4870" max="4870" width="17.140625" style="78" bestFit="1" customWidth="1"/>
    <col min="4871" max="4871" width="22.5703125" style="78" customWidth="1"/>
    <col min="4872" max="4872" width="26.85546875" style="78" customWidth="1"/>
    <col min="4873" max="4878" width="18.140625" style="78" customWidth="1"/>
    <col min="4879" max="4879" width="35.5703125" style="78" customWidth="1"/>
    <col min="4880" max="4880" width="16.85546875" style="78" customWidth="1"/>
    <col min="4881" max="4881" width="16.140625" style="78" customWidth="1"/>
    <col min="4882" max="4884" width="16.85546875" style="78" customWidth="1"/>
    <col min="4885" max="4885" width="13.7109375" style="78" bestFit="1" customWidth="1"/>
    <col min="4886" max="4886" width="35.5703125" style="78" customWidth="1"/>
    <col min="4887" max="4891" width="16.5703125" style="78" customWidth="1"/>
    <col min="4892" max="4893" width="11.42578125" style="78" customWidth="1"/>
    <col min="4894" max="4894" width="36.140625" style="78" bestFit="1" customWidth="1"/>
    <col min="4895" max="4896" width="15.7109375" style="78" bestFit="1" customWidth="1"/>
    <col min="4897" max="4897" width="11.42578125" style="78" customWidth="1"/>
    <col min="4898" max="4898" width="36.140625" style="78" bestFit="1" customWidth="1"/>
    <col min="4899" max="4899" width="15.140625" style="78" customWidth="1"/>
    <col min="4900" max="5114" width="11.42578125" style="78"/>
    <col min="5115" max="5115" width="7.7109375" style="78" customWidth="1"/>
    <col min="5116" max="5116" width="44.28515625" style="78" customWidth="1"/>
    <col min="5117" max="5117" width="18.42578125" style="78" bestFit="1" customWidth="1"/>
    <col min="5118" max="5118" width="18.28515625" style="78" customWidth="1"/>
    <col min="5119" max="5119" width="15.7109375" style="78" customWidth="1"/>
    <col min="5120" max="5120" width="19.5703125" style="78" bestFit="1" customWidth="1"/>
    <col min="5121" max="5121" width="15.7109375" style="78" bestFit="1" customWidth="1"/>
    <col min="5122" max="5122" width="23" style="78" customWidth="1"/>
    <col min="5123" max="5123" width="19" style="78" customWidth="1"/>
    <col min="5124" max="5124" width="18.42578125" style="78" bestFit="1" customWidth="1"/>
    <col min="5125" max="5125" width="13.7109375" style="78" customWidth="1"/>
    <col min="5126" max="5126" width="17.140625" style="78" bestFit="1" customWidth="1"/>
    <col min="5127" max="5127" width="22.5703125" style="78" customWidth="1"/>
    <col min="5128" max="5128" width="26.85546875" style="78" customWidth="1"/>
    <col min="5129" max="5134" width="18.140625" style="78" customWidth="1"/>
    <col min="5135" max="5135" width="35.5703125" style="78" customWidth="1"/>
    <col min="5136" max="5136" width="16.85546875" style="78" customWidth="1"/>
    <col min="5137" max="5137" width="16.140625" style="78" customWidth="1"/>
    <col min="5138" max="5140" width="16.85546875" style="78" customWidth="1"/>
    <col min="5141" max="5141" width="13.7109375" style="78" bestFit="1" customWidth="1"/>
    <col min="5142" max="5142" width="35.5703125" style="78" customWidth="1"/>
    <col min="5143" max="5147" width="16.5703125" style="78" customWidth="1"/>
    <col min="5148" max="5149" width="11.42578125" style="78" customWidth="1"/>
    <col min="5150" max="5150" width="36.140625" style="78" bestFit="1" customWidth="1"/>
    <col min="5151" max="5152" width="15.7109375" style="78" bestFit="1" customWidth="1"/>
    <col min="5153" max="5153" width="11.42578125" style="78" customWidth="1"/>
    <col min="5154" max="5154" width="36.140625" style="78" bestFit="1" customWidth="1"/>
    <col min="5155" max="5155" width="15.140625" style="78" customWidth="1"/>
    <col min="5156" max="5370" width="11.42578125" style="78"/>
    <col min="5371" max="5371" width="7.7109375" style="78" customWidth="1"/>
    <col min="5372" max="5372" width="44.28515625" style="78" customWidth="1"/>
    <col min="5373" max="5373" width="18.42578125" style="78" bestFit="1" customWidth="1"/>
    <col min="5374" max="5374" width="18.28515625" style="78" customWidth="1"/>
    <col min="5375" max="5375" width="15.7109375" style="78" customWidth="1"/>
    <col min="5376" max="5376" width="19.5703125" style="78" bestFit="1" customWidth="1"/>
    <col min="5377" max="5377" width="15.7109375" style="78" bestFit="1" customWidth="1"/>
    <col min="5378" max="5378" width="23" style="78" customWidth="1"/>
    <col min="5379" max="5379" width="19" style="78" customWidth="1"/>
    <col min="5380" max="5380" width="18.42578125" style="78" bestFit="1" customWidth="1"/>
    <col min="5381" max="5381" width="13.7109375" style="78" customWidth="1"/>
    <col min="5382" max="5382" width="17.140625" style="78" bestFit="1" customWidth="1"/>
    <col min="5383" max="5383" width="22.5703125" style="78" customWidth="1"/>
    <col min="5384" max="5384" width="26.85546875" style="78" customWidth="1"/>
    <col min="5385" max="5390" width="18.140625" style="78" customWidth="1"/>
    <col min="5391" max="5391" width="35.5703125" style="78" customWidth="1"/>
    <col min="5392" max="5392" width="16.85546875" style="78" customWidth="1"/>
    <col min="5393" max="5393" width="16.140625" style="78" customWidth="1"/>
    <col min="5394" max="5396" width="16.85546875" style="78" customWidth="1"/>
    <col min="5397" max="5397" width="13.7109375" style="78" bestFit="1" customWidth="1"/>
    <col min="5398" max="5398" width="35.5703125" style="78" customWidth="1"/>
    <col min="5399" max="5403" width="16.5703125" style="78" customWidth="1"/>
    <col min="5404" max="5405" width="11.42578125" style="78" customWidth="1"/>
    <col min="5406" max="5406" width="36.140625" style="78" bestFit="1" customWidth="1"/>
    <col min="5407" max="5408" width="15.7109375" style="78" bestFit="1" customWidth="1"/>
    <col min="5409" max="5409" width="11.42578125" style="78" customWidth="1"/>
    <col min="5410" max="5410" width="36.140625" style="78" bestFit="1" customWidth="1"/>
    <col min="5411" max="5411" width="15.140625" style="78" customWidth="1"/>
    <col min="5412" max="5626" width="11.42578125" style="78"/>
    <col min="5627" max="5627" width="7.7109375" style="78" customWidth="1"/>
    <col min="5628" max="5628" width="44.28515625" style="78" customWidth="1"/>
    <col min="5629" max="5629" width="18.42578125" style="78" bestFit="1" customWidth="1"/>
    <col min="5630" max="5630" width="18.28515625" style="78" customWidth="1"/>
    <col min="5631" max="5631" width="15.7109375" style="78" customWidth="1"/>
    <col min="5632" max="5632" width="19.5703125" style="78" bestFit="1" customWidth="1"/>
    <col min="5633" max="5633" width="15.7109375" style="78" bestFit="1" customWidth="1"/>
    <col min="5634" max="5634" width="23" style="78" customWidth="1"/>
    <col min="5635" max="5635" width="19" style="78" customWidth="1"/>
    <col min="5636" max="5636" width="18.42578125" style="78" bestFit="1" customWidth="1"/>
    <col min="5637" max="5637" width="13.7109375" style="78" customWidth="1"/>
    <col min="5638" max="5638" width="17.140625" style="78" bestFit="1" customWidth="1"/>
    <col min="5639" max="5639" width="22.5703125" style="78" customWidth="1"/>
    <col min="5640" max="5640" width="26.85546875" style="78" customWidth="1"/>
    <col min="5641" max="5646" width="18.140625" style="78" customWidth="1"/>
    <col min="5647" max="5647" width="35.5703125" style="78" customWidth="1"/>
    <col min="5648" max="5648" width="16.85546875" style="78" customWidth="1"/>
    <col min="5649" max="5649" width="16.140625" style="78" customWidth="1"/>
    <col min="5650" max="5652" width="16.85546875" style="78" customWidth="1"/>
    <col min="5653" max="5653" width="13.7109375" style="78" bestFit="1" customWidth="1"/>
    <col min="5654" max="5654" width="35.5703125" style="78" customWidth="1"/>
    <col min="5655" max="5659" width="16.5703125" style="78" customWidth="1"/>
    <col min="5660" max="5661" width="11.42578125" style="78" customWidth="1"/>
    <col min="5662" max="5662" width="36.140625" style="78" bestFit="1" customWidth="1"/>
    <col min="5663" max="5664" width="15.7109375" style="78" bestFit="1" customWidth="1"/>
    <col min="5665" max="5665" width="11.42578125" style="78" customWidth="1"/>
    <col min="5666" max="5666" width="36.140625" style="78" bestFit="1" customWidth="1"/>
    <col min="5667" max="5667" width="15.140625" style="78" customWidth="1"/>
    <col min="5668" max="5882" width="11.42578125" style="78"/>
    <col min="5883" max="5883" width="7.7109375" style="78" customWidth="1"/>
    <col min="5884" max="5884" width="44.28515625" style="78" customWidth="1"/>
    <col min="5885" max="5885" width="18.42578125" style="78" bestFit="1" customWidth="1"/>
    <col min="5886" max="5886" width="18.28515625" style="78" customWidth="1"/>
    <col min="5887" max="5887" width="15.7109375" style="78" customWidth="1"/>
    <col min="5888" max="5888" width="19.5703125" style="78" bestFit="1" customWidth="1"/>
    <col min="5889" max="5889" width="15.7109375" style="78" bestFit="1" customWidth="1"/>
    <col min="5890" max="5890" width="23" style="78" customWidth="1"/>
    <col min="5891" max="5891" width="19" style="78" customWidth="1"/>
    <col min="5892" max="5892" width="18.42578125" style="78" bestFit="1" customWidth="1"/>
    <col min="5893" max="5893" width="13.7109375" style="78" customWidth="1"/>
    <col min="5894" max="5894" width="17.140625" style="78" bestFit="1" customWidth="1"/>
    <col min="5895" max="5895" width="22.5703125" style="78" customWidth="1"/>
    <col min="5896" max="5896" width="26.85546875" style="78" customWidth="1"/>
    <col min="5897" max="5902" width="18.140625" style="78" customWidth="1"/>
    <col min="5903" max="5903" width="35.5703125" style="78" customWidth="1"/>
    <col min="5904" max="5904" width="16.85546875" style="78" customWidth="1"/>
    <col min="5905" max="5905" width="16.140625" style="78" customWidth="1"/>
    <col min="5906" max="5908" width="16.85546875" style="78" customWidth="1"/>
    <col min="5909" max="5909" width="13.7109375" style="78" bestFit="1" customWidth="1"/>
    <col min="5910" max="5910" width="35.5703125" style="78" customWidth="1"/>
    <col min="5911" max="5915" width="16.5703125" style="78" customWidth="1"/>
    <col min="5916" max="5917" width="11.42578125" style="78" customWidth="1"/>
    <col min="5918" max="5918" width="36.140625" style="78" bestFit="1" customWidth="1"/>
    <col min="5919" max="5920" width="15.7109375" style="78" bestFit="1" customWidth="1"/>
    <col min="5921" max="5921" width="11.42578125" style="78" customWidth="1"/>
    <col min="5922" max="5922" width="36.140625" style="78" bestFit="1" customWidth="1"/>
    <col min="5923" max="5923" width="15.140625" style="78" customWidth="1"/>
    <col min="5924" max="6138" width="11.42578125" style="78"/>
    <col min="6139" max="6139" width="7.7109375" style="78" customWidth="1"/>
    <col min="6140" max="6140" width="44.28515625" style="78" customWidth="1"/>
    <col min="6141" max="6141" width="18.42578125" style="78" bestFit="1" customWidth="1"/>
    <col min="6142" max="6142" width="18.28515625" style="78" customWidth="1"/>
    <col min="6143" max="6143" width="15.7109375" style="78" customWidth="1"/>
    <col min="6144" max="6144" width="19.5703125" style="78" bestFit="1" customWidth="1"/>
    <col min="6145" max="6145" width="15.7109375" style="78" bestFit="1" customWidth="1"/>
    <col min="6146" max="6146" width="23" style="78" customWidth="1"/>
    <col min="6147" max="6147" width="19" style="78" customWidth="1"/>
    <col min="6148" max="6148" width="18.42578125" style="78" bestFit="1" customWidth="1"/>
    <col min="6149" max="6149" width="13.7109375" style="78" customWidth="1"/>
    <col min="6150" max="6150" width="17.140625" style="78" bestFit="1" customWidth="1"/>
    <col min="6151" max="6151" width="22.5703125" style="78" customWidth="1"/>
    <col min="6152" max="6152" width="26.85546875" style="78" customWidth="1"/>
    <col min="6153" max="6158" width="18.140625" style="78" customWidth="1"/>
    <col min="6159" max="6159" width="35.5703125" style="78" customWidth="1"/>
    <col min="6160" max="6160" width="16.85546875" style="78" customWidth="1"/>
    <col min="6161" max="6161" width="16.140625" style="78" customWidth="1"/>
    <col min="6162" max="6164" width="16.85546875" style="78" customWidth="1"/>
    <col min="6165" max="6165" width="13.7109375" style="78" bestFit="1" customWidth="1"/>
    <col min="6166" max="6166" width="35.5703125" style="78" customWidth="1"/>
    <col min="6167" max="6171" width="16.5703125" style="78" customWidth="1"/>
    <col min="6172" max="6173" width="11.42578125" style="78" customWidth="1"/>
    <col min="6174" max="6174" width="36.140625" style="78" bestFit="1" customWidth="1"/>
    <col min="6175" max="6176" width="15.7109375" style="78" bestFit="1" customWidth="1"/>
    <col min="6177" max="6177" width="11.42578125" style="78" customWidth="1"/>
    <col min="6178" max="6178" width="36.140625" style="78" bestFit="1" customWidth="1"/>
    <col min="6179" max="6179" width="15.140625" style="78" customWidth="1"/>
    <col min="6180" max="6394" width="11.42578125" style="78"/>
    <col min="6395" max="6395" width="7.7109375" style="78" customWidth="1"/>
    <col min="6396" max="6396" width="44.28515625" style="78" customWidth="1"/>
    <col min="6397" max="6397" width="18.42578125" style="78" bestFit="1" customWidth="1"/>
    <col min="6398" max="6398" width="18.28515625" style="78" customWidth="1"/>
    <col min="6399" max="6399" width="15.7109375" style="78" customWidth="1"/>
    <col min="6400" max="6400" width="19.5703125" style="78" bestFit="1" customWidth="1"/>
    <col min="6401" max="6401" width="15.7109375" style="78" bestFit="1" customWidth="1"/>
    <col min="6402" max="6402" width="23" style="78" customWidth="1"/>
    <col min="6403" max="6403" width="19" style="78" customWidth="1"/>
    <col min="6404" max="6404" width="18.42578125" style="78" bestFit="1" customWidth="1"/>
    <col min="6405" max="6405" width="13.7109375" style="78" customWidth="1"/>
    <col min="6406" max="6406" width="17.140625" style="78" bestFit="1" customWidth="1"/>
    <col min="6407" max="6407" width="22.5703125" style="78" customWidth="1"/>
    <col min="6408" max="6408" width="26.85546875" style="78" customWidth="1"/>
    <col min="6409" max="6414" width="18.140625" style="78" customWidth="1"/>
    <col min="6415" max="6415" width="35.5703125" style="78" customWidth="1"/>
    <col min="6416" max="6416" width="16.85546875" style="78" customWidth="1"/>
    <col min="6417" max="6417" width="16.140625" style="78" customWidth="1"/>
    <col min="6418" max="6420" width="16.85546875" style="78" customWidth="1"/>
    <col min="6421" max="6421" width="13.7109375" style="78" bestFit="1" customWidth="1"/>
    <col min="6422" max="6422" width="35.5703125" style="78" customWidth="1"/>
    <col min="6423" max="6427" width="16.5703125" style="78" customWidth="1"/>
    <col min="6428" max="6429" width="11.42578125" style="78" customWidth="1"/>
    <col min="6430" max="6430" width="36.140625" style="78" bestFit="1" customWidth="1"/>
    <col min="6431" max="6432" width="15.7109375" style="78" bestFit="1" customWidth="1"/>
    <col min="6433" max="6433" width="11.42578125" style="78" customWidth="1"/>
    <col min="6434" max="6434" width="36.140625" style="78" bestFit="1" customWidth="1"/>
    <col min="6435" max="6435" width="15.140625" style="78" customWidth="1"/>
    <col min="6436" max="6650" width="11.42578125" style="78"/>
    <col min="6651" max="6651" width="7.7109375" style="78" customWidth="1"/>
    <col min="6652" max="6652" width="44.28515625" style="78" customWidth="1"/>
    <col min="6653" max="6653" width="18.42578125" style="78" bestFit="1" customWidth="1"/>
    <col min="6654" max="6654" width="18.28515625" style="78" customWidth="1"/>
    <col min="6655" max="6655" width="15.7109375" style="78" customWidth="1"/>
    <col min="6656" max="6656" width="19.5703125" style="78" bestFit="1" customWidth="1"/>
    <col min="6657" max="6657" width="15.7109375" style="78" bestFit="1" customWidth="1"/>
    <col min="6658" max="6658" width="23" style="78" customWidth="1"/>
    <col min="6659" max="6659" width="19" style="78" customWidth="1"/>
    <col min="6660" max="6660" width="18.42578125" style="78" bestFit="1" customWidth="1"/>
    <col min="6661" max="6661" width="13.7109375" style="78" customWidth="1"/>
    <col min="6662" max="6662" width="17.140625" style="78" bestFit="1" customWidth="1"/>
    <col min="6663" max="6663" width="22.5703125" style="78" customWidth="1"/>
    <col min="6664" max="6664" width="26.85546875" style="78" customWidth="1"/>
    <col min="6665" max="6670" width="18.140625" style="78" customWidth="1"/>
    <col min="6671" max="6671" width="35.5703125" style="78" customWidth="1"/>
    <col min="6672" max="6672" width="16.85546875" style="78" customWidth="1"/>
    <col min="6673" max="6673" width="16.140625" style="78" customWidth="1"/>
    <col min="6674" max="6676" width="16.85546875" style="78" customWidth="1"/>
    <col min="6677" max="6677" width="13.7109375" style="78" bestFit="1" customWidth="1"/>
    <col min="6678" max="6678" width="35.5703125" style="78" customWidth="1"/>
    <col min="6679" max="6683" width="16.5703125" style="78" customWidth="1"/>
    <col min="6684" max="6685" width="11.42578125" style="78" customWidth="1"/>
    <col min="6686" max="6686" width="36.140625" style="78" bestFit="1" customWidth="1"/>
    <col min="6687" max="6688" width="15.7109375" style="78" bestFit="1" customWidth="1"/>
    <col min="6689" max="6689" width="11.42578125" style="78" customWidth="1"/>
    <col min="6690" max="6690" width="36.140625" style="78" bestFit="1" customWidth="1"/>
    <col min="6691" max="6691" width="15.140625" style="78" customWidth="1"/>
    <col min="6692" max="6906" width="11.42578125" style="78"/>
    <col min="6907" max="6907" width="7.7109375" style="78" customWidth="1"/>
    <col min="6908" max="6908" width="44.28515625" style="78" customWidth="1"/>
    <col min="6909" max="6909" width="18.42578125" style="78" bestFit="1" customWidth="1"/>
    <col min="6910" max="6910" width="18.28515625" style="78" customWidth="1"/>
    <col min="6911" max="6911" width="15.7109375" style="78" customWidth="1"/>
    <col min="6912" max="6912" width="19.5703125" style="78" bestFit="1" customWidth="1"/>
    <col min="6913" max="6913" width="15.7109375" style="78" bestFit="1" customWidth="1"/>
    <col min="6914" max="6914" width="23" style="78" customWidth="1"/>
    <col min="6915" max="6915" width="19" style="78" customWidth="1"/>
    <col min="6916" max="6916" width="18.42578125" style="78" bestFit="1" customWidth="1"/>
    <col min="6917" max="6917" width="13.7109375" style="78" customWidth="1"/>
    <col min="6918" max="6918" width="17.140625" style="78" bestFit="1" customWidth="1"/>
    <col min="6919" max="6919" width="22.5703125" style="78" customWidth="1"/>
    <col min="6920" max="6920" width="26.85546875" style="78" customWidth="1"/>
    <col min="6921" max="6926" width="18.140625" style="78" customWidth="1"/>
    <col min="6927" max="6927" width="35.5703125" style="78" customWidth="1"/>
    <col min="6928" max="6928" width="16.85546875" style="78" customWidth="1"/>
    <col min="6929" max="6929" width="16.140625" style="78" customWidth="1"/>
    <col min="6930" max="6932" width="16.85546875" style="78" customWidth="1"/>
    <col min="6933" max="6933" width="13.7109375" style="78" bestFit="1" customWidth="1"/>
    <col min="6934" max="6934" width="35.5703125" style="78" customWidth="1"/>
    <col min="6935" max="6939" width="16.5703125" style="78" customWidth="1"/>
    <col min="6940" max="6941" width="11.42578125" style="78" customWidth="1"/>
    <col min="6942" max="6942" width="36.140625" style="78" bestFit="1" customWidth="1"/>
    <col min="6943" max="6944" width="15.7109375" style="78" bestFit="1" customWidth="1"/>
    <col min="6945" max="6945" width="11.42578125" style="78" customWidth="1"/>
    <col min="6946" max="6946" width="36.140625" style="78" bestFit="1" customWidth="1"/>
    <col min="6947" max="6947" width="15.140625" style="78" customWidth="1"/>
    <col min="6948" max="7162" width="11.42578125" style="78"/>
    <col min="7163" max="7163" width="7.7109375" style="78" customWidth="1"/>
    <col min="7164" max="7164" width="44.28515625" style="78" customWidth="1"/>
    <col min="7165" max="7165" width="18.42578125" style="78" bestFit="1" customWidth="1"/>
    <col min="7166" max="7166" width="18.28515625" style="78" customWidth="1"/>
    <col min="7167" max="7167" width="15.7109375" style="78" customWidth="1"/>
    <col min="7168" max="7168" width="19.5703125" style="78" bestFit="1" customWidth="1"/>
    <col min="7169" max="7169" width="15.7109375" style="78" bestFit="1" customWidth="1"/>
    <col min="7170" max="7170" width="23" style="78" customWidth="1"/>
    <col min="7171" max="7171" width="19" style="78" customWidth="1"/>
    <col min="7172" max="7172" width="18.42578125" style="78" bestFit="1" customWidth="1"/>
    <col min="7173" max="7173" width="13.7109375" style="78" customWidth="1"/>
    <col min="7174" max="7174" width="17.140625" style="78" bestFit="1" customWidth="1"/>
    <col min="7175" max="7175" width="22.5703125" style="78" customWidth="1"/>
    <col min="7176" max="7176" width="26.85546875" style="78" customWidth="1"/>
    <col min="7177" max="7182" width="18.140625" style="78" customWidth="1"/>
    <col min="7183" max="7183" width="35.5703125" style="78" customWidth="1"/>
    <col min="7184" max="7184" width="16.85546875" style="78" customWidth="1"/>
    <col min="7185" max="7185" width="16.140625" style="78" customWidth="1"/>
    <col min="7186" max="7188" width="16.85546875" style="78" customWidth="1"/>
    <col min="7189" max="7189" width="13.7109375" style="78" bestFit="1" customWidth="1"/>
    <col min="7190" max="7190" width="35.5703125" style="78" customWidth="1"/>
    <col min="7191" max="7195" width="16.5703125" style="78" customWidth="1"/>
    <col min="7196" max="7197" width="11.42578125" style="78" customWidth="1"/>
    <col min="7198" max="7198" width="36.140625" style="78" bestFit="1" customWidth="1"/>
    <col min="7199" max="7200" width="15.7109375" style="78" bestFit="1" customWidth="1"/>
    <col min="7201" max="7201" width="11.42578125" style="78" customWidth="1"/>
    <col min="7202" max="7202" width="36.140625" style="78" bestFit="1" customWidth="1"/>
    <col min="7203" max="7203" width="15.140625" style="78" customWidth="1"/>
    <col min="7204" max="7418" width="11.42578125" style="78"/>
    <col min="7419" max="7419" width="7.7109375" style="78" customWidth="1"/>
    <col min="7420" max="7420" width="44.28515625" style="78" customWidth="1"/>
    <col min="7421" max="7421" width="18.42578125" style="78" bestFit="1" customWidth="1"/>
    <col min="7422" max="7422" width="18.28515625" style="78" customWidth="1"/>
    <col min="7423" max="7423" width="15.7109375" style="78" customWidth="1"/>
    <col min="7424" max="7424" width="19.5703125" style="78" bestFit="1" customWidth="1"/>
    <col min="7425" max="7425" width="15.7109375" style="78" bestFit="1" customWidth="1"/>
    <col min="7426" max="7426" width="23" style="78" customWidth="1"/>
    <col min="7427" max="7427" width="19" style="78" customWidth="1"/>
    <col min="7428" max="7428" width="18.42578125" style="78" bestFit="1" customWidth="1"/>
    <col min="7429" max="7429" width="13.7109375" style="78" customWidth="1"/>
    <col min="7430" max="7430" width="17.140625" style="78" bestFit="1" customWidth="1"/>
    <col min="7431" max="7431" width="22.5703125" style="78" customWidth="1"/>
    <col min="7432" max="7432" width="26.85546875" style="78" customWidth="1"/>
    <col min="7433" max="7438" width="18.140625" style="78" customWidth="1"/>
    <col min="7439" max="7439" width="35.5703125" style="78" customWidth="1"/>
    <col min="7440" max="7440" width="16.85546875" style="78" customWidth="1"/>
    <col min="7441" max="7441" width="16.140625" style="78" customWidth="1"/>
    <col min="7442" max="7444" width="16.85546875" style="78" customWidth="1"/>
    <col min="7445" max="7445" width="13.7109375" style="78" bestFit="1" customWidth="1"/>
    <col min="7446" max="7446" width="35.5703125" style="78" customWidth="1"/>
    <col min="7447" max="7451" width="16.5703125" style="78" customWidth="1"/>
    <col min="7452" max="7453" width="11.42578125" style="78" customWidth="1"/>
    <col min="7454" max="7454" width="36.140625" style="78" bestFit="1" customWidth="1"/>
    <col min="7455" max="7456" width="15.7109375" style="78" bestFit="1" customWidth="1"/>
    <col min="7457" max="7457" width="11.42578125" style="78" customWidth="1"/>
    <col min="7458" max="7458" width="36.140625" style="78" bestFit="1" customWidth="1"/>
    <col min="7459" max="7459" width="15.140625" style="78" customWidth="1"/>
    <col min="7460" max="7674" width="11.42578125" style="78"/>
    <col min="7675" max="7675" width="7.7109375" style="78" customWidth="1"/>
    <col min="7676" max="7676" width="44.28515625" style="78" customWidth="1"/>
    <col min="7677" max="7677" width="18.42578125" style="78" bestFit="1" customWidth="1"/>
    <col min="7678" max="7678" width="18.28515625" style="78" customWidth="1"/>
    <col min="7679" max="7679" width="15.7109375" style="78" customWidth="1"/>
    <col min="7680" max="7680" width="19.5703125" style="78" bestFit="1" customWidth="1"/>
    <col min="7681" max="7681" width="15.7109375" style="78" bestFit="1" customWidth="1"/>
    <col min="7682" max="7682" width="23" style="78" customWidth="1"/>
    <col min="7683" max="7683" width="19" style="78" customWidth="1"/>
    <col min="7684" max="7684" width="18.42578125" style="78" bestFit="1" customWidth="1"/>
    <col min="7685" max="7685" width="13.7109375" style="78" customWidth="1"/>
    <col min="7686" max="7686" width="17.140625" style="78" bestFit="1" customWidth="1"/>
    <col min="7687" max="7687" width="22.5703125" style="78" customWidth="1"/>
    <col min="7688" max="7688" width="26.85546875" style="78" customWidth="1"/>
    <col min="7689" max="7694" width="18.140625" style="78" customWidth="1"/>
    <col min="7695" max="7695" width="35.5703125" style="78" customWidth="1"/>
    <col min="7696" max="7696" width="16.85546875" style="78" customWidth="1"/>
    <col min="7697" max="7697" width="16.140625" style="78" customWidth="1"/>
    <col min="7698" max="7700" width="16.85546875" style="78" customWidth="1"/>
    <col min="7701" max="7701" width="13.7109375" style="78" bestFit="1" customWidth="1"/>
    <col min="7702" max="7702" width="35.5703125" style="78" customWidth="1"/>
    <col min="7703" max="7707" width="16.5703125" style="78" customWidth="1"/>
    <col min="7708" max="7709" width="11.42578125" style="78" customWidth="1"/>
    <col min="7710" max="7710" width="36.140625" style="78" bestFit="1" customWidth="1"/>
    <col min="7711" max="7712" width="15.7109375" style="78" bestFit="1" customWidth="1"/>
    <col min="7713" max="7713" width="11.42578125" style="78" customWidth="1"/>
    <col min="7714" max="7714" width="36.140625" style="78" bestFit="1" customWidth="1"/>
    <col min="7715" max="7715" width="15.140625" style="78" customWidth="1"/>
    <col min="7716" max="7930" width="11.42578125" style="78"/>
    <col min="7931" max="7931" width="7.7109375" style="78" customWidth="1"/>
    <col min="7932" max="7932" width="44.28515625" style="78" customWidth="1"/>
    <col min="7933" max="7933" width="18.42578125" style="78" bestFit="1" customWidth="1"/>
    <col min="7934" max="7934" width="18.28515625" style="78" customWidth="1"/>
    <col min="7935" max="7935" width="15.7109375" style="78" customWidth="1"/>
    <col min="7936" max="7936" width="19.5703125" style="78" bestFit="1" customWidth="1"/>
    <col min="7937" max="7937" width="15.7109375" style="78" bestFit="1" customWidth="1"/>
    <col min="7938" max="7938" width="23" style="78" customWidth="1"/>
    <col min="7939" max="7939" width="19" style="78" customWidth="1"/>
    <col min="7940" max="7940" width="18.42578125" style="78" bestFit="1" customWidth="1"/>
    <col min="7941" max="7941" width="13.7109375" style="78" customWidth="1"/>
    <col min="7942" max="7942" width="17.140625" style="78" bestFit="1" customWidth="1"/>
    <col min="7943" max="7943" width="22.5703125" style="78" customWidth="1"/>
    <col min="7944" max="7944" width="26.85546875" style="78" customWidth="1"/>
    <col min="7945" max="7950" width="18.140625" style="78" customWidth="1"/>
    <col min="7951" max="7951" width="35.5703125" style="78" customWidth="1"/>
    <col min="7952" max="7952" width="16.85546875" style="78" customWidth="1"/>
    <col min="7953" max="7953" width="16.140625" style="78" customWidth="1"/>
    <col min="7954" max="7956" width="16.85546875" style="78" customWidth="1"/>
    <col min="7957" max="7957" width="13.7109375" style="78" bestFit="1" customWidth="1"/>
    <col min="7958" max="7958" width="35.5703125" style="78" customWidth="1"/>
    <col min="7959" max="7963" width="16.5703125" style="78" customWidth="1"/>
    <col min="7964" max="7965" width="11.42578125" style="78" customWidth="1"/>
    <col min="7966" max="7966" width="36.140625" style="78" bestFit="1" customWidth="1"/>
    <col min="7967" max="7968" width="15.7109375" style="78" bestFit="1" customWidth="1"/>
    <col min="7969" max="7969" width="11.42578125" style="78" customWidth="1"/>
    <col min="7970" max="7970" width="36.140625" style="78" bestFit="1" customWidth="1"/>
    <col min="7971" max="7971" width="15.140625" style="78" customWidth="1"/>
    <col min="7972" max="8186" width="11.42578125" style="78"/>
    <col min="8187" max="8187" width="7.7109375" style="78" customWidth="1"/>
    <col min="8188" max="8188" width="44.28515625" style="78" customWidth="1"/>
    <col min="8189" max="8189" width="18.42578125" style="78" bestFit="1" customWidth="1"/>
    <col min="8190" max="8190" width="18.28515625" style="78" customWidth="1"/>
    <col min="8191" max="8191" width="15.7109375" style="78" customWidth="1"/>
    <col min="8192" max="8192" width="19.5703125" style="78" bestFit="1" customWidth="1"/>
    <col min="8193" max="8193" width="15.7109375" style="78" bestFit="1" customWidth="1"/>
    <col min="8194" max="8194" width="23" style="78" customWidth="1"/>
    <col min="8195" max="8195" width="19" style="78" customWidth="1"/>
    <col min="8196" max="8196" width="18.42578125" style="78" bestFit="1" customWidth="1"/>
    <col min="8197" max="8197" width="13.7109375" style="78" customWidth="1"/>
    <col min="8198" max="8198" width="17.140625" style="78" bestFit="1" customWidth="1"/>
    <col min="8199" max="8199" width="22.5703125" style="78" customWidth="1"/>
    <col min="8200" max="8200" width="26.85546875" style="78" customWidth="1"/>
    <col min="8201" max="8206" width="18.140625" style="78" customWidth="1"/>
    <col min="8207" max="8207" width="35.5703125" style="78" customWidth="1"/>
    <col min="8208" max="8208" width="16.85546875" style="78" customWidth="1"/>
    <col min="8209" max="8209" width="16.140625" style="78" customWidth="1"/>
    <col min="8210" max="8212" width="16.85546875" style="78" customWidth="1"/>
    <col min="8213" max="8213" width="13.7109375" style="78" bestFit="1" customWidth="1"/>
    <col min="8214" max="8214" width="35.5703125" style="78" customWidth="1"/>
    <col min="8215" max="8219" width="16.5703125" style="78" customWidth="1"/>
    <col min="8220" max="8221" width="11.42578125" style="78" customWidth="1"/>
    <col min="8222" max="8222" width="36.140625" style="78" bestFit="1" customWidth="1"/>
    <col min="8223" max="8224" width="15.7109375" style="78" bestFit="1" customWidth="1"/>
    <col min="8225" max="8225" width="11.42578125" style="78" customWidth="1"/>
    <col min="8226" max="8226" width="36.140625" style="78" bestFit="1" customWidth="1"/>
    <col min="8227" max="8227" width="15.140625" style="78" customWidth="1"/>
    <col min="8228" max="8442" width="11.42578125" style="78"/>
    <col min="8443" max="8443" width="7.7109375" style="78" customWidth="1"/>
    <col min="8444" max="8444" width="44.28515625" style="78" customWidth="1"/>
    <col min="8445" max="8445" width="18.42578125" style="78" bestFit="1" customWidth="1"/>
    <col min="8446" max="8446" width="18.28515625" style="78" customWidth="1"/>
    <col min="8447" max="8447" width="15.7109375" style="78" customWidth="1"/>
    <col min="8448" max="8448" width="19.5703125" style="78" bestFit="1" customWidth="1"/>
    <col min="8449" max="8449" width="15.7109375" style="78" bestFit="1" customWidth="1"/>
    <col min="8450" max="8450" width="23" style="78" customWidth="1"/>
    <col min="8451" max="8451" width="19" style="78" customWidth="1"/>
    <col min="8452" max="8452" width="18.42578125" style="78" bestFit="1" customWidth="1"/>
    <col min="8453" max="8453" width="13.7109375" style="78" customWidth="1"/>
    <col min="8454" max="8454" width="17.140625" style="78" bestFit="1" customWidth="1"/>
    <col min="8455" max="8455" width="22.5703125" style="78" customWidth="1"/>
    <col min="8456" max="8456" width="26.85546875" style="78" customWidth="1"/>
    <col min="8457" max="8462" width="18.140625" style="78" customWidth="1"/>
    <col min="8463" max="8463" width="35.5703125" style="78" customWidth="1"/>
    <col min="8464" max="8464" width="16.85546875" style="78" customWidth="1"/>
    <col min="8465" max="8465" width="16.140625" style="78" customWidth="1"/>
    <col min="8466" max="8468" width="16.85546875" style="78" customWidth="1"/>
    <col min="8469" max="8469" width="13.7109375" style="78" bestFit="1" customWidth="1"/>
    <col min="8470" max="8470" width="35.5703125" style="78" customWidth="1"/>
    <col min="8471" max="8475" width="16.5703125" style="78" customWidth="1"/>
    <col min="8476" max="8477" width="11.42578125" style="78" customWidth="1"/>
    <col min="8478" max="8478" width="36.140625" style="78" bestFit="1" customWidth="1"/>
    <col min="8479" max="8480" width="15.7109375" style="78" bestFit="1" customWidth="1"/>
    <col min="8481" max="8481" width="11.42578125" style="78" customWidth="1"/>
    <col min="8482" max="8482" width="36.140625" style="78" bestFit="1" customWidth="1"/>
    <col min="8483" max="8483" width="15.140625" style="78" customWidth="1"/>
    <col min="8484" max="8698" width="11.42578125" style="78"/>
    <col min="8699" max="8699" width="7.7109375" style="78" customWidth="1"/>
    <col min="8700" max="8700" width="44.28515625" style="78" customWidth="1"/>
    <col min="8701" max="8701" width="18.42578125" style="78" bestFit="1" customWidth="1"/>
    <col min="8702" max="8702" width="18.28515625" style="78" customWidth="1"/>
    <col min="8703" max="8703" width="15.7109375" style="78" customWidth="1"/>
    <col min="8704" max="8704" width="19.5703125" style="78" bestFit="1" customWidth="1"/>
    <col min="8705" max="8705" width="15.7109375" style="78" bestFit="1" customWidth="1"/>
    <col min="8706" max="8706" width="23" style="78" customWidth="1"/>
    <col min="8707" max="8707" width="19" style="78" customWidth="1"/>
    <col min="8708" max="8708" width="18.42578125" style="78" bestFit="1" customWidth="1"/>
    <col min="8709" max="8709" width="13.7109375" style="78" customWidth="1"/>
    <col min="8710" max="8710" width="17.140625" style="78" bestFit="1" customWidth="1"/>
    <col min="8711" max="8711" width="22.5703125" style="78" customWidth="1"/>
    <col min="8712" max="8712" width="26.85546875" style="78" customWidth="1"/>
    <col min="8713" max="8718" width="18.140625" style="78" customWidth="1"/>
    <col min="8719" max="8719" width="35.5703125" style="78" customWidth="1"/>
    <col min="8720" max="8720" width="16.85546875" style="78" customWidth="1"/>
    <col min="8721" max="8721" width="16.140625" style="78" customWidth="1"/>
    <col min="8722" max="8724" width="16.85546875" style="78" customWidth="1"/>
    <col min="8725" max="8725" width="13.7109375" style="78" bestFit="1" customWidth="1"/>
    <col min="8726" max="8726" width="35.5703125" style="78" customWidth="1"/>
    <col min="8727" max="8731" width="16.5703125" style="78" customWidth="1"/>
    <col min="8732" max="8733" width="11.42578125" style="78" customWidth="1"/>
    <col min="8734" max="8734" width="36.140625" style="78" bestFit="1" customWidth="1"/>
    <col min="8735" max="8736" width="15.7109375" style="78" bestFit="1" customWidth="1"/>
    <col min="8737" max="8737" width="11.42578125" style="78" customWidth="1"/>
    <col min="8738" max="8738" width="36.140625" style="78" bestFit="1" customWidth="1"/>
    <col min="8739" max="8739" width="15.140625" style="78" customWidth="1"/>
    <col min="8740" max="8954" width="11.42578125" style="78"/>
    <col min="8955" max="8955" width="7.7109375" style="78" customWidth="1"/>
    <col min="8956" max="8956" width="44.28515625" style="78" customWidth="1"/>
    <col min="8957" max="8957" width="18.42578125" style="78" bestFit="1" customWidth="1"/>
    <col min="8958" max="8958" width="18.28515625" style="78" customWidth="1"/>
    <col min="8959" max="8959" width="15.7109375" style="78" customWidth="1"/>
    <col min="8960" max="8960" width="19.5703125" style="78" bestFit="1" customWidth="1"/>
    <col min="8961" max="8961" width="15.7109375" style="78" bestFit="1" customWidth="1"/>
    <col min="8962" max="8962" width="23" style="78" customWidth="1"/>
    <col min="8963" max="8963" width="19" style="78" customWidth="1"/>
    <col min="8964" max="8964" width="18.42578125" style="78" bestFit="1" customWidth="1"/>
    <col min="8965" max="8965" width="13.7109375" style="78" customWidth="1"/>
    <col min="8966" max="8966" width="17.140625" style="78" bestFit="1" customWidth="1"/>
    <col min="8967" max="8967" width="22.5703125" style="78" customWidth="1"/>
    <col min="8968" max="8968" width="26.85546875" style="78" customWidth="1"/>
    <col min="8969" max="8974" width="18.140625" style="78" customWidth="1"/>
    <col min="8975" max="8975" width="35.5703125" style="78" customWidth="1"/>
    <col min="8976" max="8976" width="16.85546875" style="78" customWidth="1"/>
    <col min="8977" max="8977" width="16.140625" style="78" customWidth="1"/>
    <col min="8978" max="8980" width="16.85546875" style="78" customWidth="1"/>
    <col min="8981" max="8981" width="13.7109375" style="78" bestFit="1" customWidth="1"/>
    <col min="8982" max="8982" width="35.5703125" style="78" customWidth="1"/>
    <col min="8983" max="8987" width="16.5703125" style="78" customWidth="1"/>
    <col min="8988" max="8989" width="11.42578125" style="78" customWidth="1"/>
    <col min="8990" max="8990" width="36.140625" style="78" bestFit="1" customWidth="1"/>
    <col min="8991" max="8992" width="15.7109375" style="78" bestFit="1" customWidth="1"/>
    <col min="8993" max="8993" width="11.42578125" style="78" customWidth="1"/>
    <col min="8994" max="8994" width="36.140625" style="78" bestFit="1" customWidth="1"/>
    <col min="8995" max="8995" width="15.140625" style="78" customWidth="1"/>
    <col min="8996" max="9210" width="11.42578125" style="78"/>
    <col min="9211" max="9211" width="7.7109375" style="78" customWidth="1"/>
    <col min="9212" max="9212" width="44.28515625" style="78" customWidth="1"/>
    <col min="9213" max="9213" width="18.42578125" style="78" bestFit="1" customWidth="1"/>
    <col min="9214" max="9214" width="18.28515625" style="78" customWidth="1"/>
    <col min="9215" max="9215" width="15.7109375" style="78" customWidth="1"/>
    <col min="9216" max="9216" width="19.5703125" style="78" bestFit="1" customWidth="1"/>
    <col min="9217" max="9217" width="15.7109375" style="78" bestFit="1" customWidth="1"/>
    <col min="9218" max="9218" width="23" style="78" customWidth="1"/>
    <col min="9219" max="9219" width="19" style="78" customWidth="1"/>
    <col min="9220" max="9220" width="18.42578125" style="78" bestFit="1" customWidth="1"/>
    <col min="9221" max="9221" width="13.7109375" style="78" customWidth="1"/>
    <col min="9222" max="9222" width="17.140625" style="78" bestFit="1" customWidth="1"/>
    <col min="9223" max="9223" width="22.5703125" style="78" customWidth="1"/>
    <col min="9224" max="9224" width="26.85546875" style="78" customWidth="1"/>
    <col min="9225" max="9230" width="18.140625" style="78" customWidth="1"/>
    <col min="9231" max="9231" width="35.5703125" style="78" customWidth="1"/>
    <col min="9232" max="9232" width="16.85546875" style="78" customWidth="1"/>
    <col min="9233" max="9233" width="16.140625" style="78" customWidth="1"/>
    <col min="9234" max="9236" width="16.85546875" style="78" customWidth="1"/>
    <col min="9237" max="9237" width="13.7109375" style="78" bestFit="1" customWidth="1"/>
    <col min="9238" max="9238" width="35.5703125" style="78" customWidth="1"/>
    <col min="9239" max="9243" width="16.5703125" style="78" customWidth="1"/>
    <col min="9244" max="9245" width="11.42578125" style="78" customWidth="1"/>
    <col min="9246" max="9246" width="36.140625" style="78" bestFit="1" customWidth="1"/>
    <col min="9247" max="9248" width="15.7109375" style="78" bestFit="1" customWidth="1"/>
    <col min="9249" max="9249" width="11.42578125" style="78" customWidth="1"/>
    <col min="9250" max="9250" width="36.140625" style="78" bestFit="1" customWidth="1"/>
    <col min="9251" max="9251" width="15.140625" style="78" customWidth="1"/>
    <col min="9252" max="9466" width="11.42578125" style="78"/>
    <col min="9467" max="9467" width="7.7109375" style="78" customWidth="1"/>
    <col min="9468" max="9468" width="44.28515625" style="78" customWidth="1"/>
    <col min="9469" max="9469" width="18.42578125" style="78" bestFit="1" customWidth="1"/>
    <col min="9470" max="9470" width="18.28515625" style="78" customWidth="1"/>
    <col min="9471" max="9471" width="15.7109375" style="78" customWidth="1"/>
    <col min="9472" max="9472" width="19.5703125" style="78" bestFit="1" customWidth="1"/>
    <col min="9473" max="9473" width="15.7109375" style="78" bestFit="1" customWidth="1"/>
    <col min="9474" max="9474" width="23" style="78" customWidth="1"/>
    <col min="9475" max="9475" width="19" style="78" customWidth="1"/>
    <col min="9476" max="9476" width="18.42578125" style="78" bestFit="1" customWidth="1"/>
    <col min="9477" max="9477" width="13.7109375" style="78" customWidth="1"/>
    <col min="9478" max="9478" width="17.140625" style="78" bestFit="1" customWidth="1"/>
    <col min="9479" max="9479" width="22.5703125" style="78" customWidth="1"/>
    <col min="9480" max="9480" width="26.85546875" style="78" customWidth="1"/>
    <col min="9481" max="9486" width="18.140625" style="78" customWidth="1"/>
    <col min="9487" max="9487" width="35.5703125" style="78" customWidth="1"/>
    <col min="9488" max="9488" width="16.85546875" style="78" customWidth="1"/>
    <col min="9489" max="9489" width="16.140625" style="78" customWidth="1"/>
    <col min="9490" max="9492" width="16.85546875" style="78" customWidth="1"/>
    <col min="9493" max="9493" width="13.7109375" style="78" bestFit="1" customWidth="1"/>
    <col min="9494" max="9494" width="35.5703125" style="78" customWidth="1"/>
    <col min="9495" max="9499" width="16.5703125" style="78" customWidth="1"/>
    <col min="9500" max="9501" width="11.42578125" style="78" customWidth="1"/>
    <col min="9502" max="9502" width="36.140625" style="78" bestFit="1" customWidth="1"/>
    <col min="9503" max="9504" width="15.7109375" style="78" bestFit="1" customWidth="1"/>
    <col min="9505" max="9505" width="11.42578125" style="78" customWidth="1"/>
    <col min="9506" max="9506" width="36.140625" style="78" bestFit="1" customWidth="1"/>
    <col min="9507" max="9507" width="15.140625" style="78" customWidth="1"/>
    <col min="9508" max="9722" width="11.42578125" style="78"/>
    <col min="9723" max="9723" width="7.7109375" style="78" customWidth="1"/>
    <col min="9724" max="9724" width="44.28515625" style="78" customWidth="1"/>
    <col min="9725" max="9725" width="18.42578125" style="78" bestFit="1" customWidth="1"/>
    <col min="9726" max="9726" width="18.28515625" style="78" customWidth="1"/>
    <col min="9727" max="9727" width="15.7109375" style="78" customWidth="1"/>
    <col min="9728" max="9728" width="19.5703125" style="78" bestFit="1" customWidth="1"/>
    <col min="9729" max="9729" width="15.7109375" style="78" bestFit="1" customWidth="1"/>
    <col min="9730" max="9730" width="23" style="78" customWidth="1"/>
    <col min="9731" max="9731" width="19" style="78" customWidth="1"/>
    <col min="9732" max="9732" width="18.42578125" style="78" bestFit="1" customWidth="1"/>
    <col min="9733" max="9733" width="13.7109375" style="78" customWidth="1"/>
    <col min="9734" max="9734" width="17.140625" style="78" bestFit="1" customWidth="1"/>
    <col min="9735" max="9735" width="22.5703125" style="78" customWidth="1"/>
    <col min="9736" max="9736" width="26.85546875" style="78" customWidth="1"/>
    <col min="9737" max="9742" width="18.140625" style="78" customWidth="1"/>
    <col min="9743" max="9743" width="35.5703125" style="78" customWidth="1"/>
    <col min="9744" max="9744" width="16.85546875" style="78" customWidth="1"/>
    <col min="9745" max="9745" width="16.140625" style="78" customWidth="1"/>
    <col min="9746" max="9748" width="16.85546875" style="78" customWidth="1"/>
    <col min="9749" max="9749" width="13.7109375" style="78" bestFit="1" customWidth="1"/>
    <col min="9750" max="9750" width="35.5703125" style="78" customWidth="1"/>
    <col min="9751" max="9755" width="16.5703125" style="78" customWidth="1"/>
    <col min="9756" max="9757" width="11.42578125" style="78" customWidth="1"/>
    <col min="9758" max="9758" width="36.140625" style="78" bestFit="1" customWidth="1"/>
    <col min="9759" max="9760" width="15.7109375" style="78" bestFit="1" customWidth="1"/>
    <col min="9761" max="9761" width="11.42578125" style="78" customWidth="1"/>
    <col min="9762" max="9762" width="36.140625" style="78" bestFit="1" customWidth="1"/>
    <col min="9763" max="9763" width="15.140625" style="78" customWidth="1"/>
    <col min="9764" max="9978" width="11.42578125" style="78"/>
    <col min="9979" max="9979" width="7.7109375" style="78" customWidth="1"/>
    <col min="9980" max="9980" width="44.28515625" style="78" customWidth="1"/>
    <col min="9981" max="9981" width="18.42578125" style="78" bestFit="1" customWidth="1"/>
    <col min="9982" max="9982" width="18.28515625" style="78" customWidth="1"/>
    <col min="9983" max="9983" width="15.7109375" style="78" customWidth="1"/>
    <col min="9984" max="9984" width="19.5703125" style="78" bestFit="1" customWidth="1"/>
    <col min="9985" max="9985" width="15.7109375" style="78" bestFit="1" customWidth="1"/>
    <col min="9986" max="9986" width="23" style="78" customWidth="1"/>
    <col min="9987" max="9987" width="19" style="78" customWidth="1"/>
    <col min="9988" max="9988" width="18.42578125" style="78" bestFit="1" customWidth="1"/>
    <col min="9989" max="9989" width="13.7109375" style="78" customWidth="1"/>
    <col min="9990" max="9990" width="17.140625" style="78" bestFit="1" customWidth="1"/>
    <col min="9991" max="9991" width="22.5703125" style="78" customWidth="1"/>
    <col min="9992" max="9992" width="26.85546875" style="78" customWidth="1"/>
    <col min="9993" max="9998" width="18.140625" style="78" customWidth="1"/>
    <col min="9999" max="9999" width="35.5703125" style="78" customWidth="1"/>
    <col min="10000" max="10000" width="16.85546875" style="78" customWidth="1"/>
    <col min="10001" max="10001" width="16.140625" style="78" customWidth="1"/>
    <col min="10002" max="10004" width="16.85546875" style="78" customWidth="1"/>
    <col min="10005" max="10005" width="13.7109375" style="78" bestFit="1" customWidth="1"/>
    <col min="10006" max="10006" width="35.5703125" style="78" customWidth="1"/>
    <col min="10007" max="10011" width="16.5703125" style="78" customWidth="1"/>
    <col min="10012" max="10013" width="11.42578125" style="78" customWidth="1"/>
    <col min="10014" max="10014" width="36.140625" style="78" bestFit="1" customWidth="1"/>
    <col min="10015" max="10016" width="15.7109375" style="78" bestFit="1" customWidth="1"/>
    <col min="10017" max="10017" width="11.42578125" style="78" customWidth="1"/>
    <col min="10018" max="10018" width="36.140625" style="78" bestFit="1" customWidth="1"/>
    <col min="10019" max="10019" width="15.140625" style="78" customWidth="1"/>
    <col min="10020" max="10234" width="11.42578125" style="78"/>
    <col min="10235" max="10235" width="7.7109375" style="78" customWidth="1"/>
    <col min="10236" max="10236" width="44.28515625" style="78" customWidth="1"/>
    <col min="10237" max="10237" width="18.42578125" style="78" bestFit="1" customWidth="1"/>
    <col min="10238" max="10238" width="18.28515625" style="78" customWidth="1"/>
    <col min="10239" max="10239" width="15.7109375" style="78" customWidth="1"/>
    <col min="10240" max="10240" width="19.5703125" style="78" bestFit="1" customWidth="1"/>
    <col min="10241" max="10241" width="15.7109375" style="78" bestFit="1" customWidth="1"/>
    <col min="10242" max="10242" width="23" style="78" customWidth="1"/>
    <col min="10243" max="10243" width="19" style="78" customWidth="1"/>
    <col min="10244" max="10244" width="18.42578125" style="78" bestFit="1" customWidth="1"/>
    <col min="10245" max="10245" width="13.7109375" style="78" customWidth="1"/>
    <col min="10246" max="10246" width="17.140625" style="78" bestFit="1" customWidth="1"/>
    <col min="10247" max="10247" width="22.5703125" style="78" customWidth="1"/>
    <col min="10248" max="10248" width="26.85546875" style="78" customWidth="1"/>
    <col min="10249" max="10254" width="18.140625" style="78" customWidth="1"/>
    <col min="10255" max="10255" width="35.5703125" style="78" customWidth="1"/>
    <col min="10256" max="10256" width="16.85546875" style="78" customWidth="1"/>
    <col min="10257" max="10257" width="16.140625" style="78" customWidth="1"/>
    <col min="10258" max="10260" width="16.85546875" style="78" customWidth="1"/>
    <col min="10261" max="10261" width="13.7109375" style="78" bestFit="1" customWidth="1"/>
    <col min="10262" max="10262" width="35.5703125" style="78" customWidth="1"/>
    <col min="10263" max="10267" width="16.5703125" style="78" customWidth="1"/>
    <col min="10268" max="10269" width="11.42578125" style="78" customWidth="1"/>
    <col min="10270" max="10270" width="36.140625" style="78" bestFit="1" customWidth="1"/>
    <col min="10271" max="10272" width="15.7109375" style="78" bestFit="1" customWidth="1"/>
    <col min="10273" max="10273" width="11.42578125" style="78" customWidth="1"/>
    <col min="10274" max="10274" width="36.140625" style="78" bestFit="1" customWidth="1"/>
    <col min="10275" max="10275" width="15.140625" style="78" customWidth="1"/>
    <col min="10276" max="10490" width="11.42578125" style="78"/>
    <col min="10491" max="10491" width="7.7109375" style="78" customWidth="1"/>
    <col min="10492" max="10492" width="44.28515625" style="78" customWidth="1"/>
    <col min="10493" max="10493" width="18.42578125" style="78" bestFit="1" customWidth="1"/>
    <col min="10494" max="10494" width="18.28515625" style="78" customWidth="1"/>
    <col min="10495" max="10495" width="15.7109375" style="78" customWidth="1"/>
    <col min="10496" max="10496" width="19.5703125" style="78" bestFit="1" customWidth="1"/>
    <col min="10497" max="10497" width="15.7109375" style="78" bestFit="1" customWidth="1"/>
    <col min="10498" max="10498" width="23" style="78" customWidth="1"/>
    <col min="10499" max="10499" width="19" style="78" customWidth="1"/>
    <col min="10500" max="10500" width="18.42578125" style="78" bestFit="1" customWidth="1"/>
    <col min="10501" max="10501" width="13.7109375" style="78" customWidth="1"/>
    <col min="10502" max="10502" width="17.140625" style="78" bestFit="1" customWidth="1"/>
    <col min="10503" max="10503" width="22.5703125" style="78" customWidth="1"/>
    <col min="10504" max="10504" width="26.85546875" style="78" customWidth="1"/>
    <col min="10505" max="10510" width="18.140625" style="78" customWidth="1"/>
    <col min="10511" max="10511" width="35.5703125" style="78" customWidth="1"/>
    <col min="10512" max="10512" width="16.85546875" style="78" customWidth="1"/>
    <col min="10513" max="10513" width="16.140625" style="78" customWidth="1"/>
    <col min="10514" max="10516" width="16.85546875" style="78" customWidth="1"/>
    <col min="10517" max="10517" width="13.7109375" style="78" bestFit="1" customWidth="1"/>
    <col min="10518" max="10518" width="35.5703125" style="78" customWidth="1"/>
    <col min="10519" max="10523" width="16.5703125" style="78" customWidth="1"/>
    <col min="10524" max="10525" width="11.42578125" style="78" customWidth="1"/>
    <col min="10526" max="10526" width="36.140625" style="78" bestFit="1" customWidth="1"/>
    <col min="10527" max="10528" width="15.7109375" style="78" bestFit="1" customWidth="1"/>
    <col min="10529" max="10529" width="11.42578125" style="78" customWidth="1"/>
    <col min="10530" max="10530" width="36.140625" style="78" bestFit="1" customWidth="1"/>
    <col min="10531" max="10531" width="15.140625" style="78" customWidth="1"/>
    <col min="10532" max="10746" width="11.42578125" style="78"/>
    <col min="10747" max="10747" width="7.7109375" style="78" customWidth="1"/>
    <col min="10748" max="10748" width="44.28515625" style="78" customWidth="1"/>
    <col min="10749" max="10749" width="18.42578125" style="78" bestFit="1" customWidth="1"/>
    <col min="10750" max="10750" width="18.28515625" style="78" customWidth="1"/>
    <col min="10751" max="10751" width="15.7109375" style="78" customWidth="1"/>
    <col min="10752" max="10752" width="19.5703125" style="78" bestFit="1" customWidth="1"/>
    <col min="10753" max="10753" width="15.7109375" style="78" bestFit="1" customWidth="1"/>
    <col min="10754" max="10754" width="23" style="78" customWidth="1"/>
    <col min="10755" max="10755" width="19" style="78" customWidth="1"/>
    <col min="10756" max="10756" width="18.42578125" style="78" bestFit="1" customWidth="1"/>
    <col min="10757" max="10757" width="13.7109375" style="78" customWidth="1"/>
    <col min="10758" max="10758" width="17.140625" style="78" bestFit="1" customWidth="1"/>
    <col min="10759" max="10759" width="22.5703125" style="78" customWidth="1"/>
    <col min="10760" max="10760" width="26.85546875" style="78" customWidth="1"/>
    <col min="10761" max="10766" width="18.140625" style="78" customWidth="1"/>
    <col min="10767" max="10767" width="35.5703125" style="78" customWidth="1"/>
    <col min="10768" max="10768" width="16.85546875" style="78" customWidth="1"/>
    <col min="10769" max="10769" width="16.140625" style="78" customWidth="1"/>
    <col min="10770" max="10772" width="16.85546875" style="78" customWidth="1"/>
    <col min="10773" max="10773" width="13.7109375" style="78" bestFit="1" customWidth="1"/>
    <col min="10774" max="10774" width="35.5703125" style="78" customWidth="1"/>
    <col min="10775" max="10779" width="16.5703125" style="78" customWidth="1"/>
    <col min="10780" max="10781" width="11.42578125" style="78" customWidth="1"/>
    <col min="10782" max="10782" width="36.140625" style="78" bestFit="1" customWidth="1"/>
    <col min="10783" max="10784" width="15.7109375" style="78" bestFit="1" customWidth="1"/>
    <col min="10785" max="10785" width="11.42578125" style="78" customWidth="1"/>
    <col min="10786" max="10786" width="36.140625" style="78" bestFit="1" customWidth="1"/>
    <col min="10787" max="10787" width="15.140625" style="78" customWidth="1"/>
    <col min="10788" max="11002" width="11.42578125" style="78"/>
    <col min="11003" max="11003" width="7.7109375" style="78" customWidth="1"/>
    <col min="11004" max="11004" width="44.28515625" style="78" customWidth="1"/>
    <col min="11005" max="11005" width="18.42578125" style="78" bestFit="1" customWidth="1"/>
    <col min="11006" max="11006" width="18.28515625" style="78" customWidth="1"/>
    <col min="11007" max="11007" width="15.7109375" style="78" customWidth="1"/>
    <col min="11008" max="11008" width="19.5703125" style="78" bestFit="1" customWidth="1"/>
    <col min="11009" max="11009" width="15.7109375" style="78" bestFit="1" customWidth="1"/>
    <col min="11010" max="11010" width="23" style="78" customWidth="1"/>
    <col min="11011" max="11011" width="19" style="78" customWidth="1"/>
    <col min="11012" max="11012" width="18.42578125" style="78" bestFit="1" customWidth="1"/>
    <col min="11013" max="11013" width="13.7109375" style="78" customWidth="1"/>
    <col min="11014" max="11014" width="17.140625" style="78" bestFit="1" customWidth="1"/>
    <col min="11015" max="11015" width="22.5703125" style="78" customWidth="1"/>
    <col min="11016" max="11016" width="26.85546875" style="78" customWidth="1"/>
    <col min="11017" max="11022" width="18.140625" style="78" customWidth="1"/>
    <col min="11023" max="11023" width="35.5703125" style="78" customWidth="1"/>
    <col min="11024" max="11024" width="16.85546875" style="78" customWidth="1"/>
    <col min="11025" max="11025" width="16.140625" style="78" customWidth="1"/>
    <col min="11026" max="11028" width="16.85546875" style="78" customWidth="1"/>
    <col min="11029" max="11029" width="13.7109375" style="78" bestFit="1" customWidth="1"/>
    <col min="11030" max="11030" width="35.5703125" style="78" customWidth="1"/>
    <col min="11031" max="11035" width="16.5703125" style="78" customWidth="1"/>
    <col min="11036" max="11037" width="11.42578125" style="78" customWidth="1"/>
    <col min="11038" max="11038" width="36.140625" style="78" bestFit="1" customWidth="1"/>
    <col min="11039" max="11040" width="15.7109375" style="78" bestFit="1" customWidth="1"/>
    <col min="11041" max="11041" width="11.42578125" style="78" customWidth="1"/>
    <col min="11042" max="11042" width="36.140625" style="78" bestFit="1" customWidth="1"/>
    <col min="11043" max="11043" width="15.140625" style="78" customWidth="1"/>
    <col min="11044" max="11258" width="11.42578125" style="78"/>
    <col min="11259" max="11259" width="7.7109375" style="78" customWidth="1"/>
    <col min="11260" max="11260" width="44.28515625" style="78" customWidth="1"/>
    <col min="11261" max="11261" width="18.42578125" style="78" bestFit="1" customWidth="1"/>
    <col min="11262" max="11262" width="18.28515625" style="78" customWidth="1"/>
    <col min="11263" max="11263" width="15.7109375" style="78" customWidth="1"/>
    <col min="11264" max="11264" width="19.5703125" style="78" bestFit="1" customWidth="1"/>
    <col min="11265" max="11265" width="15.7109375" style="78" bestFit="1" customWidth="1"/>
    <col min="11266" max="11266" width="23" style="78" customWidth="1"/>
    <col min="11267" max="11267" width="19" style="78" customWidth="1"/>
    <col min="11268" max="11268" width="18.42578125" style="78" bestFit="1" customWidth="1"/>
    <col min="11269" max="11269" width="13.7109375" style="78" customWidth="1"/>
    <col min="11270" max="11270" width="17.140625" style="78" bestFit="1" customWidth="1"/>
    <col min="11271" max="11271" width="22.5703125" style="78" customWidth="1"/>
    <col min="11272" max="11272" width="26.85546875" style="78" customWidth="1"/>
    <col min="11273" max="11278" width="18.140625" style="78" customWidth="1"/>
    <col min="11279" max="11279" width="35.5703125" style="78" customWidth="1"/>
    <col min="11280" max="11280" width="16.85546875" style="78" customWidth="1"/>
    <col min="11281" max="11281" width="16.140625" style="78" customWidth="1"/>
    <col min="11282" max="11284" width="16.85546875" style="78" customWidth="1"/>
    <col min="11285" max="11285" width="13.7109375" style="78" bestFit="1" customWidth="1"/>
    <col min="11286" max="11286" width="35.5703125" style="78" customWidth="1"/>
    <col min="11287" max="11291" width="16.5703125" style="78" customWidth="1"/>
    <col min="11292" max="11293" width="11.42578125" style="78" customWidth="1"/>
    <col min="11294" max="11294" width="36.140625" style="78" bestFit="1" customWidth="1"/>
    <col min="11295" max="11296" width="15.7109375" style="78" bestFit="1" customWidth="1"/>
    <col min="11297" max="11297" width="11.42578125" style="78" customWidth="1"/>
    <col min="11298" max="11298" width="36.140625" style="78" bestFit="1" customWidth="1"/>
    <col min="11299" max="11299" width="15.140625" style="78" customWidth="1"/>
    <col min="11300" max="11514" width="11.42578125" style="78"/>
    <col min="11515" max="11515" width="7.7109375" style="78" customWidth="1"/>
    <col min="11516" max="11516" width="44.28515625" style="78" customWidth="1"/>
    <col min="11517" max="11517" width="18.42578125" style="78" bestFit="1" customWidth="1"/>
    <col min="11518" max="11518" width="18.28515625" style="78" customWidth="1"/>
    <col min="11519" max="11519" width="15.7109375" style="78" customWidth="1"/>
    <col min="11520" max="11520" width="19.5703125" style="78" bestFit="1" customWidth="1"/>
    <col min="11521" max="11521" width="15.7109375" style="78" bestFit="1" customWidth="1"/>
    <col min="11522" max="11522" width="23" style="78" customWidth="1"/>
    <col min="11523" max="11523" width="19" style="78" customWidth="1"/>
    <col min="11524" max="11524" width="18.42578125" style="78" bestFit="1" customWidth="1"/>
    <col min="11525" max="11525" width="13.7109375" style="78" customWidth="1"/>
    <col min="11526" max="11526" width="17.140625" style="78" bestFit="1" customWidth="1"/>
    <col min="11527" max="11527" width="22.5703125" style="78" customWidth="1"/>
    <col min="11528" max="11528" width="26.85546875" style="78" customWidth="1"/>
    <col min="11529" max="11534" width="18.140625" style="78" customWidth="1"/>
    <col min="11535" max="11535" width="35.5703125" style="78" customWidth="1"/>
    <col min="11536" max="11536" width="16.85546875" style="78" customWidth="1"/>
    <col min="11537" max="11537" width="16.140625" style="78" customWidth="1"/>
    <col min="11538" max="11540" width="16.85546875" style="78" customWidth="1"/>
    <col min="11541" max="11541" width="13.7109375" style="78" bestFit="1" customWidth="1"/>
    <col min="11542" max="11542" width="35.5703125" style="78" customWidth="1"/>
    <col min="11543" max="11547" width="16.5703125" style="78" customWidth="1"/>
    <col min="11548" max="11549" width="11.42578125" style="78" customWidth="1"/>
    <col min="11550" max="11550" width="36.140625" style="78" bestFit="1" customWidth="1"/>
    <col min="11551" max="11552" width="15.7109375" style="78" bestFit="1" customWidth="1"/>
    <col min="11553" max="11553" width="11.42578125" style="78" customWidth="1"/>
    <col min="11554" max="11554" width="36.140625" style="78" bestFit="1" customWidth="1"/>
    <col min="11555" max="11555" width="15.140625" style="78" customWidth="1"/>
    <col min="11556" max="11770" width="11.42578125" style="78"/>
    <col min="11771" max="11771" width="7.7109375" style="78" customWidth="1"/>
    <col min="11772" max="11772" width="44.28515625" style="78" customWidth="1"/>
    <col min="11773" max="11773" width="18.42578125" style="78" bestFit="1" customWidth="1"/>
    <col min="11774" max="11774" width="18.28515625" style="78" customWidth="1"/>
    <col min="11775" max="11775" width="15.7109375" style="78" customWidth="1"/>
    <col min="11776" max="11776" width="19.5703125" style="78" bestFit="1" customWidth="1"/>
    <col min="11777" max="11777" width="15.7109375" style="78" bestFit="1" customWidth="1"/>
    <col min="11778" max="11778" width="23" style="78" customWidth="1"/>
    <col min="11779" max="11779" width="19" style="78" customWidth="1"/>
    <col min="11780" max="11780" width="18.42578125" style="78" bestFit="1" customWidth="1"/>
    <col min="11781" max="11781" width="13.7109375" style="78" customWidth="1"/>
    <col min="11782" max="11782" width="17.140625" style="78" bestFit="1" customWidth="1"/>
    <col min="11783" max="11783" width="22.5703125" style="78" customWidth="1"/>
    <col min="11784" max="11784" width="26.85546875" style="78" customWidth="1"/>
    <col min="11785" max="11790" width="18.140625" style="78" customWidth="1"/>
    <col min="11791" max="11791" width="35.5703125" style="78" customWidth="1"/>
    <col min="11792" max="11792" width="16.85546875" style="78" customWidth="1"/>
    <col min="11793" max="11793" width="16.140625" style="78" customWidth="1"/>
    <col min="11794" max="11796" width="16.85546875" style="78" customWidth="1"/>
    <col min="11797" max="11797" width="13.7109375" style="78" bestFit="1" customWidth="1"/>
    <col min="11798" max="11798" width="35.5703125" style="78" customWidth="1"/>
    <col min="11799" max="11803" width="16.5703125" style="78" customWidth="1"/>
    <col min="11804" max="11805" width="11.42578125" style="78" customWidth="1"/>
    <col min="11806" max="11806" width="36.140625" style="78" bestFit="1" customWidth="1"/>
    <col min="11807" max="11808" width="15.7109375" style="78" bestFit="1" customWidth="1"/>
    <col min="11809" max="11809" width="11.42578125" style="78" customWidth="1"/>
    <col min="11810" max="11810" width="36.140625" style="78" bestFit="1" customWidth="1"/>
    <col min="11811" max="11811" width="15.140625" style="78" customWidth="1"/>
    <col min="11812" max="12026" width="11.42578125" style="78"/>
    <col min="12027" max="12027" width="7.7109375" style="78" customWidth="1"/>
    <col min="12028" max="12028" width="44.28515625" style="78" customWidth="1"/>
    <col min="12029" max="12029" width="18.42578125" style="78" bestFit="1" customWidth="1"/>
    <col min="12030" max="12030" width="18.28515625" style="78" customWidth="1"/>
    <col min="12031" max="12031" width="15.7109375" style="78" customWidth="1"/>
    <col min="12032" max="12032" width="19.5703125" style="78" bestFit="1" customWidth="1"/>
    <col min="12033" max="12033" width="15.7109375" style="78" bestFit="1" customWidth="1"/>
    <col min="12034" max="12034" width="23" style="78" customWidth="1"/>
    <col min="12035" max="12035" width="19" style="78" customWidth="1"/>
    <col min="12036" max="12036" width="18.42578125" style="78" bestFit="1" customWidth="1"/>
    <col min="12037" max="12037" width="13.7109375" style="78" customWidth="1"/>
    <col min="12038" max="12038" width="17.140625" style="78" bestFit="1" customWidth="1"/>
    <col min="12039" max="12039" width="22.5703125" style="78" customWidth="1"/>
    <col min="12040" max="12040" width="26.85546875" style="78" customWidth="1"/>
    <col min="12041" max="12046" width="18.140625" style="78" customWidth="1"/>
    <col min="12047" max="12047" width="35.5703125" style="78" customWidth="1"/>
    <col min="12048" max="12048" width="16.85546875" style="78" customWidth="1"/>
    <col min="12049" max="12049" width="16.140625" style="78" customWidth="1"/>
    <col min="12050" max="12052" width="16.85546875" style="78" customWidth="1"/>
    <col min="12053" max="12053" width="13.7109375" style="78" bestFit="1" customWidth="1"/>
    <col min="12054" max="12054" width="35.5703125" style="78" customWidth="1"/>
    <col min="12055" max="12059" width="16.5703125" style="78" customWidth="1"/>
    <col min="12060" max="12061" width="11.42578125" style="78" customWidth="1"/>
    <col min="12062" max="12062" width="36.140625" style="78" bestFit="1" customWidth="1"/>
    <col min="12063" max="12064" width="15.7109375" style="78" bestFit="1" customWidth="1"/>
    <col min="12065" max="12065" width="11.42578125" style="78" customWidth="1"/>
    <col min="12066" max="12066" width="36.140625" style="78" bestFit="1" customWidth="1"/>
    <col min="12067" max="12067" width="15.140625" style="78" customWidth="1"/>
    <col min="12068" max="12282" width="11.42578125" style="78"/>
    <col min="12283" max="12283" width="7.7109375" style="78" customWidth="1"/>
    <col min="12284" max="12284" width="44.28515625" style="78" customWidth="1"/>
    <col min="12285" max="12285" width="18.42578125" style="78" bestFit="1" customWidth="1"/>
    <col min="12286" max="12286" width="18.28515625" style="78" customWidth="1"/>
    <col min="12287" max="12287" width="15.7109375" style="78" customWidth="1"/>
    <col min="12288" max="12288" width="19.5703125" style="78" bestFit="1" customWidth="1"/>
    <col min="12289" max="12289" width="15.7109375" style="78" bestFit="1" customWidth="1"/>
    <col min="12290" max="12290" width="23" style="78" customWidth="1"/>
    <col min="12291" max="12291" width="19" style="78" customWidth="1"/>
    <col min="12292" max="12292" width="18.42578125" style="78" bestFit="1" customWidth="1"/>
    <col min="12293" max="12293" width="13.7109375" style="78" customWidth="1"/>
    <col min="12294" max="12294" width="17.140625" style="78" bestFit="1" customWidth="1"/>
    <col min="12295" max="12295" width="22.5703125" style="78" customWidth="1"/>
    <col min="12296" max="12296" width="26.85546875" style="78" customWidth="1"/>
    <col min="12297" max="12302" width="18.140625" style="78" customWidth="1"/>
    <col min="12303" max="12303" width="35.5703125" style="78" customWidth="1"/>
    <col min="12304" max="12304" width="16.85546875" style="78" customWidth="1"/>
    <col min="12305" max="12305" width="16.140625" style="78" customWidth="1"/>
    <col min="12306" max="12308" width="16.85546875" style="78" customWidth="1"/>
    <col min="12309" max="12309" width="13.7109375" style="78" bestFit="1" customWidth="1"/>
    <col min="12310" max="12310" width="35.5703125" style="78" customWidth="1"/>
    <col min="12311" max="12315" width="16.5703125" style="78" customWidth="1"/>
    <col min="12316" max="12317" width="11.42578125" style="78" customWidth="1"/>
    <col min="12318" max="12318" width="36.140625" style="78" bestFit="1" customWidth="1"/>
    <col min="12319" max="12320" width="15.7109375" style="78" bestFit="1" customWidth="1"/>
    <col min="12321" max="12321" width="11.42578125" style="78" customWidth="1"/>
    <col min="12322" max="12322" width="36.140625" style="78" bestFit="1" customWidth="1"/>
    <col min="12323" max="12323" width="15.140625" style="78" customWidth="1"/>
    <col min="12324" max="12538" width="11.42578125" style="78"/>
    <col min="12539" max="12539" width="7.7109375" style="78" customWidth="1"/>
    <col min="12540" max="12540" width="44.28515625" style="78" customWidth="1"/>
    <col min="12541" max="12541" width="18.42578125" style="78" bestFit="1" customWidth="1"/>
    <col min="12542" max="12542" width="18.28515625" style="78" customWidth="1"/>
    <col min="12543" max="12543" width="15.7109375" style="78" customWidth="1"/>
    <col min="12544" max="12544" width="19.5703125" style="78" bestFit="1" customWidth="1"/>
    <col min="12545" max="12545" width="15.7109375" style="78" bestFit="1" customWidth="1"/>
    <col min="12546" max="12546" width="23" style="78" customWidth="1"/>
    <col min="12547" max="12547" width="19" style="78" customWidth="1"/>
    <col min="12548" max="12548" width="18.42578125" style="78" bestFit="1" customWidth="1"/>
    <col min="12549" max="12549" width="13.7109375" style="78" customWidth="1"/>
    <col min="12550" max="12550" width="17.140625" style="78" bestFit="1" customWidth="1"/>
    <col min="12551" max="12551" width="22.5703125" style="78" customWidth="1"/>
    <col min="12552" max="12552" width="26.85546875" style="78" customWidth="1"/>
    <col min="12553" max="12558" width="18.140625" style="78" customWidth="1"/>
    <col min="12559" max="12559" width="35.5703125" style="78" customWidth="1"/>
    <col min="12560" max="12560" width="16.85546875" style="78" customWidth="1"/>
    <col min="12561" max="12561" width="16.140625" style="78" customWidth="1"/>
    <col min="12562" max="12564" width="16.85546875" style="78" customWidth="1"/>
    <col min="12565" max="12565" width="13.7109375" style="78" bestFit="1" customWidth="1"/>
    <col min="12566" max="12566" width="35.5703125" style="78" customWidth="1"/>
    <col min="12567" max="12571" width="16.5703125" style="78" customWidth="1"/>
    <col min="12572" max="12573" width="11.42578125" style="78" customWidth="1"/>
    <col min="12574" max="12574" width="36.140625" style="78" bestFit="1" customWidth="1"/>
    <col min="12575" max="12576" width="15.7109375" style="78" bestFit="1" customWidth="1"/>
    <col min="12577" max="12577" width="11.42578125" style="78" customWidth="1"/>
    <col min="12578" max="12578" width="36.140625" style="78" bestFit="1" customWidth="1"/>
    <col min="12579" max="12579" width="15.140625" style="78" customWidth="1"/>
    <col min="12580" max="12794" width="11.42578125" style="78"/>
    <col min="12795" max="12795" width="7.7109375" style="78" customWidth="1"/>
    <col min="12796" max="12796" width="44.28515625" style="78" customWidth="1"/>
    <col min="12797" max="12797" width="18.42578125" style="78" bestFit="1" customWidth="1"/>
    <col min="12798" max="12798" width="18.28515625" style="78" customWidth="1"/>
    <col min="12799" max="12799" width="15.7109375" style="78" customWidth="1"/>
    <col min="12800" max="12800" width="19.5703125" style="78" bestFit="1" customWidth="1"/>
    <col min="12801" max="12801" width="15.7109375" style="78" bestFit="1" customWidth="1"/>
    <col min="12802" max="12802" width="23" style="78" customWidth="1"/>
    <col min="12803" max="12803" width="19" style="78" customWidth="1"/>
    <col min="12804" max="12804" width="18.42578125" style="78" bestFit="1" customWidth="1"/>
    <col min="12805" max="12805" width="13.7109375" style="78" customWidth="1"/>
    <col min="12806" max="12806" width="17.140625" style="78" bestFit="1" customWidth="1"/>
    <col min="12807" max="12807" width="22.5703125" style="78" customWidth="1"/>
    <col min="12808" max="12808" width="26.85546875" style="78" customWidth="1"/>
    <col min="12809" max="12814" width="18.140625" style="78" customWidth="1"/>
    <col min="12815" max="12815" width="35.5703125" style="78" customWidth="1"/>
    <col min="12816" max="12816" width="16.85546875" style="78" customWidth="1"/>
    <col min="12817" max="12817" width="16.140625" style="78" customWidth="1"/>
    <col min="12818" max="12820" width="16.85546875" style="78" customWidth="1"/>
    <col min="12821" max="12821" width="13.7109375" style="78" bestFit="1" customWidth="1"/>
    <col min="12822" max="12822" width="35.5703125" style="78" customWidth="1"/>
    <col min="12823" max="12827" width="16.5703125" style="78" customWidth="1"/>
    <col min="12828" max="12829" width="11.42578125" style="78" customWidth="1"/>
    <col min="12830" max="12830" width="36.140625" style="78" bestFit="1" customWidth="1"/>
    <col min="12831" max="12832" width="15.7109375" style="78" bestFit="1" customWidth="1"/>
    <col min="12833" max="12833" width="11.42578125" style="78" customWidth="1"/>
    <col min="12834" max="12834" width="36.140625" style="78" bestFit="1" customWidth="1"/>
    <col min="12835" max="12835" width="15.140625" style="78" customWidth="1"/>
    <col min="12836" max="13050" width="11.42578125" style="78"/>
    <col min="13051" max="13051" width="7.7109375" style="78" customWidth="1"/>
    <col min="13052" max="13052" width="44.28515625" style="78" customWidth="1"/>
    <col min="13053" max="13053" width="18.42578125" style="78" bestFit="1" customWidth="1"/>
    <col min="13054" max="13054" width="18.28515625" style="78" customWidth="1"/>
    <col min="13055" max="13055" width="15.7109375" style="78" customWidth="1"/>
    <col min="13056" max="13056" width="19.5703125" style="78" bestFit="1" customWidth="1"/>
    <col min="13057" max="13057" width="15.7109375" style="78" bestFit="1" customWidth="1"/>
    <col min="13058" max="13058" width="23" style="78" customWidth="1"/>
    <col min="13059" max="13059" width="19" style="78" customWidth="1"/>
    <col min="13060" max="13060" width="18.42578125" style="78" bestFit="1" customWidth="1"/>
    <col min="13061" max="13061" width="13.7109375" style="78" customWidth="1"/>
    <col min="13062" max="13062" width="17.140625" style="78" bestFit="1" customWidth="1"/>
    <col min="13063" max="13063" width="22.5703125" style="78" customWidth="1"/>
    <col min="13064" max="13064" width="26.85546875" style="78" customWidth="1"/>
    <col min="13065" max="13070" width="18.140625" style="78" customWidth="1"/>
    <col min="13071" max="13071" width="35.5703125" style="78" customWidth="1"/>
    <col min="13072" max="13072" width="16.85546875" style="78" customWidth="1"/>
    <col min="13073" max="13073" width="16.140625" style="78" customWidth="1"/>
    <col min="13074" max="13076" width="16.85546875" style="78" customWidth="1"/>
    <col min="13077" max="13077" width="13.7109375" style="78" bestFit="1" customWidth="1"/>
    <col min="13078" max="13078" width="35.5703125" style="78" customWidth="1"/>
    <col min="13079" max="13083" width="16.5703125" style="78" customWidth="1"/>
    <col min="13084" max="13085" width="11.42578125" style="78" customWidth="1"/>
    <col min="13086" max="13086" width="36.140625" style="78" bestFit="1" customWidth="1"/>
    <col min="13087" max="13088" width="15.7109375" style="78" bestFit="1" customWidth="1"/>
    <col min="13089" max="13089" width="11.42578125" style="78" customWidth="1"/>
    <col min="13090" max="13090" width="36.140625" style="78" bestFit="1" customWidth="1"/>
    <col min="13091" max="13091" width="15.140625" style="78" customWidth="1"/>
    <col min="13092" max="13306" width="11.42578125" style="78"/>
    <col min="13307" max="13307" width="7.7109375" style="78" customWidth="1"/>
    <col min="13308" max="13308" width="44.28515625" style="78" customWidth="1"/>
    <col min="13309" max="13309" width="18.42578125" style="78" bestFit="1" customWidth="1"/>
    <col min="13310" max="13310" width="18.28515625" style="78" customWidth="1"/>
    <col min="13311" max="13311" width="15.7109375" style="78" customWidth="1"/>
    <col min="13312" max="13312" width="19.5703125" style="78" bestFit="1" customWidth="1"/>
    <col min="13313" max="13313" width="15.7109375" style="78" bestFit="1" customWidth="1"/>
    <col min="13314" max="13314" width="23" style="78" customWidth="1"/>
    <col min="13315" max="13315" width="19" style="78" customWidth="1"/>
    <col min="13316" max="13316" width="18.42578125" style="78" bestFit="1" customWidth="1"/>
    <col min="13317" max="13317" width="13.7109375" style="78" customWidth="1"/>
    <col min="13318" max="13318" width="17.140625" style="78" bestFit="1" customWidth="1"/>
    <col min="13319" max="13319" width="22.5703125" style="78" customWidth="1"/>
    <col min="13320" max="13320" width="26.85546875" style="78" customWidth="1"/>
    <col min="13321" max="13326" width="18.140625" style="78" customWidth="1"/>
    <col min="13327" max="13327" width="35.5703125" style="78" customWidth="1"/>
    <col min="13328" max="13328" width="16.85546875" style="78" customWidth="1"/>
    <col min="13329" max="13329" width="16.140625" style="78" customWidth="1"/>
    <col min="13330" max="13332" width="16.85546875" style="78" customWidth="1"/>
    <col min="13333" max="13333" width="13.7109375" style="78" bestFit="1" customWidth="1"/>
    <col min="13334" max="13334" width="35.5703125" style="78" customWidth="1"/>
    <col min="13335" max="13339" width="16.5703125" style="78" customWidth="1"/>
    <col min="13340" max="13341" width="11.42578125" style="78" customWidth="1"/>
    <col min="13342" max="13342" width="36.140625" style="78" bestFit="1" customWidth="1"/>
    <col min="13343" max="13344" width="15.7109375" style="78" bestFit="1" customWidth="1"/>
    <col min="13345" max="13345" width="11.42578125" style="78" customWidth="1"/>
    <col min="13346" max="13346" width="36.140625" style="78" bestFit="1" customWidth="1"/>
    <col min="13347" max="13347" width="15.140625" style="78" customWidth="1"/>
    <col min="13348" max="13562" width="11.42578125" style="78"/>
    <col min="13563" max="13563" width="7.7109375" style="78" customWidth="1"/>
    <col min="13564" max="13564" width="44.28515625" style="78" customWidth="1"/>
    <col min="13565" max="13565" width="18.42578125" style="78" bestFit="1" customWidth="1"/>
    <col min="13566" max="13566" width="18.28515625" style="78" customWidth="1"/>
    <col min="13567" max="13567" width="15.7109375" style="78" customWidth="1"/>
    <col min="13568" max="13568" width="19.5703125" style="78" bestFit="1" customWidth="1"/>
    <col min="13569" max="13569" width="15.7109375" style="78" bestFit="1" customWidth="1"/>
    <col min="13570" max="13570" width="23" style="78" customWidth="1"/>
    <col min="13571" max="13571" width="19" style="78" customWidth="1"/>
    <col min="13572" max="13572" width="18.42578125" style="78" bestFit="1" customWidth="1"/>
    <col min="13573" max="13573" width="13.7109375" style="78" customWidth="1"/>
    <col min="13574" max="13574" width="17.140625" style="78" bestFit="1" customWidth="1"/>
    <col min="13575" max="13575" width="22.5703125" style="78" customWidth="1"/>
    <col min="13576" max="13576" width="26.85546875" style="78" customWidth="1"/>
    <col min="13577" max="13582" width="18.140625" style="78" customWidth="1"/>
    <col min="13583" max="13583" width="35.5703125" style="78" customWidth="1"/>
    <col min="13584" max="13584" width="16.85546875" style="78" customWidth="1"/>
    <col min="13585" max="13585" width="16.140625" style="78" customWidth="1"/>
    <col min="13586" max="13588" width="16.85546875" style="78" customWidth="1"/>
    <col min="13589" max="13589" width="13.7109375" style="78" bestFit="1" customWidth="1"/>
    <col min="13590" max="13590" width="35.5703125" style="78" customWidth="1"/>
    <col min="13591" max="13595" width="16.5703125" style="78" customWidth="1"/>
    <col min="13596" max="13597" width="11.42578125" style="78" customWidth="1"/>
    <col min="13598" max="13598" width="36.140625" style="78" bestFit="1" customWidth="1"/>
    <col min="13599" max="13600" width="15.7109375" style="78" bestFit="1" customWidth="1"/>
    <col min="13601" max="13601" width="11.42578125" style="78" customWidth="1"/>
    <col min="13602" max="13602" width="36.140625" style="78" bestFit="1" customWidth="1"/>
    <col min="13603" max="13603" width="15.140625" style="78" customWidth="1"/>
    <col min="13604" max="13818" width="11.42578125" style="78"/>
    <col min="13819" max="13819" width="7.7109375" style="78" customWidth="1"/>
    <col min="13820" max="13820" width="44.28515625" style="78" customWidth="1"/>
    <col min="13821" max="13821" width="18.42578125" style="78" bestFit="1" customWidth="1"/>
    <col min="13822" max="13822" width="18.28515625" style="78" customWidth="1"/>
    <col min="13823" max="13823" width="15.7109375" style="78" customWidth="1"/>
    <col min="13824" max="13824" width="19.5703125" style="78" bestFit="1" customWidth="1"/>
    <col min="13825" max="13825" width="15.7109375" style="78" bestFit="1" customWidth="1"/>
    <col min="13826" max="13826" width="23" style="78" customWidth="1"/>
    <col min="13827" max="13827" width="19" style="78" customWidth="1"/>
    <col min="13828" max="13828" width="18.42578125" style="78" bestFit="1" customWidth="1"/>
    <col min="13829" max="13829" width="13.7109375" style="78" customWidth="1"/>
    <col min="13830" max="13830" width="17.140625" style="78" bestFit="1" customWidth="1"/>
    <col min="13831" max="13831" width="22.5703125" style="78" customWidth="1"/>
    <col min="13832" max="13832" width="26.85546875" style="78" customWidth="1"/>
    <col min="13833" max="13838" width="18.140625" style="78" customWidth="1"/>
    <col min="13839" max="13839" width="35.5703125" style="78" customWidth="1"/>
    <col min="13840" max="13840" width="16.85546875" style="78" customWidth="1"/>
    <col min="13841" max="13841" width="16.140625" style="78" customWidth="1"/>
    <col min="13842" max="13844" width="16.85546875" style="78" customWidth="1"/>
    <col min="13845" max="13845" width="13.7109375" style="78" bestFit="1" customWidth="1"/>
    <col min="13846" max="13846" width="35.5703125" style="78" customWidth="1"/>
    <col min="13847" max="13851" width="16.5703125" style="78" customWidth="1"/>
    <col min="13852" max="13853" width="11.42578125" style="78" customWidth="1"/>
    <col min="13854" max="13854" width="36.140625" style="78" bestFit="1" customWidth="1"/>
    <col min="13855" max="13856" width="15.7109375" style="78" bestFit="1" customWidth="1"/>
    <col min="13857" max="13857" width="11.42578125" style="78" customWidth="1"/>
    <col min="13858" max="13858" width="36.140625" style="78" bestFit="1" customWidth="1"/>
    <col min="13859" max="13859" width="15.140625" style="78" customWidth="1"/>
    <col min="13860" max="14074" width="11.42578125" style="78"/>
    <col min="14075" max="14075" width="7.7109375" style="78" customWidth="1"/>
    <col min="14076" max="14076" width="44.28515625" style="78" customWidth="1"/>
    <col min="14077" max="14077" width="18.42578125" style="78" bestFit="1" customWidth="1"/>
    <col min="14078" max="14078" width="18.28515625" style="78" customWidth="1"/>
    <col min="14079" max="14079" width="15.7109375" style="78" customWidth="1"/>
    <col min="14080" max="14080" width="19.5703125" style="78" bestFit="1" customWidth="1"/>
    <col min="14081" max="14081" width="15.7109375" style="78" bestFit="1" customWidth="1"/>
    <col min="14082" max="14082" width="23" style="78" customWidth="1"/>
    <col min="14083" max="14083" width="19" style="78" customWidth="1"/>
    <col min="14084" max="14084" width="18.42578125" style="78" bestFit="1" customWidth="1"/>
    <col min="14085" max="14085" width="13.7109375" style="78" customWidth="1"/>
    <col min="14086" max="14086" width="17.140625" style="78" bestFit="1" customWidth="1"/>
    <col min="14087" max="14087" width="22.5703125" style="78" customWidth="1"/>
    <col min="14088" max="14088" width="26.85546875" style="78" customWidth="1"/>
    <col min="14089" max="14094" width="18.140625" style="78" customWidth="1"/>
    <col min="14095" max="14095" width="35.5703125" style="78" customWidth="1"/>
    <col min="14096" max="14096" width="16.85546875" style="78" customWidth="1"/>
    <col min="14097" max="14097" width="16.140625" style="78" customWidth="1"/>
    <col min="14098" max="14100" width="16.85546875" style="78" customWidth="1"/>
    <col min="14101" max="14101" width="13.7109375" style="78" bestFit="1" customWidth="1"/>
    <col min="14102" max="14102" width="35.5703125" style="78" customWidth="1"/>
    <col min="14103" max="14107" width="16.5703125" style="78" customWidth="1"/>
    <col min="14108" max="14109" width="11.42578125" style="78" customWidth="1"/>
    <col min="14110" max="14110" width="36.140625" style="78" bestFit="1" customWidth="1"/>
    <col min="14111" max="14112" width="15.7109375" style="78" bestFit="1" customWidth="1"/>
    <col min="14113" max="14113" width="11.42578125" style="78" customWidth="1"/>
    <col min="14114" max="14114" width="36.140625" style="78" bestFit="1" customWidth="1"/>
    <col min="14115" max="14115" width="15.140625" style="78" customWidth="1"/>
    <col min="14116" max="14330" width="11.42578125" style="78"/>
    <col min="14331" max="14331" width="7.7109375" style="78" customWidth="1"/>
    <col min="14332" max="14332" width="44.28515625" style="78" customWidth="1"/>
    <col min="14333" max="14333" width="18.42578125" style="78" bestFit="1" customWidth="1"/>
    <col min="14334" max="14334" width="18.28515625" style="78" customWidth="1"/>
    <col min="14335" max="14335" width="15.7109375" style="78" customWidth="1"/>
    <col min="14336" max="14336" width="19.5703125" style="78" bestFit="1" customWidth="1"/>
    <col min="14337" max="14337" width="15.7109375" style="78" bestFit="1" customWidth="1"/>
    <col min="14338" max="14338" width="23" style="78" customWidth="1"/>
    <col min="14339" max="14339" width="19" style="78" customWidth="1"/>
    <col min="14340" max="14340" width="18.42578125" style="78" bestFit="1" customWidth="1"/>
    <col min="14341" max="14341" width="13.7109375" style="78" customWidth="1"/>
    <col min="14342" max="14342" width="17.140625" style="78" bestFit="1" customWidth="1"/>
    <col min="14343" max="14343" width="22.5703125" style="78" customWidth="1"/>
    <col min="14344" max="14344" width="26.85546875" style="78" customWidth="1"/>
    <col min="14345" max="14350" width="18.140625" style="78" customWidth="1"/>
    <col min="14351" max="14351" width="35.5703125" style="78" customWidth="1"/>
    <col min="14352" max="14352" width="16.85546875" style="78" customWidth="1"/>
    <col min="14353" max="14353" width="16.140625" style="78" customWidth="1"/>
    <col min="14354" max="14356" width="16.85546875" style="78" customWidth="1"/>
    <col min="14357" max="14357" width="13.7109375" style="78" bestFit="1" customWidth="1"/>
    <col min="14358" max="14358" width="35.5703125" style="78" customWidth="1"/>
    <col min="14359" max="14363" width="16.5703125" style="78" customWidth="1"/>
    <col min="14364" max="14365" width="11.42578125" style="78" customWidth="1"/>
    <col min="14366" max="14366" width="36.140625" style="78" bestFit="1" customWidth="1"/>
    <col min="14367" max="14368" width="15.7109375" style="78" bestFit="1" customWidth="1"/>
    <col min="14369" max="14369" width="11.42578125" style="78" customWidth="1"/>
    <col min="14370" max="14370" width="36.140625" style="78" bestFit="1" customWidth="1"/>
    <col min="14371" max="14371" width="15.140625" style="78" customWidth="1"/>
    <col min="14372" max="14586" width="11.42578125" style="78"/>
    <col min="14587" max="14587" width="7.7109375" style="78" customWidth="1"/>
    <col min="14588" max="14588" width="44.28515625" style="78" customWidth="1"/>
    <col min="14589" max="14589" width="18.42578125" style="78" bestFit="1" customWidth="1"/>
    <col min="14590" max="14590" width="18.28515625" style="78" customWidth="1"/>
    <col min="14591" max="14591" width="15.7109375" style="78" customWidth="1"/>
    <col min="14592" max="14592" width="19.5703125" style="78" bestFit="1" customWidth="1"/>
    <col min="14593" max="14593" width="15.7109375" style="78" bestFit="1" customWidth="1"/>
    <col min="14594" max="14594" width="23" style="78" customWidth="1"/>
    <col min="14595" max="14595" width="19" style="78" customWidth="1"/>
    <col min="14596" max="14596" width="18.42578125" style="78" bestFit="1" customWidth="1"/>
    <col min="14597" max="14597" width="13.7109375" style="78" customWidth="1"/>
    <col min="14598" max="14598" width="17.140625" style="78" bestFit="1" customWidth="1"/>
    <col min="14599" max="14599" width="22.5703125" style="78" customWidth="1"/>
    <col min="14600" max="14600" width="26.85546875" style="78" customWidth="1"/>
    <col min="14601" max="14606" width="18.140625" style="78" customWidth="1"/>
    <col min="14607" max="14607" width="35.5703125" style="78" customWidth="1"/>
    <col min="14608" max="14608" width="16.85546875" style="78" customWidth="1"/>
    <col min="14609" max="14609" width="16.140625" style="78" customWidth="1"/>
    <col min="14610" max="14612" width="16.85546875" style="78" customWidth="1"/>
    <col min="14613" max="14613" width="13.7109375" style="78" bestFit="1" customWidth="1"/>
    <col min="14614" max="14614" width="35.5703125" style="78" customWidth="1"/>
    <col min="14615" max="14619" width="16.5703125" style="78" customWidth="1"/>
    <col min="14620" max="14621" width="11.42578125" style="78" customWidth="1"/>
    <col min="14622" max="14622" width="36.140625" style="78" bestFit="1" customWidth="1"/>
    <col min="14623" max="14624" width="15.7109375" style="78" bestFit="1" customWidth="1"/>
    <col min="14625" max="14625" width="11.42578125" style="78" customWidth="1"/>
    <col min="14626" max="14626" width="36.140625" style="78" bestFit="1" customWidth="1"/>
    <col min="14627" max="14627" width="15.140625" style="78" customWidth="1"/>
    <col min="14628" max="14842" width="11.42578125" style="78"/>
    <col min="14843" max="14843" width="7.7109375" style="78" customWidth="1"/>
    <col min="14844" max="14844" width="44.28515625" style="78" customWidth="1"/>
    <col min="14845" max="14845" width="18.42578125" style="78" bestFit="1" customWidth="1"/>
    <col min="14846" max="14846" width="18.28515625" style="78" customWidth="1"/>
    <col min="14847" max="14847" width="15.7109375" style="78" customWidth="1"/>
    <col min="14848" max="14848" width="19.5703125" style="78" bestFit="1" customWidth="1"/>
    <col min="14849" max="14849" width="15.7109375" style="78" bestFit="1" customWidth="1"/>
    <col min="14850" max="14850" width="23" style="78" customWidth="1"/>
    <col min="14851" max="14851" width="19" style="78" customWidth="1"/>
    <col min="14852" max="14852" width="18.42578125" style="78" bestFit="1" customWidth="1"/>
    <col min="14853" max="14853" width="13.7109375" style="78" customWidth="1"/>
    <col min="14854" max="14854" width="17.140625" style="78" bestFit="1" customWidth="1"/>
    <col min="14855" max="14855" width="22.5703125" style="78" customWidth="1"/>
    <col min="14856" max="14856" width="26.85546875" style="78" customWidth="1"/>
    <col min="14857" max="14862" width="18.140625" style="78" customWidth="1"/>
    <col min="14863" max="14863" width="35.5703125" style="78" customWidth="1"/>
    <col min="14864" max="14864" width="16.85546875" style="78" customWidth="1"/>
    <col min="14865" max="14865" width="16.140625" style="78" customWidth="1"/>
    <col min="14866" max="14868" width="16.85546875" style="78" customWidth="1"/>
    <col min="14869" max="14869" width="13.7109375" style="78" bestFit="1" customWidth="1"/>
    <col min="14870" max="14870" width="35.5703125" style="78" customWidth="1"/>
    <col min="14871" max="14875" width="16.5703125" style="78" customWidth="1"/>
    <col min="14876" max="14877" width="11.42578125" style="78" customWidth="1"/>
    <col min="14878" max="14878" width="36.140625" style="78" bestFit="1" customWidth="1"/>
    <col min="14879" max="14880" width="15.7109375" style="78" bestFit="1" customWidth="1"/>
    <col min="14881" max="14881" width="11.42578125" style="78" customWidth="1"/>
    <col min="14882" max="14882" width="36.140625" style="78" bestFit="1" customWidth="1"/>
    <col min="14883" max="14883" width="15.140625" style="78" customWidth="1"/>
    <col min="14884" max="15098" width="11.42578125" style="78"/>
    <col min="15099" max="15099" width="7.7109375" style="78" customWidth="1"/>
    <col min="15100" max="15100" width="44.28515625" style="78" customWidth="1"/>
    <col min="15101" max="15101" width="18.42578125" style="78" bestFit="1" customWidth="1"/>
    <col min="15102" max="15102" width="18.28515625" style="78" customWidth="1"/>
    <col min="15103" max="15103" width="15.7109375" style="78" customWidth="1"/>
    <col min="15104" max="15104" width="19.5703125" style="78" bestFit="1" customWidth="1"/>
    <col min="15105" max="15105" width="15.7109375" style="78" bestFit="1" customWidth="1"/>
    <col min="15106" max="15106" width="23" style="78" customWidth="1"/>
    <col min="15107" max="15107" width="19" style="78" customWidth="1"/>
    <col min="15108" max="15108" width="18.42578125" style="78" bestFit="1" customWidth="1"/>
    <col min="15109" max="15109" width="13.7109375" style="78" customWidth="1"/>
    <col min="15110" max="15110" width="17.140625" style="78" bestFit="1" customWidth="1"/>
    <col min="15111" max="15111" width="22.5703125" style="78" customWidth="1"/>
    <col min="15112" max="15112" width="26.85546875" style="78" customWidth="1"/>
    <col min="15113" max="15118" width="18.140625" style="78" customWidth="1"/>
    <col min="15119" max="15119" width="35.5703125" style="78" customWidth="1"/>
    <col min="15120" max="15120" width="16.85546875" style="78" customWidth="1"/>
    <col min="15121" max="15121" width="16.140625" style="78" customWidth="1"/>
    <col min="15122" max="15124" width="16.85546875" style="78" customWidth="1"/>
    <col min="15125" max="15125" width="13.7109375" style="78" bestFit="1" customWidth="1"/>
    <col min="15126" max="15126" width="35.5703125" style="78" customWidth="1"/>
    <col min="15127" max="15131" width="16.5703125" style="78" customWidth="1"/>
    <col min="15132" max="15133" width="11.42578125" style="78" customWidth="1"/>
    <col min="15134" max="15134" width="36.140625" style="78" bestFit="1" customWidth="1"/>
    <col min="15135" max="15136" width="15.7109375" style="78" bestFit="1" customWidth="1"/>
    <col min="15137" max="15137" width="11.42578125" style="78" customWidth="1"/>
    <col min="15138" max="15138" width="36.140625" style="78" bestFit="1" customWidth="1"/>
    <col min="15139" max="15139" width="15.140625" style="78" customWidth="1"/>
    <col min="15140" max="15354" width="11.42578125" style="78"/>
    <col min="15355" max="15355" width="7.7109375" style="78" customWidth="1"/>
    <col min="15356" max="15356" width="44.28515625" style="78" customWidth="1"/>
    <col min="15357" max="15357" width="18.42578125" style="78" bestFit="1" customWidth="1"/>
    <col min="15358" max="15358" width="18.28515625" style="78" customWidth="1"/>
    <col min="15359" max="15359" width="15.7109375" style="78" customWidth="1"/>
    <col min="15360" max="15360" width="19.5703125" style="78" bestFit="1" customWidth="1"/>
    <col min="15361" max="15361" width="15.7109375" style="78" bestFit="1" customWidth="1"/>
    <col min="15362" max="15362" width="23" style="78" customWidth="1"/>
    <col min="15363" max="15363" width="19" style="78" customWidth="1"/>
    <col min="15364" max="15364" width="18.42578125" style="78" bestFit="1" customWidth="1"/>
    <col min="15365" max="15365" width="13.7109375" style="78" customWidth="1"/>
    <col min="15366" max="15366" width="17.140625" style="78" bestFit="1" customWidth="1"/>
    <col min="15367" max="15367" width="22.5703125" style="78" customWidth="1"/>
    <col min="15368" max="15368" width="26.85546875" style="78" customWidth="1"/>
    <col min="15369" max="15374" width="18.140625" style="78" customWidth="1"/>
    <col min="15375" max="15375" width="35.5703125" style="78" customWidth="1"/>
    <col min="15376" max="15376" width="16.85546875" style="78" customWidth="1"/>
    <col min="15377" max="15377" width="16.140625" style="78" customWidth="1"/>
    <col min="15378" max="15380" width="16.85546875" style="78" customWidth="1"/>
    <col min="15381" max="15381" width="13.7109375" style="78" bestFit="1" customWidth="1"/>
    <col min="15382" max="15382" width="35.5703125" style="78" customWidth="1"/>
    <col min="15383" max="15387" width="16.5703125" style="78" customWidth="1"/>
    <col min="15388" max="15389" width="11.42578125" style="78" customWidth="1"/>
    <col min="15390" max="15390" width="36.140625" style="78" bestFit="1" customWidth="1"/>
    <col min="15391" max="15392" width="15.7109375" style="78" bestFit="1" customWidth="1"/>
    <col min="15393" max="15393" width="11.42578125" style="78" customWidth="1"/>
    <col min="15394" max="15394" width="36.140625" style="78" bestFit="1" customWidth="1"/>
    <col min="15395" max="15395" width="15.140625" style="78" customWidth="1"/>
    <col min="15396" max="15610" width="11.42578125" style="78"/>
    <col min="15611" max="15611" width="7.7109375" style="78" customWidth="1"/>
    <col min="15612" max="15612" width="44.28515625" style="78" customWidth="1"/>
    <col min="15613" max="15613" width="18.42578125" style="78" bestFit="1" customWidth="1"/>
    <col min="15614" max="15614" width="18.28515625" style="78" customWidth="1"/>
    <col min="15615" max="15615" width="15.7109375" style="78" customWidth="1"/>
    <col min="15616" max="15616" width="19.5703125" style="78" bestFit="1" customWidth="1"/>
    <col min="15617" max="15617" width="15.7109375" style="78" bestFit="1" customWidth="1"/>
    <col min="15618" max="15618" width="23" style="78" customWidth="1"/>
    <col min="15619" max="15619" width="19" style="78" customWidth="1"/>
    <col min="15620" max="15620" width="18.42578125" style="78" bestFit="1" customWidth="1"/>
    <col min="15621" max="15621" width="13.7109375" style="78" customWidth="1"/>
    <col min="15622" max="15622" width="17.140625" style="78" bestFit="1" customWidth="1"/>
    <col min="15623" max="15623" width="22.5703125" style="78" customWidth="1"/>
    <col min="15624" max="15624" width="26.85546875" style="78" customWidth="1"/>
    <col min="15625" max="15630" width="18.140625" style="78" customWidth="1"/>
    <col min="15631" max="15631" width="35.5703125" style="78" customWidth="1"/>
    <col min="15632" max="15632" width="16.85546875" style="78" customWidth="1"/>
    <col min="15633" max="15633" width="16.140625" style="78" customWidth="1"/>
    <col min="15634" max="15636" width="16.85546875" style="78" customWidth="1"/>
    <col min="15637" max="15637" width="13.7109375" style="78" bestFit="1" customWidth="1"/>
    <col min="15638" max="15638" width="35.5703125" style="78" customWidth="1"/>
    <col min="15639" max="15643" width="16.5703125" style="78" customWidth="1"/>
    <col min="15644" max="15645" width="11.42578125" style="78" customWidth="1"/>
    <col min="15646" max="15646" width="36.140625" style="78" bestFit="1" customWidth="1"/>
    <col min="15647" max="15648" width="15.7109375" style="78" bestFit="1" customWidth="1"/>
    <col min="15649" max="15649" width="11.42578125" style="78" customWidth="1"/>
    <col min="15650" max="15650" width="36.140625" style="78" bestFit="1" customWidth="1"/>
    <col min="15651" max="15651" width="15.140625" style="78" customWidth="1"/>
    <col min="15652" max="15866" width="11.42578125" style="78"/>
    <col min="15867" max="15867" width="7.7109375" style="78" customWidth="1"/>
    <col min="15868" max="15868" width="44.28515625" style="78" customWidth="1"/>
    <col min="15869" max="15869" width="18.42578125" style="78" bestFit="1" customWidth="1"/>
    <col min="15870" max="15870" width="18.28515625" style="78" customWidth="1"/>
    <col min="15871" max="15871" width="15.7109375" style="78" customWidth="1"/>
    <col min="15872" max="15872" width="19.5703125" style="78" bestFit="1" customWidth="1"/>
    <col min="15873" max="15873" width="15.7109375" style="78" bestFit="1" customWidth="1"/>
    <col min="15874" max="15874" width="23" style="78" customWidth="1"/>
    <col min="15875" max="15875" width="19" style="78" customWidth="1"/>
    <col min="15876" max="15876" width="18.42578125" style="78" bestFit="1" customWidth="1"/>
    <col min="15877" max="15877" width="13.7109375" style="78" customWidth="1"/>
    <col min="15878" max="15878" width="17.140625" style="78" bestFit="1" customWidth="1"/>
    <col min="15879" max="15879" width="22.5703125" style="78" customWidth="1"/>
    <col min="15880" max="15880" width="26.85546875" style="78" customWidth="1"/>
    <col min="15881" max="15886" width="18.140625" style="78" customWidth="1"/>
    <col min="15887" max="15887" width="35.5703125" style="78" customWidth="1"/>
    <col min="15888" max="15888" width="16.85546875" style="78" customWidth="1"/>
    <col min="15889" max="15889" width="16.140625" style="78" customWidth="1"/>
    <col min="15890" max="15892" width="16.85546875" style="78" customWidth="1"/>
    <col min="15893" max="15893" width="13.7109375" style="78" bestFit="1" customWidth="1"/>
    <col min="15894" max="15894" width="35.5703125" style="78" customWidth="1"/>
    <col min="15895" max="15899" width="16.5703125" style="78" customWidth="1"/>
    <col min="15900" max="15901" width="11.42578125" style="78" customWidth="1"/>
    <col min="15902" max="15902" width="36.140625" style="78" bestFit="1" customWidth="1"/>
    <col min="15903" max="15904" width="15.7109375" style="78" bestFit="1" customWidth="1"/>
    <col min="15905" max="15905" width="11.42578125" style="78" customWidth="1"/>
    <col min="15906" max="15906" width="36.140625" style="78" bestFit="1" customWidth="1"/>
    <col min="15907" max="15907" width="15.140625" style="78" customWidth="1"/>
    <col min="15908" max="16122" width="11.42578125" style="78"/>
    <col min="16123" max="16123" width="7.7109375" style="78" customWidth="1"/>
    <col min="16124" max="16124" width="44.28515625" style="78" customWidth="1"/>
    <col min="16125" max="16125" width="18.42578125" style="78" bestFit="1" customWidth="1"/>
    <col min="16126" max="16126" width="18.28515625" style="78" customWidth="1"/>
    <col min="16127" max="16127" width="15.7109375" style="78" customWidth="1"/>
    <col min="16128" max="16128" width="19.5703125" style="78" bestFit="1" customWidth="1"/>
    <col min="16129" max="16129" width="15.7109375" style="78" bestFit="1" customWidth="1"/>
    <col min="16130" max="16130" width="23" style="78" customWidth="1"/>
    <col min="16131" max="16131" width="19" style="78" customWidth="1"/>
    <col min="16132" max="16132" width="18.42578125" style="78" bestFit="1" customWidth="1"/>
    <col min="16133" max="16133" width="13.7109375" style="78" customWidth="1"/>
    <col min="16134" max="16134" width="17.140625" style="78" bestFit="1" customWidth="1"/>
    <col min="16135" max="16135" width="22.5703125" style="78" customWidth="1"/>
    <col min="16136" max="16136" width="26.85546875" style="78" customWidth="1"/>
    <col min="16137" max="16142" width="18.140625" style="78" customWidth="1"/>
    <col min="16143" max="16143" width="35.5703125" style="78" customWidth="1"/>
    <col min="16144" max="16144" width="16.85546875" style="78" customWidth="1"/>
    <col min="16145" max="16145" width="16.140625" style="78" customWidth="1"/>
    <col min="16146" max="16148" width="16.85546875" style="78" customWidth="1"/>
    <col min="16149" max="16149" width="13.7109375" style="78" bestFit="1" customWidth="1"/>
    <col min="16150" max="16150" width="35.5703125" style="78" customWidth="1"/>
    <col min="16151" max="16155" width="16.5703125" style="78" customWidth="1"/>
    <col min="16156" max="16157" width="11.42578125" style="78" customWidth="1"/>
    <col min="16158" max="16158" width="36.140625" style="78" bestFit="1" customWidth="1"/>
    <col min="16159" max="16160" width="15.7109375" style="78" bestFit="1" customWidth="1"/>
    <col min="16161" max="16161" width="11.42578125" style="78" customWidth="1"/>
    <col min="16162" max="16162" width="36.140625" style="78" bestFit="1" customWidth="1"/>
    <col min="16163" max="16163" width="15.140625" style="78" customWidth="1"/>
    <col min="16164" max="16384" width="11.42578125" style="78"/>
  </cols>
  <sheetData>
    <row r="1" spans="1:11">
      <c r="A1" s="216"/>
    </row>
    <row r="2" spans="1:11" ht="15">
      <c r="C2" s="444" t="s">
        <v>555</v>
      </c>
      <c r="D2" s="444"/>
      <c r="E2" s="444"/>
      <c r="F2" s="444"/>
    </row>
    <row r="3" spans="1:11">
      <c r="B3" s="79"/>
      <c r="C3" s="80"/>
      <c r="D3" s="80"/>
      <c r="E3" s="81"/>
      <c r="F3" s="81"/>
      <c r="G3" s="81"/>
      <c r="H3" s="81"/>
      <c r="I3" s="81"/>
      <c r="J3" s="81"/>
      <c r="K3" s="81"/>
    </row>
    <row r="4" spans="1:11" ht="9" customHeight="1">
      <c r="B4" s="82" t="s">
        <v>152</v>
      </c>
      <c r="C4" s="83"/>
      <c r="D4" s="83"/>
      <c r="E4" s="83"/>
      <c r="F4" s="83"/>
      <c r="G4" s="84"/>
      <c r="H4" s="84"/>
      <c r="I4" s="84"/>
      <c r="J4" s="84"/>
    </row>
    <row r="5" spans="1:11" ht="9.75" thickBot="1">
      <c r="B5" s="42"/>
      <c r="C5" s="42" t="s">
        <v>158</v>
      </c>
      <c r="D5" s="42" t="s">
        <v>159</v>
      </c>
      <c r="E5" s="42" t="s">
        <v>160</v>
      </c>
      <c r="F5" s="42" t="s">
        <v>161</v>
      </c>
      <c r="G5" s="42" t="s">
        <v>155</v>
      </c>
    </row>
    <row r="6" spans="1:11" ht="9.75" thickTop="1">
      <c r="B6" s="208" t="s">
        <v>13</v>
      </c>
      <c r="C6" s="211">
        <v>201476173</v>
      </c>
      <c r="D6" s="211">
        <v>4121270</v>
      </c>
      <c r="E6" s="211">
        <v>-48882330</v>
      </c>
      <c r="F6" s="211">
        <v>-8878868</v>
      </c>
      <c r="G6" s="211">
        <f t="shared" ref="G6:G13" si="0">+C6+D6+E6+F6</f>
        <v>147836245</v>
      </c>
      <c r="K6" s="85"/>
    </row>
    <row r="7" spans="1:11">
      <c r="B7" s="46" t="s">
        <v>163</v>
      </c>
      <c r="C7" s="64">
        <v>739992589</v>
      </c>
      <c r="D7" s="64">
        <v>4990631</v>
      </c>
      <c r="E7" s="64">
        <v>-267148431.99999997</v>
      </c>
      <c r="F7" s="64">
        <v>6404702</v>
      </c>
      <c r="G7" s="64">
        <f t="shared" si="0"/>
        <v>484239490</v>
      </c>
    </row>
    <row r="8" spans="1:11">
      <c r="B8" s="209" t="s">
        <v>164</v>
      </c>
      <c r="C8" s="63">
        <v>191249073</v>
      </c>
      <c r="D8" s="63">
        <v>9592812</v>
      </c>
      <c r="E8" s="63">
        <v>-13894011</v>
      </c>
      <c r="F8" s="63">
        <v>-9711476</v>
      </c>
      <c r="G8" s="63">
        <f t="shared" si="0"/>
        <v>177236398</v>
      </c>
    </row>
    <row r="9" spans="1:11">
      <c r="B9" s="210" t="s">
        <v>165</v>
      </c>
      <c r="C9" s="64">
        <v>3933042</v>
      </c>
      <c r="D9" s="64">
        <v>50476</v>
      </c>
      <c r="E9" s="64">
        <v>-1915994</v>
      </c>
      <c r="F9" s="64">
        <v>976910</v>
      </c>
      <c r="G9" s="64">
        <f t="shared" si="0"/>
        <v>3044434</v>
      </c>
    </row>
    <row r="10" spans="1:11">
      <c r="B10" s="209" t="s">
        <v>166</v>
      </c>
      <c r="C10" s="63">
        <v>16473999</v>
      </c>
      <c r="D10" s="63">
        <v>1078604</v>
      </c>
      <c r="E10" s="63">
        <v>-2166090</v>
      </c>
      <c r="F10" s="63">
        <v>-727792</v>
      </c>
      <c r="G10" s="63">
        <f t="shared" si="0"/>
        <v>14658721</v>
      </c>
    </row>
    <row r="11" spans="1:11">
      <c r="B11" s="210" t="s">
        <v>167</v>
      </c>
      <c r="C11" s="64">
        <v>25535432</v>
      </c>
      <c r="D11" s="64">
        <v>373491</v>
      </c>
      <c r="E11" s="64">
        <v>-11975193</v>
      </c>
      <c r="F11" s="64">
        <v>-295740</v>
      </c>
      <c r="G11" s="64">
        <f t="shared" si="0"/>
        <v>13637990</v>
      </c>
    </row>
    <row r="12" spans="1:11">
      <c r="B12" s="209" t="s">
        <v>168</v>
      </c>
      <c r="C12" s="63">
        <v>2435467</v>
      </c>
      <c r="D12" s="63">
        <v>83795</v>
      </c>
      <c r="E12" s="63">
        <v>0</v>
      </c>
      <c r="F12" s="63">
        <v>-139094</v>
      </c>
      <c r="G12" s="63">
        <f t="shared" si="0"/>
        <v>2380168</v>
      </c>
    </row>
    <row r="13" spans="1:11">
      <c r="B13" s="210" t="s">
        <v>169</v>
      </c>
      <c r="C13" s="64">
        <v>18766445</v>
      </c>
      <c r="D13" s="64">
        <v>167271</v>
      </c>
      <c r="E13" s="64">
        <v>0</v>
      </c>
      <c r="F13" s="64">
        <v>-6126571</v>
      </c>
      <c r="G13" s="64">
        <f t="shared" si="0"/>
        <v>12807145</v>
      </c>
    </row>
    <row r="14" spans="1:11">
      <c r="B14" s="209" t="s">
        <v>170</v>
      </c>
      <c r="C14" s="63">
        <v>2897390</v>
      </c>
      <c r="D14" s="63">
        <v>17585579</v>
      </c>
      <c r="E14" s="63">
        <v>0</v>
      </c>
      <c r="F14" s="63">
        <v>-2517924</v>
      </c>
      <c r="G14" s="63">
        <f>+C14+D14+E14+F14</f>
        <v>17965045</v>
      </c>
    </row>
    <row r="15" spans="1:11">
      <c r="B15" s="210"/>
      <c r="C15" s="64"/>
      <c r="D15" s="64"/>
      <c r="E15" s="64"/>
      <c r="F15" s="64"/>
      <c r="G15" s="64"/>
    </row>
    <row r="16" spans="1:11" ht="9.75" thickBot="1">
      <c r="B16" s="89"/>
      <c r="C16" s="90">
        <f>SUM(C6:C14)</f>
        <v>1202759610</v>
      </c>
      <c r="D16" s="90">
        <f>SUM(D6:D14)</f>
        <v>38043929</v>
      </c>
      <c r="E16" s="90">
        <f>SUM(E6:E14)</f>
        <v>-345982050</v>
      </c>
      <c r="F16" s="90">
        <f>SUM(F6:F14)</f>
        <v>-21015853</v>
      </c>
      <c r="G16" s="90">
        <f>SUM(G6:G14)</f>
        <v>873805636</v>
      </c>
    </row>
    <row r="17" spans="2:7" ht="9.75" thickTop="1"/>
    <row r="19" spans="2:7">
      <c r="B19" s="82" t="s">
        <v>153</v>
      </c>
      <c r="D19" s="83"/>
      <c r="E19" s="83"/>
      <c r="F19" s="83"/>
      <c r="G19" s="83"/>
    </row>
    <row r="20" spans="2:7" ht="9.75" thickBot="1">
      <c r="B20" s="42"/>
      <c r="C20" s="42" t="s">
        <v>158</v>
      </c>
      <c r="D20" s="42" t="s">
        <v>162</v>
      </c>
      <c r="E20" s="42" t="s">
        <v>160</v>
      </c>
      <c r="F20" s="42" t="s">
        <v>161</v>
      </c>
      <c r="G20" s="42" t="s">
        <v>155</v>
      </c>
    </row>
    <row r="21" spans="2:7" ht="9.75" thickTop="1">
      <c r="B21" s="208" t="s">
        <v>13</v>
      </c>
      <c r="C21" s="211">
        <v>0</v>
      </c>
      <c r="D21" s="211">
        <v>0</v>
      </c>
      <c r="E21" s="211">
        <v>0</v>
      </c>
      <c r="F21" s="211">
        <v>0</v>
      </c>
      <c r="G21" s="211">
        <v>0</v>
      </c>
    </row>
    <row r="22" spans="2:7">
      <c r="B22" s="46" t="s">
        <v>163</v>
      </c>
      <c r="C22" s="64">
        <v>533441373.99999994</v>
      </c>
      <c r="D22" s="64">
        <v>11427196</v>
      </c>
      <c r="E22" s="64">
        <v>-234209309</v>
      </c>
      <c r="F22" s="64">
        <v>7923469</v>
      </c>
      <c r="G22" s="64">
        <f>+C22+D22+E22+F22</f>
        <v>318582730</v>
      </c>
    </row>
    <row r="23" spans="2:7">
      <c r="B23" s="209" t="s">
        <v>164</v>
      </c>
      <c r="C23" s="63">
        <v>139283391</v>
      </c>
      <c r="D23" s="63">
        <v>11903600</v>
      </c>
      <c r="E23" s="63">
        <v>-7630927</v>
      </c>
      <c r="F23" s="63">
        <v>-34421126</v>
      </c>
      <c r="G23" s="63">
        <f>+C23+D23+E23+F23</f>
        <v>109134938</v>
      </c>
    </row>
    <row r="24" spans="2:7">
      <c r="B24" s="210" t="s">
        <v>165</v>
      </c>
      <c r="C24" s="64">
        <v>2136670</v>
      </c>
      <c r="D24" s="64">
        <v>234711</v>
      </c>
      <c r="E24" s="64">
        <v>-453428</v>
      </c>
      <c r="F24" s="64">
        <v>273266</v>
      </c>
      <c r="G24" s="64">
        <f>+C24+D24+E24+F24</f>
        <v>2191219</v>
      </c>
    </row>
    <row r="25" spans="2:7">
      <c r="B25" s="209" t="s">
        <v>166</v>
      </c>
      <c r="C25" s="63">
        <v>11466994</v>
      </c>
      <c r="D25" s="63">
        <v>1918874</v>
      </c>
      <c r="E25" s="63">
        <v>-755483</v>
      </c>
      <c r="F25" s="63">
        <v>-2641213</v>
      </c>
      <c r="G25" s="63">
        <f>+C25+D25+E25+F25</f>
        <v>9989172</v>
      </c>
    </row>
    <row r="26" spans="2:7">
      <c r="B26" s="210" t="s">
        <v>167</v>
      </c>
      <c r="C26" s="64">
        <v>12146516</v>
      </c>
      <c r="D26" s="64">
        <v>1259569</v>
      </c>
      <c r="E26" s="64">
        <v>-2189029</v>
      </c>
      <c r="F26" s="64">
        <v>-6262841</v>
      </c>
      <c r="G26" s="64">
        <f>+C26+D26+E26+F26</f>
        <v>4954215</v>
      </c>
    </row>
    <row r="27" spans="2:7">
      <c r="B27" s="209" t="s">
        <v>168</v>
      </c>
      <c r="C27" s="63"/>
      <c r="D27" s="63"/>
      <c r="E27" s="63"/>
      <c r="F27" s="63"/>
      <c r="G27" s="63"/>
    </row>
    <row r="28" spans="2:7">
      <c r="B28" s="210" t="s">
        <v>169</v>
      </c>
      <c r="C28" s="64"/>
      <c r="D28" s="64"/>
      <c r="E28" s="64"/>
      <c r="F28" s="64"/>
      <c r="G28" s="64"/>
    </row>
    <row r="29" spans="2:7">
      <c r="B29" s="209" t="s">
        <v>170</v>
      </c>
      <c r="C29" s="63"/>
      <c r="D29" s="63"/>
      <c r="E29" s="63"/>
      <c r="F29" s="63"/>
      <c r="G29" s="63"/>
    </row>
    <row r="30" spans="2:7">
      <c r="B30" s="210"/>
      <c r="C30" s="64"/>
      <c r="D30" s="64"/>
      <c r="E30" s="64"/>
      <c r="F30" s="64"/>
      <c r="G30" s="64"/>
    </row>
    <row r="31" spans="2:7" ht="9.75" thickBot="1">
      <c r="B31" s="89"/>
      <c r="C31" s="90">
        <f>SUM(C21:C29)</f>
        <v>698474945</v>
      </c>
      <c r="D31" s="90">
        <f>SUM(D21:D29)</f>
        <v>26743950</v>
      </c>
      <c r="E31" s="90">
        <f>SUM(E21:E29)</f>
        <v>-245238176</v>
      </c>
      <c r="F31" s="90">
        <f>SUM(F21:F29)</f>
        <v>-35128445</v>
      </c>
      <c r="G31" s="90">
        <f>SUM(G21:G29)</f>
        <v>444852274</v>
      </c>
    </row>
    <row r="32" spans="2:7" ht="9.75" thickTop="1"/>
    <row r="34" spans="2:8">
      <c r="B34" s="86" t="s">
        <v>151</v>
      </c>
    </row>
    <row r="35" spans="2:8" ht="9.75" thickBot="1">
      <c r="B35" s="42" t="s">
        <v>154</v>
      </c>
      <c r="C35" s="42" t="s">
        <v>155</v>
      </c>
      <c r="D35" s="42" t="s">
        <v>172</v>
      </c>
      <c r="E35" s="42" t="s">
        <v>156</v>
      </c>
      <c r="F35" s="42" t="s">
        <v>157</v>
      </c>
      <c r="H35" s="42" t="s">
        <v>545</v>
      </c>
    </row>
    <row r="36" spans="2:8" ht="9.75" thickTop="1">
      <c r="B36" s="208" t="s">
        <v>13</v>
      </c>
      <c r="C36" s="211">
        <f t="shared" ref="C36:C44" si="1">-E6+E21</f>
        <v>48882330</v>
      </c>
      <c r="D36" s="211">
        <f t="shared" ref="D36:D45" si="2">+C36/$H$36</f>
        <v>13882666.477332195</v>
      </c>
      <c r="E36" s="211">
        <f t="shared" ref="E36:E41" si="3">+C36/C$46</f>
        <v>0.48521391980618112</v>
      </c>
      <c r="F36" s="211">
        <f t="shared" ref="F36:F41" si="4">+C36/($C$46-$C$36)</f>
        <v>0.94255446771889451</v>
      </c>
      <c r="H36" s="406">
        <f>+Devaluacion!B17</f>
        <v>3.5211052631578901</v>
      </c>
    </row>
    <row r="37" spans="2:8">
      <c r="B37" s="46" t="s">
        <v>163</v>
      </c>
      <c r="C37" s="64">
        <f t="shared" si="1"/>
        <v>32939122.99999997</v>
      </c>
      <c r="D37" s="64">
        <f t="shared" si="2"/>
        <v>9354768.0453207009</v>
      </c>
      <c r="E37" s="64">
        <f t="shared" si="3"/>
        <v>0.32695906651356271</v>
      </c>
      <c r="F37" s="64">
        <f t="shared" si="4"/>
        <v>0.6351357954171204</v>
      </c>
    </row>
    <row r="38" spans="2:8">
      <c r="B38" s="209" t="s">
        <v>164</v>
      </c>
      <c r="C38" s="63">
        <f t="shared" si="1"/>
        <v>6263084</v>
      </c>
      <c r="D38" s="63">
        <f t="shared" si="2"/>
        <v>1778726.715594687</v>
      </c>
      <c r="E38" s="63">
        <f t="shared" si="3"/>
        <v>6.216838554372052E-2</v>
      </c>
      <c r="F38" s="63">
        <f t="shared" si="4"/>
        <v>0.12076547508882504</v>
      </c>
    </row>
    <row r="39" spans="2:8">
      <c r="B39" s="210" t="s">
        <v>165</v>
      </c>
      <c r="C39" s="64">
        <f t="shared" si="1"/>
        <v>1462566</v>
      </c>
      <c r="D39" s="64">
        <f t="shared" si="2"/>
        <v>415371.27995097288</v>
      </c>
      <c r="E39" s="64">
        <f t="shared" si="3"/>
        <v>1.4517666850889618E-2</v>
      </c>
      <c r="F39" s="64">
        <f t="shared" si="4"/>
        <v>2.8201358602050121E-2</v>
      </c>
    </row>
    <row r="40" spans="2:8">
      <c r="B40" s="209" t="s">
        <v>166</v>
      </c>
      <c r="C40" s="63">
        <f t="shared" si="1"/>
        <v>1410607</v>
      </c>
      <c r="D40" s="63">
        <f t="shared" si="2"/>
        <v>400614.83385898621</v>
      </c>
      <c r="E40" s="63">
        <f t="shared" si="3"/>
        <v>1.4001913406665307E-2</v>
      </c>
      <c r="F40" s="63">
        <f t="shared" si="4"/>
        <v>2.7199479444730779E-2</v>
      </c>
    </row>
    <row r="41" spans="2:8">
      <c r="B41" s="210" t="s">
        <v>167</v>
      </c>
      <c r="C41" s="64">
        <f t="shared" si="1"/>
        <v>9786164</v>
      </c>
      <c r="D41" s="64">
        <f t="shared" si="2"/>
        <v>2779287.5442818529</v>
      </c>
      <c r="E41" s="64">
        <f t="shared" si="3"/>
        <v>9.7139047878980742E-2</v>
      </c>
      <c r="F41" s="64">
        <f t="shared" si="4"/>
        <v>0.18869789144727364</v>
      </c>
    </row>
    <row r="42" spans="2:8">
      <c r="B42" s="209" t="s">
        <v>168</v>
      </c>
      <c r="C42" s="63">
        <f t="shared" si="1"/>
        <v>0</v>
      </c>
      <c r="D42" s="63">
        <f t="shared" si="2"/>
        <v>0</v>
      </c>
      <c r="E42" s="63"/>
      <c r="F42" s="63"/>
    </row>
    <row r="43" spans="2:8">
      <c r="B43" s="210" t="s">
        <v>169</v>
      </c>
      <c r="C43" s="64">
        <f t="shared" si="1"/>
        <v>0</v>
      </c>
      <c r="D43" s="64">
        <f t="shared" si="2"/>
        <v>0</v>
      </c>
      <c r="E43" s="64"/>
      <c r="F43" s="64"/>
    </row>
    <row r="44" spans="2:8">
      <c r="B44" s="209" t="s">
        <v>170</v>
      </c>
      <c r="C44" s="63">
        <f t="shared" si="1"/>
        <v>0</v>
      </c>
      <c r="D44" s="63">
        <f t="shared" si="2"/>
        <v>0</v>
      </c>
      <c r="E44" s="63"/>
      <c r="F44" s="63"/>
    </row>
    <row r="45" spans="2:8">
      <c r="B45" s="210"/>
      <c r="C45" s="64"/>
      <c r="D45" s="64">
        <f t="shared" si="2"/>
        <v>0</v>
      </c>
      <c r="E45" s="64"/>
      <c r="F45" s="64"/>
    </row>
    <row r="46" spans="2:8" ht="9.75" thickBot="1">
      <c r="B46" s="42" t="s">
        <v>139</v>
      </c>
      <c r="C46" s="90">
        <f>SUM(C36:C44)</f>
        <v>100743873.99999997</v>
      </c>
      <c r="D46" s="90">
        <f>SUM(D36:D44)</f>
        <v>28611434.89633939</v>
      </c>
      <c r="E46" s="212">
        <f>SUM(E36:E41)</f>
        <v>1</v>
      </c>
      <c r="F46" s="90"/>
    </row>
    <row r="47" spans="2:8" ht="9.75" thickTop="1"/>
    <row r="49" spans="2:6" ht="9.75" thickBot="1">
      <c r="B49" s="42" t="s">
        <v>154</v>
      </c>
      <c r="C49" s="42" t="s">
        <v>172</v>
      </c>
      <c r="E49" s="42"/>
      <c r="F49" s="42" t="s">
        <v>400</v>
      </c>
    </row>
    <row r="50" spans="2:6" ht="9.75" thickTop="1">
      <c r="B50" s="208" t="s">
        <v>36</v>
      </c>
      <c r="C50" s="211">
        <f>+F53</f>
        <v>37640031.14275296</v>
      </c>
      <c r="E50" s="213" t="s">
        <v>173</v>
      </c>
      <c r="F50" s="211">
        <v>29158426.597298414</v>
      </c>
    </row>
    <row r="51" spans="2:6">
      <c r="B51" s="46" t="s">
        <v>37</v>
      </c>
      <c r="C51" s="64">
        <v>0</v>
      </c>
      <c r="E51" s="214" t="s">
        <v>174</v>
      </c>
      <c r="F51" s="64">
        <v>3922159.0909090908</v>
      </c>
    </row>
    <row r="52" spans="2:6">
      <c r="B52" s="209" t="s">
        <v>38</v>
      </c>
      <c r="C52" s="63">
        <v>0</v>
      </c>
      <c r="E52" s="215" t="s">
        <v>38</v>
      </c>
      <c r="F52" s="63">
        <v>4559445.4545454597</v>
      </c>
    </row>
    <row r="53" spans="2:6" ht="9.75" thickBot="1">
      <c r="B53" s="210" t="s">
        <v>135</v>
      </c>
      <c r="C53" s="64">
        <v>0</v>
      </c>
      <c r="E53" s="42" t="s">
        <v>175</v>
      </c>
      <c r="F53" s="90">
        <v>37640031.14275296</v>
      </c>
    </row>
    <row r="54" spans="2:6" ht="9.75" thickTop="1">
      <c r="B54" s="209" t="s">
        <v>136</v>
      </c>
      <c r="C54" s="63">
        <v>0</v>
      </c>
      <c r="F54" s="87"/>
    </row>
    <row r="55" spans="2:6">
      <c r="B55" s="210" t="s">
        <v>137</v>
      </c>
      <c r="C55" s="64">
        <v>0</v>
      </c>
    </row>
    <row r="56" spans="2:6">
      <c r="B56" s="209" t="s">
        <v>138</v>
      </c>
      <c r="C56" s="63">
        <f>+D39</f>
        <v>415371.27995097288</v>
      </c>
    </row>
    <row r="57" spans="2:6">
      <c r="B57" s="210" t="s">
        <v>33</v>
      </c>
      <c r="C57" s="64">
        <f>+D40</f>
        <v>400614.83385898621</v>
      </c>
    </row>
    <row r="58" spans="2:6">
      <c r="B58" s="209"/>
      <c r="C58" s="63"/>
    </row>
    <row r="59" spans="2:6">
      <c r="B59" s="210"/>
      <c r="C59" s="64"/>
    </row>
    <row r="60" spans="2:6" ht="9.75" thickBot="1">
      <c r="B60" s="42" t="s">
        <v>171</v>
      </c>
      <c r="C60" s="90">
        <f>SUM(C50:C58)</f>
        <v>38456017.256562926</v>
      </c>
    </row>
    <row r="61" spans="2:6" ht="9.75" thickTop="1"/>
  </sheetData>
  <mergeCells count="1">
    <mergeCell ref="C2:F2"/>
  </mergeCells>
  <hyperlinks>
    <hyperlink ref="C2:F2" location="Indice!D3" display="ÍNDICE"/>
  </hyperlinks>
  <printOptions horizontalCentered="1"/>
  <pageMargins left="0.59055118110236227" right="0.59055118110236227" top="0.98425196850393704" bottom="0.59055118110236227" header="0" footer="0"/>
  <pageSetup paperSize="9" scale="75" fitToHeight="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8">
    <tabColor rgb="FF92D050"/>
  </sheetPr>
  <dimension ref="B2:N11"/>
  <sheetViews>
    <sheetView showGridLines="0" workbookViewId="0">
      <selection activeCell="E2" sqref="E2:H2"/>
    </sheetView>
  </sheetViews>
  <sheetFormatPr baseColWidth="10" defaultRowHeight="9"/>
  <cols>
    <col min="1" max="1" width="11.42578125" style="92"/>
    <col min="2" max="2" width="17.7109375" style="92" customWidth="1"/>
    <col min="3" max="14" width="8.140625" style="92" customWidth="1"/>
    <col min="15" max="16384" width="11.42578125" style="92"/>
  </cols>
  <sheetData>
    <row r="2" spans="2:14" ht="9.75" customHeight="1">
      <c r="E2" s="444" t="s">
        <v>555</v>
      </c>
      <c r="F2" s="444"/>
      <c r="G2" s="444"/>
      <c r="H2" s="444"/>
    </row>
    <row r="4" spans="2:14" ht="9.75" thickBot="1">
      <c r="B4" s="94"/>
      <c r="C4" s="94">
        <f>+Depreciaciones!C178</f>
        <v>2001</v>
      </c>
      <c r="D4" s="94">
        <f>+Depreciaciones!D178</f>
        <v>2002</v>
      </c>
      <c r="E4" s="94">
        <f>+Depreciaciones!E178</f>
        <v>2003</v>
      </c>
      <c r="F4" s="94">
        <f>+Depreciaciones!F178</f>
        <v>2004</v>
      </c>
      <c r="G4" s="94">
        <f>+Depreciaciones!G178</f>
        <v>2005</v>
      </c>
      <c r="H4" s="94">
        <f>+Depreciaciones!H178</f>
        <v>2006</v>
      </c>
      <c r="I4" s="94">
        <f>+Depreciaciones!I178</f>
        <v>2007</v>
      </c>
      <c r="J4" s="94">
        <f>+Depreciaciones!J178</f>
        <v>2008</v>
      </c>
      <c r="K4" s="94">
        <f>+Depreciaciones!K178</f>
        <v>2009</v>
      </c>
      <c r="L4" s="94">
        <f>+Depreciaciones!L178</f>
        <v>2010</v>
      </c>
      <c r="M4" s="94">
        <f>+Depreciaciones!M178</f>
        <v>2011</v>
      </c>
      <c r="N4" s="95">
        <f>+Depreciaciones!N178</f>
        <v>2012</v>
      </c>
    </row>
    <row r="5" spans="2:14" ht="9.75" thickTop="1">
      <c r="B5" s="219" t="s">
        <v>36</v>
      </c>
      <c r="C5" s="219">
        <f>+BaseCapital!C50-Depreciaciones!C174</f>
        <v>36450260.043413065</v>
      </c>
      <c r="D5" s="219">
        <f>+C5-Depreciaciones!D174</f>
        <v>35152327.935042277</v>
      </c>
      <c r="E5" s="219">
        <f>+D5-Depreciaciones!E174</f>
        <v>33854395.826671489</v>
      </c>
      <c r="F5" s="219">
        <f>+E5-Depreciaciones!F174</f>
        <v>32556463.718300696</v>
      </c>
      <c r="G5" s="219">
        <f>+F5-Depreciaciones!G174</f>
        <v>31258531.609929904</v>
      </c>
      <c r="H5" s="219">
        <f>+G5-Depreciaciones!H174</f>
        <v>29960599.501559112</v>
      </c>
      <c r="I5" s="219">
        <f>+H5-Depreciaciones!I174</f>
        <v>28662667.39318832</v>
      </c>
      <c r="J5" s="219">
        <f>+I5-Depreciaciones!J174</f>
        <v>27364735.284817528</v>
      </c>
      <c r="K5" s="219">
        <f>+J5-Depreciaciones!K174</f>
        <v>26066803.176446736</v>
      </c>
      <c r="L5" s="219">
        <f>+K5-Depreciaciones!L174</f>
        <v>24768871.068075944</v>
      </c>
      <c r="M5" s="219">
        <f>+L5-Depreciaciones!M174</f>
        <v>23470938.959705152</v>
      </c>
      <c r="N5" s="219">
        <f>+M5-Depreciaciones!N174</f>
        <v>22173006.851334359</v>
      </c>
    </row>
    <row r="6" spans="2:14">
      <c r="B6" s="220" t="s">
        <v>138</v>
      </c>
      <c r="C6" s="220">
        <f>+BaseCapital!C56-Depreciaciones!C175</f>
        <v>339219.87862662785</v>
      </c>
      <c r="D6" s="220">
        <f>+IF(C6-Depreciaciones!D175&gt;0,C6-Depreciaciones!D175,0)</f>
        <v>256145.62263643328</v>
      </c>
      <c r="E6" s="220">
        <f>+IF(D6-Depreciaciones!E175&gt;0,D6-Depreciaciones!E175,0)</f>
        <v>173071.36664623872</v>
      </c>
      <c r="F6" s="220">
        <f>+IF(E6-Depreciaciones!F175&gt;0,E6-Depreciaciones!F175,0)</f>
        <v>89997.11065604414</v>
      </c>
      <c r="G6" s="220">
        <f>+IF(F6-Depreciaciones!G175&gt;0,F6-Depreciaciones!G175,0)</f>
        <v>6922.8546658495616</v>
      </c>
      <c r="H6" s="220">
        <f>+IF(G6-Depreciaciones!H175&gt;0,G6-Depreciaciones!H175,0)</f>
        <v>6922.8546658495616</v>
      </c>
      <c r="I6" s="220">
        <f>+IF(H6-Depreciaciones!I175&gt;0,H6-Depreciaciones!I175,0)</f>
        <v>6922.8546658495616</v>
      </c>
      <c r="J6" s="220">
        <f>+IF(I6-Depreciaciones!J175&gt;0,I6-Depreciaciones!J175,0)</f>
        <v>6922.8546658495616</v>
      </c>
      <c r="K6" s="220">
        <f>+IF(J6-Depreciaciones!K175&gt;0,J6-Depreciaciones!K175,0)</f>
        <v>6922.8546658495616</v>
      </c>
      <c r="L6" s="220">
        <f>+IF(K6-Depreciaciones!L175&gt;0,K6-Depreciaciones!L175,0)</f>
        <v>6922.8546658495616</v>
      </c>
      <c r="M6" s="220">
        <f>+IF(L6-Depreciaciones!M175&gt;0,L6-Depreciaciones!M175,0)</f>
        <v>6922.8546658495616</v>
      </c>
      <c r="N6" s="220">
        <f>+IF(M6-Depreciaciones!N175&gt;0,M6-Depreciaciones!N175,0)</f>
        <v>6922.8546658495616</v>
      </c>
    </row>
    <row r="7" spans="2:14">
      <c r="B7" s="221" t="s">
        <v>33</v>
      </c>
      <c r="C7" s="221">
        <f>+BaseCapital!C57-Depreciaciones!C176</f>
        <v>363891.8074219125</v>
      </c>
      <c r="D7" s="221">
        <f>+IF(C7-Depreciaciones!D176&gt;0,C7-Depreciaciones!D176,0)</f>
        <v>323830.32403601386</v>
      </c>
      <c r="E7" s="221">
        <f>+IF(D7-Depreciaciones!E176&gt;0,D7-Depreciaciones!E176,0)</f>
        <v>283768.84065011522</v>
      </c>
      <c r="F7" s="221">
        <f>+IF(E7-Depreciaciones!F176&gt;0,E7-Depreciaciones!F176,0)</f>
        <v>243707.35726421658</v>
      </c>
      <c r="G7" s="221">
        <f>+IF(F7-Depreciaciones!G176&gt;0,F7-Depreciaciones!G176,0)</f>
        <v>203645.87387831794</v>
      </c>
      <c r="H7" s="221">
        <f>+IF(G7-Depreciaciones!H176&gt;0,G7-Depreciaciones!H176,0)</f>
        <v>163584.3904924193</v>
      </c>
      <c r="I7" s="221">
        <f>+IF(H7-Depreciaciones!I176&gt;0,H7-Depreciaciones!I176,0)</f>
        <v>123522.90710652068</v>
      </c>
      <c r="J7" s="221">
        <f>+IF(I7-Depreciaciones!J176&gt;0,I7-Depreciaciones!J176,0)</f>
        <v>83461.423720622057</v>
      </c>
      <c r="K7" s="221">
        <f>+IF(J7-Depreciaciones!K176&gt;0,J7-Depreciaciones!K176,0)</f>
        <v>43399.940334723433</v>
      </c>
      <c r="L7" s="221">
        <f>+IF(K7-Depreciaciones!L176&gt;0,K7-Depreciaciones!L176,0)</f>
        <v>3338.4569488248089</v>
      </c>
      <c r="M7" s="221">
        <f>+IF(L7-Depreciaciones!M176&gt;0,L7-Depreciaciones!M176,0)</f>
        <v>3338.4569488248089</v>
      </c>
      <c r="N7" s="221">
        <f>+IF(M7-Depreciaciones!N176&gt;0,M7-Depreciaciones!N176,0)</f>
        <v>3338.4569488248089</v>
      </c>
    </row>
    <row r="8" spans="2:14">
      <c r="B8" s="96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6"/>
    </row>
    <row r="9" spans="2:14">
      <c r="B9" s="96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6"/>
    </row>
    <row r="10" spans="2:14">
      <c r="B10" s="96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6"/>
    </row>
    <row r="11" spans="2:14">
      <c r="B11" s="96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6"/>
    </row>
  </sheetData>
  <mergeCells count="1">
    <mergeCell ref="E2:H2"/>
  </mergeCells>
  <hyperlinks>
    <hyperlink ref="E2:H2" location="Indice!D3" display="ÍNDICE"/>
  </hyperlink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9">
    <tabColor rgb="FF92D050"/>
  </sheetPr>
  <dimension ref="A1:P28"/>
  <sheetViews>
    <sheetView showGridLines="0" workbookViewId="0">
      <selection sqref="A1:D1"/>
    </sheetView>
  </sheetViews>
  <sheetFormatPr baseColWidth="10" defaultRowHeight="9"/>
  <cols>
    <col min="1" max="1" width="11.42578125" style="92"/>
    <col min="2" max="2" width="18.85546875" style="92" customWidth="1"/>
    <col min="3" max="14" width="7.140625" style="92" customWidth="1"/>
    <col min="15" max="16384" width="11.42578125" style="92"/>
  </cols>
  <sheetData>
    <row r="1" spans="1:16" ht="15">
      <c r="A1" s="444" t="s">
        <v>555</v>
      </c>
      <c r="B1" s="444"/>
      <c r="C1" s="444"/>
      <c r="D1" s="444"/>
      <c r="P1" s="320"/>
    </row>
    <row r="2" spans="1:16">
      <c r="F2" s="116" t="s">
        <v>548</v>
      </c>
    </row>
    <row r="4" spans="1:16">
      <c r="B4" s="116" t="s">
        <v>131</v>
      </c>
    </row>
    <row r="5" spans="1:16" ht="9.75" thickBot="1">
      <c r="B5" s="42" t="s">
        <v>199</v>
      </c>
      <c r="C5" s="42">
        <v>2001</v>
      </c>
      <c r="D5" s="42">
        <v>2002</v>
      </c>
      <c r="E5" s="42">
        <v>2003</v>
      </c>
      <c r="F5" s="42">
        <v>2004</v>
      </c>
      <c r="G5" s="42">
        <v>2005</v>
      </c>
      <c r="H5" s="42">
        <v>2006</v>
      </c>
      <c r="I5" s="42">
        <v>2007</v>
      </c>
      <c r="J5" s="42">
        <v>2008</v>
      </c>
      <c r="K5" s="42">
        <v>2009</v>
      </c>
      <c r="L5" s="42">
        <v>2010</v>
      </c>
      <c r="M5" s="42">
        <v>2011</v>
      </c>
      <c r="N5" s="43">
        <v>2012</v>
      </c>
    </row>
    <row r="6" spans="1:16" ht="9.75" thickTop="1">
      <c r="B6" s="219" t="s">
        <v>135</v>
      </c>
      <c r="C6" s="219">
        <v>0</v>
      </c>
      <c r="D6" s="219">
        <v>3284</v>
      </c>
      <c r="E6" s="219">
        <v>59</v>
      </c>
      <c r="F6" s="219">
        <v>87</v>
      </c>
      <c r="G6" s="219">
        <v>0</v>
      </c>
      <c r="H6" s="219">
        <v>228</v>
      </c>
      <c r="I6" s="219">
        <v>4</v>
      </c>
      <c r="J6" s="219">
        <v>-396</v>
      </c>
      <c r="K6" s="219">
        <v>120</v>
      </c>
      <c r="L6" s="219">
        <v>129</v>
      </c>
      <c r="M6" s="219">
        <v>208</v>
      </c>
      <c r="N6" s="219">
        <v>8</v>
      </c>
    </row>
    <row r="7" spans="1:16">
      <c r="B7" s="220" t="s">
        <v>136</v>
      </c>
      <c r="C7" s="220">
        <f>333.68*12/10.5</f>
        <v>381.3485714285714</v>
      </c>
      <c r="D7" s="220">
        <v>184.32</v>
      </c>
      <c r="E7" s="220">
        <v>127</v>
      </c>
      <c r="F7" s="220">
        <v>268</v>
      </c>
      <c r="G7" s="220">
        <v>78</v>
      </c>
      <c r="H7" s="220">
        <v>90</v>
      </c>
      <c r="I7" s="220">
        <v>86</v>
      </c>
      <c r="J7" s="220">
        <v>260</v>
      </c>
      <c r="K7" s="220">
        <v>137</v>
      </c>
      <c r="L7" s="220">
        <v>252</v>
      </c>
      <c r="M7" s="220">
        <v>145</v>
      </c>
      <c r="N7" s="220">
        <v>163</v>
      </c>
    </row>
    <row r="8" spans="1:16">
      <c r="B8" s="221" t="s">
        <v>137</v>
      </c>
      <c r="C8" s="221">
        <f>322.179*12/10.5</f>
        <v>368.2045714285714</v>
      </c>
      <c r="D8" s="221">
        <v>151.821</v>
      </c>
      <c r="E8" s="221">
        <v>143</v>
      </c>
      <c r="F8" s="221">
        <v>76</v>
      </c>
      <c r="G8" s="221">
        <v>4</v>
      </c>
      <c r="H8" s="221">
        <v>1091</v>
      </c>
      <c r="I8" s="221">
        <v>125</v>
      </c>
      <c r="J8" s="221">
        <v>464</v>
      </c>
      <c r="K8" s="221">
        <v>164</v>
      </c>
      <c r="L8" s="221">
        <v>240</v>
      </c>
      <c r="M8" s="221">
        <v>103</v>
      </c>
      <c r="N8" s="221">
        <v>1263</v>
      </c>
    </row>
    <row r="9" spans="1:16">
      <c r="B9" s="222" t="s">
        <v>138</v>
      </c>
      <c r="C9" s="222">
        <f>250.076*12/10.5</f>
        <v>285.80114285714285</v>
      </c>
      <c r="D9" s="222">
        <v>67.924000000000007</v>
      </c>
      <c r="E9" s="222">
        <v>0</v>
      </c>
      <c r="F9" s="222">
        <v>65</v>
      </c>
      <c r="G9" s="222">
        <v>0</v>
      </c>
      <c r="H9" s="222">
        <v>133</v>
      </c>
      <c r="I9" s="222">
        <v>85</v>
      </c>
      <c r="J9" s="222">
        <v>16</v>
      </c>
      <c r="K9" s="222">
        <v>4</v>
      </c>
      <c r="L9" s="222">
        <v>61</v>
      </c>
      <c r="M9" s="222">
        <v>0</v>
      </c>
      <c r="N9" s="222">
        <v>40</v>
      </c>
    </row>
    <row r="10" spans="1:16">
      <c r="B10" s="221" t="s">
        <v>33</v>
      </c>
      <c r="C10" s="221">
        <f>3.006*12/10.5</f>
        <v>3.4354285714285711</v>
      </c>
      <c r="D10" s="221">
        <v>35.994</v>
      </c>
      <c r="E10" s="221">
        <v>18</v>
      </c>
      <c r="F10" s="221">
        <v>14</v>
      </c>
      <c r="G10" s="221">
        <v>18</v>
      </c>
      <c r="H10" s="221">
        <v>1033</v>
      </c>
      <c r="I10" s="221">
        <v>22</v>
      </c>
      <c r="J10" s="221">
        <v>111</v>
      </c>
      <c r="K10" s="221">
        <v>134</v>
      </c>
      <c r="L10" s="221">
        <v>31</v>
      </c>
      <c r="M10" s="221">
        <v>87</v>
      </c>
      <c r="N10" s="221">
        <v>166</v>
      </c>
    </row>
    <row r="11" spans="1:16">
      <c r="B11" s="223" t="s">
        <v>139</v>
      </c>
      <c r="C11" s="223">
        <f>+SUM(C6:C10)</f>
        <v>1038.7897142857141</v>
      </c>
      <c r="D11" s="223">
        <f t="shared" ref="D11:N11" si="0">+SUM(D6:D10)</f>
        <v>3724.0590000000002</v>
      </c>
      <c r="E11" s="223">
        <f t="shared" si="0"/>
        <v>347</v>
      </c>
      <c r="F11" s="223">
        <f t="shared" si="0"/>
        <v>510</v>
      </c>
      <c r="G11" s="223">
        <f t="shared" si="0"/>
        <v>100</v>
      </c>
      <c r="H11" s="223">
        <f t="shared" si="0"/>
        <v>2575</v>
      </c>
      <c r="I11" s="223">
        <f t="shared" si="0"/>
        <v>322</v>
      </c>
      <c r="J11" s="223">
        <f t="shared" si="0"/>
        <v>455</v>
      </c>
      <c r="K11" s="223">
        <f t="shared" si="0"/>
        <v>559</v>
      </c>
      <c r="L11" s="223">
        <f t="shared" si="0"/>
        <v>713</v>
      </c>
      <c r="M11" s="223">
        <f t="shared" si="0"/>
        <v>543</v>
      </c>
      <c r="N11" s="223">
        <f t="shared" si="0"/>
        <v>1640</v>
      </c>
    </row>
    <row r="12" spans="1:16"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</row>
    <row r="13" spans="1:16"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</row>
    <row r="14" spans="1:16">
      <c r="B14" s="116" t="s">
        <v>132</v>
      </c>
    </row>
    <row r="15" spans="1:16" ht="9.75" thickBot="1">
      <c r="B15" s="42" t="s">
        <v>199</v>
      </c>
      <c r="C15" s="42">
        <v>2001</v>
      </c>
      <c r="D15" s="42">
        <v>2002</v>
      </c>
      <c r="E15" s="42">
        <v>2003</v>
      </c>
      <c r="F15" s="42">
        <v>2004</v>
      </c>
      <c r="G15" s="42">
        <v>2005</v>
      </c>
      <c r="H15" s="42">
        <v>2006</v>
      </c>
      <c r="I15" s="42">
        <v>2007</v>
      </c>
      <c r="J15" s="42">
        <v>2008</v>
      </c>
      <c r="K15" s="42">
        <v>2009</v>
      </c>
      <c r="L15" s="42">
        <v>2010</v>
      </c>
      <c r="M15" s="42">
        <v>2011</v>
      </c>
      <c r="N15" s="43">
        <v>2012</v>
      </c>
    </row>
    <row r="16" spans="1:16" ht="9.75" thickTop="1">
      <c r="B16" s="219" t="s">
        <v>36</v>
      </c>
      <c r="C16" s="219">
        <f>2348.649*12/10.5</f>
        <v>2684.1702857142859</v>
      </c>
      <c r="D16" s="219">
        <v>1261</v>
      </c>
      <c r="E16" s="219">
        <v>232</v>
      </c>
      <c r="F16" s="219">
        <v>1391</v>
      </c>
      <c r="G16" s="219">
        <v>148162</v>
      </c>
      <c r="H16" s="219">
        <v>18425</v>
      </c>
      <c r="I16" s="219">
        <v>5067</v>
      </c>
      <c r="J16" s="219">
        <v>233</v>
      </c>
      <c r="K16" s="219">
        <v>54199</v>
      </c>
      <c r="L16" s="219">
        <v>4730</v>
      </c>
      <c r="M16" s="219">
        <v>3037</v>
      </c>
      <c r="N16" s="219">
        <v>29334</v>
      </c>
    </row>
    <row r="17" spans="2:14">
      <c r="B17" s="220" t="s">
        <v>37</v>
      </c>
      <c r="C17" s="220">
        <v>3798.3879999999999</v>
      </c>
      <c r="D17" s="220">
        <v>325</v>
      </c>
      <c r="E17" s="220">
        <v>-49</v>
      </c>
      <c r="F17" s="220">
        <v>0</v>
      </c>
      <c r="G17" s="220">
        <v>0</v>
      </c>
      <c r="H17" s="220">
        <v>1</v>
      </c>
      <c r="I17" s="220">
        <v>0</v>
      </c>
      <c r="J17" s="220">
        <v>0</v>
      </c>
      <c r="K17" s="220">
        <v>0</v>
      </c>
      <c r="L17" s="220">
        <v>0</v>
      </c>
      <c r="M17" s="220">
        <v>0</v>
      </c>
      <c r="N17" s="220">
        <v>0</v>
      </c>
    </row>
    <row r="18" spans="2:14">
      <c r="B18" s="221" t="s">
        <v>38</v>
      </c>
      <c r="C18" s="221">
        <f>548.432*12/10.5</f>
        <v>626.77942857142864</v>
      </c>
      <c r="D18" s="221">
        <v>21</v>
      </c>
      <c r="E18" s="221">
        <v>202</v>
      </c>
      <c r="F18" s="221">
        <v>19</v>
      </c>
      <c r="G18" s="221">
        <v>411</v>
      </c>
      <c r="H18" s="221">
        <v>578</v>
      </c>
      <c r="I18" s="221">
        <v>0</v>
      </c>
      <c r="J18" s="221">
        <v>283</v>
      </c>
      <c r="K18" s="221">
        <v>311</v>
      </c>
      <c r="L18" s="221">
        <v>210</v>
      </c>
      <c r="M18" s="221">
        <v>147</v>
      </c>
      <c r="N18" s="221">
        <v>651</v>
      </c>
    </row>
    <row r="19" spans="2:14">
      <c r="B19" s="222" t="s">
        <v>140</v>
      </c>
      <c r="C19" s="222">
        <f>3304*12/10.5</f>
        <v>3776</v>
      </c>
      <c r="D19" s="222">
        <v>5982</v>
      </c>
      <c r="E19" s="222">
        <v>49688</v>
      </c>
      <c r="F19" s="222">
        <v>71630</v>
      </c>
      <c r="G19" s="222">
        <v>-130604</v>
      </c>
      <c r="H19" s="222">
        <v>2331</v>
      </c>
      <c r="I19" s="222">
        <v>8285</v>
      </c>
      <c r="J19" s="222">
        <v>42851</v>
      </c>
      <c r="K19" s="222">
        <v>-46341</v>
      </c>
      <c r="L19" s="222">
        <v>674</v>
      </c>
      <c r="M19" s="222">
        <v>15131</v>
      </c>
      <c r="N19" s="222">
        <v>-17009</v>
      </c>
    </row>
    <row r="20" spans="2:14">
      <c r="B20" s="224" t="s">
        <v>139</v>
      </c>
      <c r="C20" s="221">
        <f>+SUM(C16:C18)</f>
        <v>7109.3377142857144</v>
      </c>
      <c r="D20" s="221">
        <f t="shared" ref="D20:N20" si="1">+SUM(D16:D18)</f>
        <v>1607</v>
      </c>
      <c r="E20" s="221">
        <f t="shared" si="1"/>
        <v>385</v>
      </c>
      <c r="F20" s="221">
        <f t="shared" si="1"/>
        <v>1410</v>
      </c>
      <c r="G20" s="221">
        <f t="shared" si="1"/>
        <v>148573</v>
      </c>
      <c r="H20" s="221">
        <f t="shared" si="1"/>
        <v>19004</v>
      </c>
      <c r="I20" s="221">
        <f t="shared" si="1"/>
        <v>5067</v>
      </c>
      <c r="J20" s="221">
        <f t="shared" si="1"/>
        <v>516</v>
      </c>
      <c r="K20" s="221">
        <f t="shared" si="1"/>
        <v>54510</v>
      </c>
      <c r="L20" s="221">
        <f t="shared" si="1"/>
        <v>4940</v>
      </c>
      <c r="M20" s="221">
        <f t="shared" si="1"/>
        <v>3184</v>
      </c>
      <c r="N20" s="221">
        <f t="shared" si="1"/>
        <v>29985</v>
      </c>
    </row>
    <row r="24" spans="2:14">
      <c r="B24" s="118" t="s">
        <v>197</v>
      </c>
      <c r="C24" s="119"/>
      <c r="D24" s="119"/>
      <c r="E24" s="119"/>
      <c r="F24" s="119"/>
      <c r="G24" s="119"/>
      <c r="H24" s="119"/>
      <c r="I24" s="119"/>
    </row>
    <row r="25" spans="2:14" ht="9.75" thickBot="1">
      <c r="B25" s="42" t="s">
        <v>198</v>
      </c>
      <c r="C25" s="42">
        <v>2001</v>
      </c>
      <c r="D25" s="42">
        <v>2002</v>
      </c>
      <c r="E25" s="42">
        <v>2003</v>
      </c>
      <c r="F25" s="42">
        <v>2004</v>
      </c>
      <c r="G25" s="42">
        <v>2005</v>
      </c>
      <c r="H25" s="42">
        <v>2006</v>
      </c>
      <c r="I25" s="42">
        <v>2007</v>
      </c>
    </row>
    <row r="26" spans="2:14" ht="9.75" thickTop="1">
      <c r="B26" s="219" t="s">
        <v>199</v>
      </c>
      <c r="C26" s="219"/>
      <c r="D26" s="219"/>
      <c r="E26" s="219"/>
      <c r="F26" s="219"/>
      <c r="G26" s="318">
        <v>5795560.4088661578</v>
      </c>
      <c r="H26" s="318"/>
      <c r="I26" s="318"/>
      <c r="J26" s="93"/>
    </row>
    <row r="27" spans="2:14">
      <c r="B27" s="220" t="s">
        <v>200</v>
      </c>
      <c r="C27" s="220"/>
      <c r="D27" s="220"/>
      <c r="E27" s="220"/>
      <c r="F27" s="220"/>
      <c r="G27" s="319"/>
      <c r="H27" s="319">
        <f>+G26/20</f>
        <v>289778.02044330788</v>
      </c>
      <c r="I27" s="319">
        <f>+G26/20</f>
        <v>289778.02044330788</v>
      </c>
      <c r="J27" s="93"/>
    </row>
    <row r="28" spans="2:14">
      <c r="J28" s="93"/>
    </row>
  </sheetData>
  <mergeCells count="1">
    <mergeCell ref="A1:D1"/>
  </mergeCells>
  <hyperlinks>
    <hyperlink ref="A1:D1" location="Indice!D3" display="ÍNDICE"/>
  </hyperlinks>
  <pageMargins left="0.7" right="0.7" top="0.75" bottom="0.75" header="0.3" footer="0.3"/>
  <pageSetup orientation="portrait" r:id="rId1"/>
  <ignoredErrors>
    <ignoredError sqref="D19:N20 D11:N11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21">
    <tabColor rgb="FF92D050"/>
  </sheetPr>
  <dimension ref="B1:AC182"/>
  <sheetViews>
    <sheetView showGridLines="0" workbookViewId="0">
      <selection activeCell="Q3" sqref="Q3:T3"/>
    </sheetView>
  </sheetViews>
  <sheetFormatPr baseColWidth="10" defaultRowHeight="9"/>
  <cols>
    <col min="1" max="1" width="6.85546875" style="93" customWidth="1"/>
    <col min="2" max="2" width="9" style="93" customWidth="1"/>
    <col min="3" max="3" width="7.85546875" style="93" bestFit="1" customWidth="1"/>
    <col min="4" max="4" width="8.42578125" style="93" bestFit="1" customWidth="1"/>
    <col min="5" max="5" width="7.85546875" style="93" bestFit="1" customWidth="1"/>
    <col min="6" max="6" width="9.140625" style="93" customWidth="1"/>
    <col min="7" max="7" width="7.85546875" style="93" customWidth="1"/>
    <col min="8" max="8" width="8.42578125" style="93" bestFit="1" customWidth="1"/>
    <col min="9" max="9" width="7.85546875" style="93" bestFit="1" customWidth="1"/>
    <col min="10" max="10" width="9" style="93" customWidth="1"/>
    <col min="11" max="11" width="7.85546875" style="93" bestFit="1" customWidth="1"/>
    <col min="12" max="12" width="7.5703125" style="93" bestFit="1" customWidth="1"/>
    <col min="13" max="14" width="7.85546875" style="93" bestFit="1" customWidth="1"/>
    <col min="15" max="15" width="5" style="93" customWidth="1"/>
    <col min="16" max="16" width="8.5703125" style="93" customWidth="1"/>
    <col min="17" max="28" width="6.5703125" style="93" customWidth="1"/>
    <col min="29" max="16384" width="11.42578125" style="93"/>
  </cols>
  <sheetData>
    <row r="1" spans="2:29">
      <c r="U1" s="349"/>
    </row>
    <row r="2" spans="2:29">
      <c r="B2" s="102" t="s">
        <v>29</v>
      </c>
      <c r="C2" s="101"/>
      <c r="D2" s="101" t="s">
        <v>30</v>
      </c>
      <c r="F2" s="102" t="s">
        <v>29</v>
      </c>
      <c r="G2" s="101"/>
      <c r="H2" s="101" t="s">
        <v>30</v>
      </c>
      <c r="J2" s="102" t="s">
        <v>35</v>
      </c>
      <c r="K2" s="101"/>
      <c r="L2" s="101"/>
      <c r="M2" s="102"/>
      <c r="N2" s="101"/>
    </row>
    <row r="3" spans="2:29" ht="15">
      <c r="B3" s="219" t="s">
        <v>134</v>
      </c>
      <c r="C3" s="219"/>
      <c r="D3" s="264">
        <v>0.1</v>
      </c>
      <c r="F3" s="219" t="s">
        <v>36</v>
      </c>
      <c r="G3" s="219"/>
      <c r="H3" s="264">
        <v>3.4482758620689655E-2</v>
      </c>
      <c r="Q3" s="444" t="s">
        <v>555</v>
      </c>
      <c r="R3" s="444"/>
      <c r="S3" s="444"/>
      <c r="T3" s="444"/>
    </row>
    <row r="4" spans="2:29" ht="12.75" customHeight="1">
      <c r="B4" s="220" t="s">
        <v>34</v>
      </c>
      <c r="C4" s="220"/>
      <c r="D4" s="241">
        <v>0.25</v>
      </c>
      <c r="F4" s="220" t="s">
        <v>37</v>
      </c>
      <c r="G4" s="220"/>
      <c r="H4" s="241">
        <v>3.3333333333333333E-2</v>
      </c>
    </row>
    <row r="5" spans="2:29" ht="12.75" customHeight="1">
      <c r="B5" s="221" t="s">
        <v>31</v>
      </c>
      <c r="C5" s="221"/>
      <c r="D5" s="265">
        <v>0.1</v>
      </c>
      <c r="F5" s="221" t="s">
        <v>38</v>
      </c>
      <c r="G5" s="221"/>
      <c r="H5" s="265">
        <v>0.1</v>
      </c>
    </row>
    <row r="6" spans="2:29" ht="12.75" customHeight="1">
      <c r="B6" s="222" t="s">
        <v>32</v>
      </c>
      <c r="C6" s="222"/>
      <c r="D6" s="241">
        <v>0.2</v>
      </c>
      <c r="F6" s="103"/>
      <c r="G6" s="103"/>
      <c r="H6" s="106"/>
    </row>
    <row r="7" spans="2:29" ht="12.75" customHeight="1">
      <c r="B7" s="219" t="s">
        <v>33</v>
      </c>
      <c r="C7" s="219"/>
      <c r="D7" s="264">
        <v>0.1</v>
      </c>
      <c r="H7" s="104"/>
    </row>
    <row r="8" spans="2:29" ht="12.75" customHeight="1"/>
    <row r="9" spans="2:29" ht="12.75" customHeight="1">
      <c r="P9" s="392"/>
    </row>
    <row r="10" spans="2:29">
      <c r="B10" s="107"/>
      <c r="P10" s="107"/>
    </row>
    <row r="11" spans="2:29">
      <c r="B11" s="107"/>
      <c r="P11" s="107"/>
    </row>
    <row r="12" spans="2:29">
      <c r="B12" s="107" t="s">
        <v>131</v>
      </c>
      <c r="D12" s="108"/>
      <c r="P12" s="107" t="s">
        <v>132</v>
      </c>
      <c r="R12" s="108"/>
    </row>
    <row r="13" spans="2:29" ht="9.75" thickBot="1">
      <c r="B13" s="99" t="s">
        <v>133</v>
      </c>
      <c r="C13" s="42"/>
      <c r="D13" s="42"/>
      <c r="P13" s="99" t="s">
        <v>141</v>
      </c>
      <c r="Q13" s="42"/>
      <c r="R13" s="42"/>
    </row>
    <row r="14" spans="2:29" s="109" customFormat="1" ht="10.5" thickTop="1" thickBot="1">
      <c r="B14" s="42" t="s">
        <v>143</v>
      </c>
      <c r="C14" s="42">
        <v>2001</v>
      </c>
      <c r="D14" s="42">
        <v>2002</v>
      </c>
      <c r="E14" s="42">
        <v>2003</v>
      </c>
      <c r="F14" s="42">
        <v>2004</v>
      </c>
      <c r="G14" s="42">
        <v>2005</v>
      </c>
      <c r="H14" s="42">
        <v>2006</v>
      </c>
      <c r="I14" s="42">
        <v>2007</v>
      </c>
      <c r="J14" s="42">
        <v>2008</v>
      </c>
      <c r="K14" s="42">
        <v>2009</v>
      </c>
      <c r="L14" s="42">
        <v>2010</v>
      </c>
      <c r="M14" s="42">
        <v>2011</v>
      </c>
      <c r="N14" s="42">
        <v>2012</v>
      </c>
      <c r="P14" s="42" t="s">
        <v>143</v>
      </c>
      <c r="Q14" s="42">
        <v>2001</v>
      </c>
      <c r="R14" s="42">
        <v>2002</v>
      </c>
      <c r="S14" s="42">
        <v>2003</v>
      </c>
      <c r="T14" s="42">
        <v>2004</v>
      </c>
      <c r="U14" s="42">
        <v>2005</v>
      </c>
      <c r="V14" s="42">
        <v>2006</v>
      </c>
      <c r="W14" s="42">
        <v>2007</v>
      </c>
      <c r="X14" s="42">
        <v>2008</v>
      </c>
      <c r="Y14" s="42">
        <v>2009</v>
      </c>
      <c r="Z14" s="42">
        <v>2010</v>
      </c>
      <c r="AA14" s="42">
        <v>2011</v>
      </c>
      <c r="AB14" s="42">
        <v>2012</v>
      </c>
      <c r="AC14" s="93"/>
    </row>
    <row r="15" spans="2:29" s="109" customFormat="1" ht="10.5" customHeight="1" thickTop="1">
      <c r="B15" s="219" t="s">
        <v>39</v>
      </c>
      <c r="C15" s="219"/>
      <c r="D15" s="219">
        <f>+$D$3*'Inversiones '!$C$6</f>
        <v>0</v>
      </c>
      <c r="E15" s="219">
        <f>+$D$3*'Inversiones '!$C$6</f>
        <v>0</v>
      </c>
      <c r="F15" s="219">
        <f>+$D$3*'Inversiones '!$C$6</f>
        <v>0</v>
      </c>
      <c r="G15" s="219">
        <f>+$D$3*'Inversiones '!$C$6</f>
        <v>0</v>
      </c>
      <c r="H15" s="219">
        <f>+$D$3*'Inversiones '!$C$6</f>
        <v>0</v>
      </c>
      <c r="I15" s="219">
        <f>+$D$3*'Inversiones '!$C$6</f>
        <v>0</v>
      </c>
      <c r="J15" s="219">
        <f>+$D$3*'Inversiones '!$C$6</f>
        <v>0</v>
      </c>
      <c r="K15" s="219">
        <f>+$D$3*'Inversiones '!$C$6</f>
        <v>0</v>
      </c>
      <c r="L15" s="219">
        <f>+$D$3*'Inversiones '!$C$6</f>
        <v>0</v>
      </c>
      <c r="M15" s="219">
        <f>+$D$3*'Inversiones '!$C$6</f>
        <v>0</v>
      </c>
      <c r="N15" s="219">
        <f>+$D$3*'Inversiones '!$C$6</f>
        <v>0</v>
      </c>
      <c r="P15" s="219" t="s">
        <v>40</v>
      </c>
      <c r="Q15" s="219"/>
      <c r="R15" s="219">
        <f>+$H$3*'Inversiones '!$C$16</f>
        <v>92.557596059113308</v>
      </c>
      <c r="S15" s="219">
        <f>+$H$3*'Inversiones '!$C$16</f>
        <v>92.557596059113308</v>
      </c>
      <c r="T15" s="219">
        <f>+$H$3*'Inversiones '!$C$16</f>
        <v>92.557596059113308</v>
      </c>
      <c r="U15" s="219">
        <f>+$H$3*'Inversiones '!$C$16</f>
        <v>92.557596059113308</v>
      </c>
      <c r="V15" s="219">
        <f>+$H$3*'Inversiones '!$C$16</f>
        <v>92.557596059113308</v>
      </c>
      <c r="W15" s="219">
        <f>+$H$3*'Inversiones '!$C$16</f>
        <v>92.557596059113308</v>
      </c>
      <c r="X15" s="219">
        <f>+$H$3*'Inversiones '!$C$16</f>
        <v>92.557596059113308</v>
      </c>
      <c r="Y15" s="219">
        <f>+$H$3*'Inversiones '!$C$16</f>
        <v>92.557596059113308</v>
      </c>
      <c r="Z15" s="219">
        <f>+$H$3*'Inversiones '!$C$16</f>
        <v>92.557596059113308</v>
      </c>
      <c r="AA15" s="219">
        <f>+$H$3*'Inversiones '!$C$16</f>
        <v>92.557596059113308</v>
      </c>
      <c r="AB15" s="219">
        <f>+$H$3*'Inversiones '!$C$16</f>
        <v>92.557596059113308</v>
      </c>
      <c r="AC15" s="93"/>
    </row>
    <row r="16" spans="2:29" s="109" customFormat="1" ht="10.5" customHeight="1">
      <c r="B16" s="220" t="s">
        <v>41</v>
      </c>
      <c r="C16" s="220"/>
      <c r="D16" s="220"/>
      <c r="E16" s="220">
        <f>+'Inversiones '!$D$6*Depreciaciones!$D$3</f>
        <v>328.40000000000003</v>
      </c>
      <c r="F16" s="220">
        <f>+'Inversiones '!$D$6*Depreciaciones!$D$3</f>
        <v>328.40000000000003</v>
      </c>
      <c r="G16" s="220">
        <f>+'Inversiones '!$D$6*Depreciaciones!$D$3</f>
        <v>328.40000000000003</v>
      </c>
      <c r="H16" s="220">
        <f>+'Inversiones '!$D$6*Depreciaciones!$D$3</f>
        <v>328.40000000000003</v>
      </c>
      <c r="I16" s="220">
        <f>+'Inversiones '!$D$6*Depreciaciones!$D$3</f>
        <v>328.40000000000003</v>
      </c>
      <c r="J16" s="220">
        <f>+'Inversiones '!$D$6*Depreciaciones!$D$3</f>
        <v>328.40000000000003</v>
      </c>
      <c r="K16" s="220">
        <f>+'Inversiones '!$D$6*Depreciaciones!$D$3</f>
        <v>328.40000000000003</v>
      </c>
      <c r="L16" s="220">
        <f>+'Inversiones '!$D$6*Depreciaciones!$D$3</f>
        <v>328.40000000000003</v>
      </c>
      <c r="M16" s="220">
        <f>+'Inversiones '!$D$6*Depreciaciones!$D$3</f>
        <v>328.40000000000003</v>
      </c>
      <c r="N16" s="220">
        <f>+'Inversiones '!$D$6*Depreciaciones!$D$3</f>
        <v>328.40000000000003</v>
      </c>
      <c r="P16" s="220" t="s">
        <v>42</v>
      </c>
      <c r="Q16" s="220"/>
      <c r="R16" s="220"/>
      <c r="S16" s="220">
        <f>+$H$3*'Inversiones '!$D$16</f>
        <v>43.482758620689651</v>
      </c>
      <c r="T16" s="220">
        <f>+$H$3*'Inversiones '!$D$16</f>
        <v>43.482758620689651</v>
      </c>
      <c r="U16" s="220">
        <f>+$H$3*'Inversiones '!$D$16</f>
        <v>43.482758620689651</v>
      </c>
      <c r="V16" s="220">
        <f>+$H$3*'Inversiones '!$D$16</f>
        <v>43.482758620689651</v>
      </c>
      <c r="W16" s="220">
        <f>+$H$3*'Inversiones '!$D$16</f>
        <v>43.482758620689651</v>
      </c>
      <c r="X16" s="220">
        <f>+$H$3*'Inversiones '!$D$16</f>
        <v>43.482758620689651</v>
      </c>
      <c r="Y16" s="220">
        <f>+$H$3*'Inversiones '!$D$16</f>
        <v>43.482758620689651</v>
      </c>
      <c r="Z16" s="220">
        <f>+$H$3*'Inversiones '!$D$16</f>
        <v>43.482758620689651</v>
      </c>
      <c r="AA16" s="220">
        <f>+$H$3*'Inversiones '!$D$16</f>
        <v>43.482758620689651</v>
      </c>
      <c r="AB16" s="220">
        <f>+$H$3*'Inversiones '!$D$16</f>
        <v>43.482758620689651</v>
      </c>
      <c r="AC16" s="93"/>
    </row>
    <row r="17" spans="2:29" s="109" customFormat="1" ht="10.5" customHeight="1">
      <c r="B17" s="221" t="s">
        <v>43</v>
      </c>
      <c r="C17" s="221"/>
      <c r="D17" s="221"/>
      <c r="E17" s="221"/>
      <c r="F17" s="221">
        <f>+'Inversiones '!$E$6*Depreciaciones!$D$3</f>
        <v>5.9</v>
      </c>
      <c r="G17" s="221">
        <f>+'Inversiones '!$E$6*Depreciaciones!$D$3</f>
        <v>5.9</v>
      </c>
      <c r="H17" s="221">
        <f>+'Inversiones '!$E$6*Depreciaciones!$D$3</f>
        <v>5.9</v>
      </c>
      <c r="I17" s="221">
        <f>+'Inversiones '!$E$6*Depreciaciones!$D$3</f>
        <v>5.9</v>
      </c>
      <c r="J17" s="221">
        <f>+'Inversiones '!$E$6*Depreciaciones!$D$3</f>
        <v>5.9</v>
      </c>
      <c r="K17" s="221">
        <f>+'Inversiones '!$E$6*Depreciaciones!$D$3</f>
        <v>5.9</v>
      </c>
      <c r="L17" s="221">
        <f>+'Inversiones '!$E$6*Depreciaciones!$D$3</f>
        <v>5.9</v>
      </c>
      <c r="M17" s="221">
        <f>+'Inversiones '!$E$6*Depreciaciones!$D$3</f>
        <v>5.9</v>
      </c>
      <c r="N17" s="221">
        <f>+'Inversiones '!$E$6*Depreciaciones!$D$3</f>
        <v>5.9</v>
      </c>
      <c r="P17" s="221" t="s">
        <v>44</v>
      </c>
      <c r="Q17" s="221"/>
      <c r="R17" s="221"/>
      <c r="S17" s="221"/>
      <c r="T17" s="221">
        <f>+$H$3*'Inversiones '!$E$16</f>
        <v>8</v>
      </c>
      <c r="U17" s="221">
        <f>+$H$3*'Inversiones '!$E$16</f>
        <v>8</v>
      </c>
      <c r="V17" s="221">
        <f>+$H$3*'Inversiones '!$E$16</f>
        <v>8</v>
      </c>
      <c r="W17" s="221">
        <f>+$H$3*'Inversiones '!$E$16</f>
        <v>8</v>
      </c>
      <c r="X17" s="221">
        <f>+$H$3*'Inversiones '!$E$16</f>
        <v>8</v>
      </c>
      <c r="Y17" s="221">
        <f>+$H$3*'Inversiones '!$E$16</f>
        <v>8</v>
      </c>
      <c r="Z17" s="221">
        <f>+$H$3*'Inversiones '!$E$16</f>
        <v>8</v>
      </c>
      <c r="AA17" s="221">
        <f>+$H$3*'Inversiones '!$E$16</f>
        <v>8</v>
      </c>
      <c r="AB17" s="221">
        <f>+$H$3*'Inversiones '!$E$16</f>
        <v>8</v>
      </c>
      <c r="AC17" s="93"/>
    </row>
    <row r="18" spans="2:29" s="109" customFormat="1" ht="10.5" customHeight="1">
      <c r="B18" s="222" t="s">
        <v>45</v>
      </c>
      <c r="C18" s="222"/>
      <c r="D18" s="222"/>
      <c r="E18" s="222"/>
      <c r="F18" s="222"/>
      <c r="G18" s="222">
        <f>+'Inversiones '!$F$6*Depreciaciones!$D$3</f>
        <v>8.7000000000000011</v>
      </c>
      <c r="H18" s="222">
        <f>+'Inversiones '!$F$6*Depreciaciones!$D$3</f>
        <v>8.7000000000000011</v>
      </c>
      <c r="I18" s="222">
        <f>+'Inversiones '!$F$6*Depreciaciones!$D$3</f>
        <v>8.7000000000000011</v>
      </c>
      <c r="J18" s="222">
        <f>+'Inversiones '!$F$6*Depreciaciones!$D$3</f>
        <v>8.7000000000000011</v>
      </c>
      <c r="K18" s="222">
        <f>+'Inversiones '!$F$6*Depreciaciones!$D$3</f>
        <v>8.7000000000000011</v>
      </c>
      <c r="L18" s="222">
        <f>+'Inversiones '!$F$6*Depreciaciones!$D$3</f>
        <v>8.7000000000000011</v>
      </c>
      <c r="M18" s="222">
        <f>+'Inversiones '!$F$6*Depreciaciones!$D$3</f>
        <v>8.7000000000000011</v>
      </c>
      <c r="N18" s="222">
        <f>+'Inversiones '!$F$6*Depreciaciones!$D$3</f>
        <v>8.7000000000000011</v>
      </c>
      <c r="P18" s="222" t="s">
        <v>46</v>
      </c>
      <c r="Q18" s="222"/>
      <c r="R18" s="222"/>
      <c r="S18" s="222"/>
      <c r="T18" s="222"/>
      <c r="U18" s="222">
        <f>+$H$3*'Inversiones '!$F$16</f>
        <v>47.96551724137931</v>
      </c>
      <c r="V18" s="222">
        <f>+$H$3*'Inversiones '!$F$16</f>
        <v>47.96551724137931</v>
      </c>
      <c r="W18" s="222">
        <f>+$H$3*'Inversiones '!$F$16</f>
        <v>47.96551724137931</v>
      </c>
      <c r="X18" s="222">
        <f>+$H$3*'Inversiones '!$F$16</f>
        <v>47.96551724137931</v>
      </c>
      <c r="Y18" s="222">
        <f>+$H$3*'Inversiones '!$F$16</f>
        <v>47.96551724137931</v>
      </c>
      <c r="Z18" s="222">
        <f>+$H$3*'Inversiones '!$F$16</f>
        <v>47.96551724137931</v>
      </c>
      <c r="AA18" s="222">
        <f>+$H$3*'Inversiones '!$F$16</f>
        <v>47.96551724137931</v>
      </c>
      <c r="AB18" s="222">
        <f>+$H$3*'Inversiones '!$F$16</f>
        <v>47.96551724137931</v>
      </c>
      <c r="AC18" s="93"/>
    </row>
    <row r="19" spans="2:29" s="109" customFormat="1" ht="10.5" customHeight="1">
      <c r="B19" s="219" t="s">
        <v>47</v>
      </c>
      <c r="C19" s="219"/>
      <c r="D19" s="219"/>
      <c r="E19" s="219"/>
      <c r="F19" s="219"/>
      <c r="G19" s="219"/>
      <c r="H19" s="219">
        <f>+'Inversiones '!$G$6*Depreciaciones!$D$3</f>
        <v>0</v>
      </c>
      <c r="I19" s="219">
        <f>+'Inversiones '!$G$6*Depreciaciones!$D$3</f>
        <v>0</v>
      </c>
      <c r="J19" s="219">
        <f>+'Inversiones '!$G$6*Depreciaciones!$D$3</f>
        <v>0</v>
      </c>
      <c r="K19" s="219">
        <f>+'Inversiones '!$G$6*Depreciaciones!$D$3</f>
        <v>0</v>
      </c>
      <c r="L19" s="219">
        <f>+'Inversiones '!$G$6*Depreciaciones!$D$3</f>
        <v>0</v>
      </c>
      <c r="M19" s="219">
        <f>+'Inversiones '!$G$6*Depreciaciones!$D$3</f>
        <v>0</v>
      </c>
      <c r="N19" s="219">
        <f>+'Inversiones '!$G$6*Depreciaciones!$D$3</f>
        <v>0</v>
      </c>
      <c r="P19" s="219" t="s">
        <v>48</v>
      </c>
      <c r="Q19" s="219"/>
      <c r="R19" s="219"/>
      <c r="S19" s="219"/>
      <c r="T19" s="219"/>
      <c r="U19" s="219"/>
      <c r="V19" s="219">
        <f>+$H$3*'Inversiones '!$G$16</f>
        <v>5109.0344827586205</v>
      </c>
      <c r="W19" s="219">
        <f>+$H$3*'Inversiones '!$G$16</f>
        <v>5109.0344827586205</v>
      </c>
      <c r="X19" s="219">
        <f>+$H$3*'Inversiones '!$G$16</f>
        <v>5109.0344827586205</v>
      </c>
      <c r="Y19" s="219">
        <f>+$H$3*'Inversiones '!$G$16</f>
        <v>5109.0344827586205</v>
      </c>
      <c r="Z19" s="219">
        <f>+$H$3*'Inversiones '!$G$16</f>
        <v>5109.0344827586205</v>
      </c>
      <c r="AA19" s="219">
        <f>+$H$3*'Inversiones '!$G$16</f>
        <v>5109.0344827586205</v>
      </c>
      <c r="AB19" s="219">
        <f>+$H$3*'Inversiones '!$G$16</f>
        <v>5109.0344827586205</v>
      </c>
      <c r="AC19" s="93"/>
    </row>
    <row r="20" spans="2:29" s="109" customFormat="1" ht="10.5" customHeight="1">
      <c r="B20" s="220" t="s">
        <v>49</v>
      </c>
      <c r="C20" s="220"/>
      <c r="D20" s="220"/>
      <c r="E20" s="220"/>
      <c r="F20" s="220"/>
      <c r="G20" s="220"/>
      <c r="H20" s="220"/>
      <c r="I20" s="220">
        <f>+'Inversiones '!$H$6*Depreciaciones!$D$3</f>
        <v>22.8</v>
      </c>
      <c r="J20" s="220">
        <f>+'Inversiones '!$H$6*Depreciaciones!$D$3</f>
        <v>22.8</v>
      </c>
      <c r="K20" s="220">
        <f>+'Inversiones '!$H$6*Depreciaciones!$D$3</f>
        <v>22.8</v>
      </c>
      <c r="L20" s="220">
        <f>+'Inversiones '!$H$6*Depreciaciones!$D$3</f>
        <v>22.8</v>
      </c>
      <c r="M20" s="220">
        <f>+'Inversiones '!$H$6*Depreciaciones!$D$3</f>
        <v>22.8</v>
      </c>
      <c r="N20" s="220">
        <f>+'Inversiones '!$H$6*Depreciaciones!$D$3</f>
        <v>22.8</v>
      </c>
      <c r="P20" s="220" t="s">
        <v>50</v>
      </c>
      <c r="Q20" s="220"/>
      <c r="R20" s="220"/>
      <c r="S20" s="220"/>
      <c r="T20" s="220"/>
      <c r="U20" s="220"/>
      <c r="V20" s="220"/>
      <c r="W20" s="220">
        <f>+$H$3*'Inversiones '!$H$16</f>
        <v>635.34482758620686</v>
      </c>
      <c r="X20" s="220">
        <f>+$H$3*'Inversiones '!$H$16</f>
        <v>635.34482758620686</v>
      </c>
      <c r="Y20" s="220">
        <f>+$H$3*'Inversiones '!$H$16</f>
        <v>635.34482758620686</v>
      </c>
      <c r="Z20" s="220">
        <f>+$H$3*'Inversiones '!$H$16</f>
        <v>635.34482758620686</v>
      </c>
      <c r="AA20" s="220">
        <f>+$H$3*'Inversiones '!$H$16</f>
        <v>635.34482758620686</v>
      </c>
      <c r="AB20" s="220">
        <f>+$H$3*'Inversiones '!$H$16</f>
        <v>635.34482758620686</v>
      </c>
      <c r="AC20" s="93"/>
    </row>
    <row r="21" spans="2:29" s="109" customFormat="1" ht="10.5" customHeight="1">
      <c r="B21" s="221" t="s">
        <v>51</v>
      </c>
      <c r="C21" s="221"/>
      <c r="D21" s="221"/>
      <c r="E21" s="221"/>
      <c r="F21" s="221"/>
      <c r="G21" s="221"/>
      <c r="H21" s="221"/>
      <c r="I21" s="221"/>
      <c r="J21" s="221">
        <f>+'Inversiones '!$I$6*Depreciaciones!$D$3</f>
        <v>0.4</v>
      </c>
      <c r="K21" s="221">
        <f>+'Inversiones '!$I$6*Depreciaciones!$D$3</f>
        <v>0.4</v>
      </c>
      <c r="L21" s="221">
        <f>+'Inversiones '!$I$6*Depreciaciones!$D$3</f>
        <v>0.4</v>
      </c>
      <c r="M21" s="221">
        <f>+'Inversiones '!$I$6*Depreciaciones!$D$3</f>
        <v>0.4</v>
      </c>
      <c r="N21" s="221">
        <f>+'Inversiones '!$I$6*Depreciaciones!$D$3</f>
        <v>0.4</v>
      </c>
      <c r="P21" s="221" t="s">
        <v>52</v>
      </c>
      <c r="Q21" s="221"/>
      <c r="R21" s="221"/>
      <c r="S21" s="221"/>
      <c r="T21" s="221"/>
      <c r="U21" s="221"/>
      <c r="V21" s="221"/>
      <c r="W21" s="221"/>
      <c r="X21" s="221">
        <f>+$H$3*'Inversiones '!$I$16</f>
        <v>174.72413793103448</v>
      </c>
      <c r="Y21" s="221">
        <f>+$H$3*'Inversiones '!$I$16</f>
        <v>174.72413793103448</v>
      </c>
      <c r="Z21" s="221">
        <f>+$H$3*'Inversiones '!$I$16</f>
        <v>174.72413793103448</v>
      </c>
      <c r="AA21" s="221">
        <f>+$H$3*'Inversiones '!$I$16</f>
        <v>174.72413793103448</v>
      </c>
      <c r="AB21" s="221">
        <f>+$H$3*'Inversiones '!$I$16</f>
        <v>174.72413793103448</v>
      </c>
      <c r="AC21" s="93"/>
    </row>
    <row r="22" spans="2:29" s="109" customFormat="1" ht="10.5" customHeight="1">
      <c r="B22" s="222" t="s">
        <v>53</v>
      </c>
      <c r="C22" s="222"/>
      <c r="D22" s="222"/>
      <c r="E22" s="222"/>
      <c r="F22" s="222"/>
      <c r="G22" s="222"/>
      <c r="H22" s="222"/>
      <c r="I22" s="222"/>
      <c r="J22" s="222"/>
      <c r="K22" s="222">
        <f>+'Inversiones '!$J$6*Depreciaciones!$D$3</f>
        <v>-39.6</v>
      </c>
      <c r="L22" s="222">
        <f>+'Inversiones '!$J$6*Depreciaciones!$D$3</f>
        <v>-39.6</v>
      </c>
      <c r="M22" s="222">
        <f>+'Inversiones '!$J$6*Depreciaciones!$D$3</f>
        <v>-39.6</v>
      </c>
      <c r="N22" s="222">
        <f>+'Inversiones '!$J$6*Depreciaciones!$D$3</f>
        <v>-39.6</v>
      </c>
      <c r="P22" s="222" t="s">
        <v>54</v>
      </c>
      <c r="Q22" s="222"/>
      <c r="R22" s="222"/>
      <c r="S22" s="222"/>
      <c r="T22" s="222"/>
      <c r="U22" s="222"/>
      <c r="V22" s="222"/>
      <c r="W22" s="222"/>
      <c r="X22" s="222"/>
      <c r="Y22" s="222">
        <f>+$H$3*'Inversiones '!$J$16</f>
        <v>8.0344827586206904</v>
      </c>
      <c r="Z22" s="222">
        <f>+$H$3*'Inversiones '!$J$16</f>
        <v>8.0344827586206904</v>
      </c>
      <c r="AA22" s="222">
        <f>+$H$3*'Inversiones '!$J$16</f>
        <v>8.0344827586206904</v>
      </c>
      <c r="AB22" s="222">
        <f>+$H$3*'Inversiones '!$J$16</f>
        <v>8.0344827586206904</v>
      </c>
      <c r="AC22" s="93"/>
    </row>
    <row r="23" spans="2:29" s="109" customFormat="1" ht="10.5" customHeight="1">
      <c r="B23" s="219" t="s">
        <v>55</v>
      </c>
      <c r="C23" s="219"/>
      <c r="D23" s="219"/>
      <c r="E23" s="219"/>
      <c r="F23" s="219"/>
      <c r="G23" s="219"/>
      <c r="H23" s="219"/>
      <c r="I23" s="219"/>
      <c r="J23" s="219"/>
      <c r="K23" s="219"/>
      <c r="L23" s="219">
        <f>+'Inversiones '!$K$6*Depreciaciones!$D$3</f>
        <v>12</v>
      </c>
      <c r="M23" s="219">
        <f>+'Inversiones '!$K$6*Depreciaciones!$D$3</f>
        <v>12</v>
      </c>
      <c r="N23" s="219">
        <f>+'Inversiones '!$K$6*Depreciaciones!$D$3</f>
        <v>12</v>
      </c>
      <c r="P23" s="219" t="s">
        <v>56</v>
      </c>
      <c r="Q23" s="219"/>
      <c r="R23" s="219"/>
      <c r="S23" s="219"/>
      <c r="T23" s="219"/>
      <c r="U23" s="219"/>
      <c r="V23" s="219"/>
      <c r="W23" s="219"/>
      <c r="X23" s="219"/>
      <c r="Y23" s="219"/>
      <c r="Z23" s="219">
        <f>+$H$3*'Inversiones '!$K$16</f>
        <v>1868.9310344827586</v>
      </c>
      <c r="AA23" s="219">
        <f>+$H$3*'Inversiones '!$K$16</f>
        <v>1868.9310344827586</v>
      </c>
      <c r="AB23" s="219">
        <f>+$H$3*'Inversiones '!$K$16</f>
        <v>1868.9310344827586</v>
      </c>
      <c r="AC23" s="93"/>
    </row>
    <row r="24" spans="2:29" s="109" customFormat="1" ht="10.5" customHeight="1">
      <c r="B24" s="220" t="s">
        <v>57</v>
      </c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>
        <f>+'Inversiones '!$L$6*Depreciaciones!$D$3</f>
        <v>12.9</v>
      </c>
      <c r="N24" s="220">
        <f>+'Inversiones '!$L$6*Depreciaciones!$D$3</f>
        <v>12.9</v>
      </c>
      <c r="P24" s="220" t="s">
        <v>58</v>
      </c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>
        <f>+$H$3*'Inversiones '!$L$16</f>
        <v>163.10344827586206</v>
      </c>
      <c r="AB24" s="220">
        <f>+$H$3*'Inversiones '!$L$16</f>
        <v>163.10344827586206</v>
      </c>
      <c r="AC24" s="93"/>
    </row>
    <row r="25" spans="2:29" s="109" customFormat="1" ht="10.5" customHeight="1">
      <c r="B25" s="221" t="s">
        <v>59</v>
      </c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>
        <f>+'Inversiones '!M6*Depreciaciones!D3</f>
        <v>20.8</v>
      </c>
      <c r="P25" s="221" t="s">
        <v>60</v>
      </c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>
        <f>+$H$3*'Inversiones '!$M$16</f>
        <v>104.72413793103448</v>
      </c>
      <c r="AC25" s="93"/>
    </row>
    <row r="26" spans="2:29" s="109" customFormat="1" ht="14.25" customHeight="1">
      <c r="B26" s="110"/>
      <c r="C26" s="105"/>
      <c r="D26" s="105"/>
      <c r="E26" s="332">
        <f>+SUM(E15:E25)</f>
        <v>328.40000000000003</v>
      </c>
      <c r="F26" s="332">
        <f t="shared" ref="F26:N26" si="0">+SUM(F15:F25)</f>
        <v>334.3</v>
      </c>
      <c r="G26" s="332">
        <f t="shared" si="0"/>
        <v>343</v>
      </c>
      <c r="H26" s="332">
        <f t="shared" si="0"/>
        <v>343</v>
      </c>
      <c r="I26" s="332">
        <f t="shared" si="0"/>
        <v>365.8</v>
      </c>
      <c r="J26" s="332">
        <f t="shared" si="0"/>
        <v>366.2</v>
      </c>
      <c r="K26" s="332">
        <f t="shared" si="0"/>
        <v>326.59999999999997</v>
      </c>
      <c r="L26" s="332">
        <f t="shared" si="0"/>
        <v>338.59999999999997</v>
      </c>
      <c r="M26" s="332">
        <f t="shared" si="0"/>
        <v>351.49999999999994</v>
      </c>
      <c r="N26" s="332">
        <f t="shared" si="0"/>
        <v>372.29999999999995</v>
      </c>
      <c r="P26" s="110"/>
      <c r="Q26" s="105"/>
      <c r="R26" s="332">
        <f>+SUM(R15:R25)</f>
        <v>92.557596059113308</v>
      </c>
      <c r="S26" s="332">
        <f t="shared" ref="S26" si="1">+SUM(S15:S25)</f>
        <v>136.04035467980296</v>
      </c>
      <c r="T26" s="332">
        <f t="shared" ref="T26" si="2">+SUM(T15:T25)</f>
        <v>144.04035467980296</v>
      </c>
      <c r="U26" s="332">
        <f t="shared" ref="U26" si="3">+SUM(U15:U25)</f>
        <v>192.00587192118226</v>
      </c>
      <c r="V26" s="332">
        <f t="shared" ref="V26" si="4">+SUM(V15:V25)</f>
        <v>5301.0403546798025</v>
      </c>
      <c r="W26" s="332">
        <f t="shared" ref="W26" si="5">+SUM(W15:W25)</f>
        <v>5936.385182266009</v>
      </c>
      <c r="X26" s="332">
        <f t="shared" ref="X26" si="6">+SUM(X15:X25)</f>
        <v>6111.1093201970434</v>
      </c>
      <c r="Y26" s="332">
        <f t="shared" ref="Y26" si="7">+SUM(Y15:Y25)</f>
        <v>6119.1438029556639</v>
      </c>
      <c r="Z26" s="332">
        <f t="shared" ref="Z26" si="8">+SUM(Z15:Z25)</f>
        <v>7988.074837438422</v>
      </c>
      <c r="AA26" s="332">
        <f t="shared" ref="AA26:AB26" si="9">+SUM(AA15:AA25)</f>
        <v>8151.1782857142844</v>
      </c>
      <c r="AB26" s="332">
        <f t="shared" si="9"/>
        <v>8255.9024236453188</v>
      </c>
      <c r="AC26" s="93"/>
    </row>
    <row r="27" spans="2:29" s="109" customFormat="1" ht="14.25" customHeight="1" thickBot="1">
      <c r="B27" s="226" t="s">
        <v>61</v>
      </c>
      <c r="C27" s="226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11"/>
      <c r="P27" s="99" t="s">
        <v>61</v>
      </c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11"/>
    </row>
    <row r="28" spans="2:29" s="109" customFormat="1" ht="14.25" customHeight="1" thickTop="1" thickBot="1">
      <c r="B28" s="42" t="s">
        <v>143</v>
      </c>
      <c r="C28" s="42">
        <v>2001</v>
      </c>
      <c r="D28" s="42">
        <v>2002</v>
      </c>
      <c r="E28" s="42">
        <v>2003</v>
      </c>
      <c r="F28" s="42">
        <v>2004</v>
      </c>
      <c r="G28" s="42">
        <v>2005</v>
      </c>
      <c r="H28" s="42">
        <v>2006</v>
      </c>
      <c r="I28" s="42">
        <v>2007</v>
      </c>
      <c r="J28" s="42">
        <v>2008</v>
      </c>
      <c r="K28" s="42">
        <v>2009</v>
      </c>
      <c r="L28" s="42">
        <v>2010</v>
      </c>
      <c r="M28" s="42">
        <v>2011</v>
      </c>
      <c r="N28" s="42">
        <v>2012</v>
      </c>
      <c r="P28" s="42" t="s">
        <v>143</v>
      </c>
      <c r="Q28" s="42">
        <v>2001</v>
      </c>
      <c r="R28" s="42">
        <v>2002</v>
      </c>
      <c r="S28" s="42">
        <v>2003</v>
      </c>
      <c r="T28" s="42">
        <v>2004</v>
      </c>
      <c r="U28" s="42">
        <v>2005</v>
      </c>
      <c r="V28" s="42">
        <v>2006</v>
      </c>
      <c r="W28" s="42">
        <v>2007</v>
      </c>
      <c r="X28" s="42">
        <v>2008</v>
      </c>
      <c r="Y28" s="42">
        <v>2009</v>
      </c>
      <c r="Z28" s="42">
        <v>2010</v>
      </c>
      <c r="AA28" s="42">
        <v>2011</v>
      </c>
      <c r="AB28" s="42">
        <v>2012</v>
      </c>
    </row>
    <row r="29" spans="2:29" s="109" customFormat="1" ht="12" customHeight="1" thickTop="1">
      <c r="B29" s="219" t="s">
        <v>39</v>
      </c>
      <c r="C29" s="219"/>
      <c r="D29" s="219">
        <f>+'Inversiones '!C6-Depreciaciones!D15</f>
        <v>0</v>
      </c>
      <c r="E29" s="219">
        <f>+E15-D29</f>
        <v>0</v>
      </c>
      <c r="F29" s="219">
        <f t="shared" ref="F29:N29" si="10">+F15-E29</f>
        <v>0</v>
      </c>
      <c r="G29" s="219">
        <f t="shared" si="10"/>
        <v>0</v>
      </c>
      <c r="H29" s="219">
        <f t="shared" si="10"/>
        <v>0</v>
      </c>
      <c r="I29" s="219">
        <f t="shared" si="10"/>
        <v>0</v>
      </c>
      <c r="J29" s="219">
        <f t="shared" si="10"/>
        <v>0</v>
      </c>
      <c r="K29" s="219">
        <f t="shared" si="10"/>
        <v>0</v>
      </c>
      <c r="L29" s="219">
        <f t="shared" si="10"/>
        <v>0</v>
      </c>
      <c r="M29" s="219">
        <f t="shared" si="10"/>
        <v>0</v>
      </c>
      <c r="N29" s="219">
        <f t="shared" si="10"/>
        <v>0</v>
      </c>
      <c r="P29" s="219" t="s">
        <v>40</v>
      </c>
      <c r="Q29" s="219"/>
      <c r="R29" s="219">
        <f>+'Inversiones '!C16-Depreciaciones!R15</f>
        <v>2591.6126896551727</v>
      </c>
      <c r="S29" s="219">
        <f>+R29-S15</f>
        <v>2499.0550935960596</v>
      </c>
      <c r="T29" s="219">
        <f t="shared" ref="T29:AB33" si="11">+S29-T15</f>
        <v>2406.4974975369464</v>
      </c>
      <c r="U29" s="219">
        <f t="shared" si="11"/>
        <v>2313.9399014778332</v>
      </c>
      <c r="V29" s="219">
        <f t="shared" si="11"/>
        <v>2221.3823054187201</v>
      </c>
      <c r="W29" s="219">
        <f t="shared" si="11"/>
        <v>2128.8247093596069</v>
      </c>
      <c r="X29" s="219">
        <f t="shared" si="11"/>
        <v>2036.2671133004935</v>
      </c>
      <c r="Y29" s="219">
        <f t="shared" si="11"/>
        <v>1943.7095172413801</v>
      </c>
      <c r="Z29" s="219">
        <f t="shared" si="11"/>
        <v>1851.1519211822667</v>
      </c>
      <c r="AA29" s="219">
        <f t="shared" si="11"/>
        <v>1758.5943251231533</v>
      </c>
      <c r="AB29" s="219">
        <f t="shared" si="11"/>
        <v>1666.0367290640399</v>
      </c>
    </row>
    <row r="30" spans="2:29" s="109" customFormat="1" ht="12" customHeight="1">
      <c r="B30" s="220" t="s">
        <v>41</v>
      </c>
      <c r="C30" s="220"/>
      <c r="D30" s="220"/>
      <c r="E30" s="220">
        <f>+'Inversiones '!D6-Depreciaciones!E16</f>
        <v>2955.6</v>
      </c>
      <c r="F30" s="220">
        <f>+E30-F16</f>
        <v>2627.2</v>
      </c>
      <c r="G30" s="220">
        <f t="shared" ref="G30:N30" si="12">+F30-G16</f>
        <v>2298.7999999999997</v>
      </c>
      <c r="H30" s="220">
        <f t="shared" si="12"/>
        <v>1970.3999999999996</v>
      </c>
      <c r="I30" s="220">
        <f t="shared" si="12"/>
        <v>1641.9999999999995</v>
      </c>
      <c r="J30" s="220">
        <f t="shared" si="12"/>
        <v>1313.5999999999995</v>
      </c>
      <c r="K30" s="220">
        <f t="shared" si="12"/>
        <v>985.19999999999936</v>
      </c>
      <c r="L30" s="220">
        <f t="shared" si="12"/>
        <v>656.79999999999927</v>
      </c>
      <c r="M30" s="220">
        <f t="shared" si="12"/>
        <v>328.39999999999924</v>
      </c>
      <c r="N30" s="220">
        <f t="shared" si="12"/>
        <v>-7.9580786405131221E-13</v>
      </c>
      <c r="P30" s="220" t="s">
        <v>42</v>
      </c>
      <c r="Q30" s="220"/>
      <c r="R30" s="220"/>
      <c r="S30" s="220">
        <f>+'Inversiones '!D16-Depreciaciones!S16</f>
        <v>1217.5172413793102</v>
      </c>
      <c r="T30" s="220">
        <f t="shared" si="11"/>
        <v>1174.0344827586205</v>
      </c>
      <c r="U30" s="220">
        <f t="shared" si="11"/>
        <v>1130.5517241379307</v>
      </c>
      <c r="V30" s="220">
        <f t="shared" si="11"/>
        <v>1087.0689655172409</v>
      </c>
      <c r="W30" s="220">
        <f t="shared" si="11"/>
        <v>1043.5862068965512</v>
      </c>
      <c r="X30" s="220">
        <f t="shared" si="11"/>
        <v>1000.1034482758615</v>
      </c>
      <c r="Y30" s="220">
        <f t="shared" si="11"/>
        <v>956.62068965517187</v>
      </c>
      <c r="Z30" s="220">
        <f t="shared" si="11"/>
        <v>913.13793103448222</v>
      </c>
      <c r="AA30" s="220">
        <f t="shared" si="11"/>
        <v>869.65517241379257</v>
      </c>
      <c r="AB30" s="220">
        <f t="shared" si="11"/>
        <v>826.17241379310292</v>
      </c>
    </row>
    <row r="31" spans="2:29" s="109" customFormat="1" ht="12" customHeight="1">
      <c r="B31" s="221" t="s">
        <v>43</v>
      </c>
      <c r="C31" s="221"/>
      <c r="D31" s="221"/>
      <c r="E31" s="221"/>
      <c r="F31" s="221">
        <f>+'Inversiones '!E6-Depreciaciones!F17</f>
        <v>53.1</v>
      </c>
      <c r="G31" s="221">
        <f>+F31-G17</f>
        <v>47.2</v>
      </c>
      <c r="H31" s="221">
        <f t="shared" ref="H31:N31" si="13">+G31-H17</f>
        <v>41.300000000000004</v>
      </c>
      <c r="I31" s="221">
        <f t="shared" si="13"/>
        <v>35.400000000000006</v>
      </c>
      <c r="J31" s="221">
        <f t="shared" si="13"/>
        <v>29.500000000000007</v>
      </c>
      <c r="K31" s="221">
        <f t="shared" si="13"/>
        <v>23.600000000000009</v>
      </c>
      <c r="L31" s="221">
        <f t="shared" si="13"/>
        <v>17.70000000000001</v>
      </c>
      <c r="M31" s="221">
        <f t="shared" si="13"/>
        <v>11.80000000000001</v>
      </c>
      <c r="N31" s="221">
        <f t="shared" si="13"/>
        <v>5.9000000000000092</v>
      </c>
      <c r="P31" s="221" t="s">
        <v>44</v>
      </c>
      <c r="Q31" s="221"/>
      <c r="R31" s="221"/>
      <c r="S31" s="221"/>
      <c r="T31" s="221">
        <f>+'Inversiones '!E16-Depreciaciones!T17</f>
        <v>224</v>
      </c>
      <c r="U31" s="221">
        <f t="shared" si="11"/>
        <v>216</v>
      </c>
      <c r="V31" s="221">
        <f t="shared" si="11"/>
        <v>208</v>
      </c>
      <c r="W31" s="221">
        <f t="shared" si="11"/>
        <v>200</v>
      </c>
      <c r="X31" s="221">
        <f t="shared" si="11"/>
        <v>192</v>
      </c>
      <c r="Y31" s="221">
        <f t="shared" si="11"/>
        <v>184</v>
      </c>
      <c r="Z31" s="221">
        <f t="shared" si="11"/>
        <v>176</v>
      </c>
      <c r="AA31" s="221">
        <f t="shared" si="11"/>
        <v>168</v>
      </c>
      <c r="AB31" s="221">
        <f t="shared" si="11"/>
        <v>160</v>
      </c>
    </row>
    <row r="32" spans="2:29" s="109" customFormat="1" ht="12" customHeight="1">
      <c r="B32" s="222" t="s">
        <v>45</v>
      </c>
      <c r="C32" s="222"/>
      <c r="D32" s="222"/>
      <c r="E32" s="222"/>
      <c r="F32" s="222"/>
      <c r="G32" s="222">
        <f>+'Inversiones '!F6-Depreciaciones!G18</f>
        <v>78.3</v>
      </c>
      <c r="H32" s="222">
        <f>+G32-H18</f>
        <v>69.599999999999994</v>
      </c>
      <c r="I32" s="222">
        <f t="shared" ref="I32:N32" si="14">+H32-I18</f>
        <v>60.899999999999991</v>
      </c>
      <c r="J32" s="222">
        <f t="shared" si="14"/>
        <v>52.199999999999989</v>
      </c>
      <c r="K32" s="222">
        <f t="shared" si="14"/>
        <v>43.499999999999986</v>
      </c>
      <c r="L32" s="222">
        <f t="shared" si="14"/>
        <v>34.799999999999983</v>
      </c>
      <c r="M32" s="222">
        <f>+L32-M18</f>
        <v>26.09999999999998</v>
      </c>
      <c r="N32" s="222">
        <f t="shared" si="14"/>
        <v>17.399999999999977</v>
      </c>
      <c r="P32" s="222" t="s">
        <v>46</v>
      </c>
      <c r="Q32" s="222"/>
      <c r="R32" s="222"/>
      <c r="S32" s="222"/>
      <c r="T32" s="222"/>
      <c r="U32" s="222">
        <f>+'Inversiones '!F16-Depreciaciones!U18</f>
        <v>1343.0344827586207</v>
      </c>
      <c r="V32" s="222">
        <f t="shared" si="11"/>
        <v>1295.0689655172414</v>
      </c>
      <c r="W32" s="222">
        <f t="shared" si="11"/>
        <v>1247.1034482758621</v>
      </c>
      <c r="X32" s="222">
        <f t="shared" si="11"/>
        <v>1199.1379310344828</v>
      </c>
      <c r="Y32" s="222">
        <f t="shared" si="11"/>
        <v>1151.1724137931035</v>
      </c>
      <c r="Z32" s="222">
        <f t="shared" si="11"/>
        <v>1103.2068965517242</v>
      </c>
      <c r="AA32" s="222">
        <f t="shared" si="11"/>
        <v>1055.2413793103449</v>
      </c>
      <c r="AB32" s="222">
        <f t="shared" si="11"/>
        <v>1007.2758620689656</v>
      </c>
    </row>
    <row r="33" spans="2:28" s="109" customFormat="1" ht="12" customHeight="1">
      <c r="B33" s="219" t="s">
        <v>47</v>
      </c>
      <c r="C33" s="219"/>
      <c r="D33" s="219"/>
      <c r="E33" s="219"/>
      <c r="F33" s="219"/>
      <c r="G33" s="219"/>
      <c r="H33" s="219">
        <f>+'Inversiones '!G6-Depreciaciones!H19</f>
        <v>0</v>
      </c>
      <c r="I33" s="219">
        <f>+H33-I19</f>
        <v>0</v>
      </c>
      <c r="J33" s="219">
        <f t="shared" ref="J33:N33" si="15">+I33-J19</f>
        <v>0</v>
      </c>
      <c r="K33" s="219">
        <f t="shared" si="15"/>
        <v>0</v>
      </c>
      <c r="L33" s="219">
        <f t="shared" si="15"/>
        <v>0</v>
      </c>
      <c r="M33" s="219">
        <f t="shared" si="15"/>
        <v>0</v>
      </c>
      <c r="N33" s="219">
        <f t="shared" si="15"/>
        <v>0</v>
      </c>
      <c r="P33" s="219" t="s">
        <v>48</v>
      </c>
      <c r="Q33" s="219"/>
      <c r="R33" s="219"/>
      <c r="S33" s="219"/>
      <c r="T33" s="219"/>
      <c r="U33" s="219"/>
      <c r="V33" s="219">
        <f>+'Inversiones '!G16-Depreciaciones!V19</f>
        <v>143052.96551724139</v>
      </c>
      <c r="W33" s="219">
        <f t="shared" si="11"/>
        <v>137943.93103448278</v>
      </c>
      <c r="X33" s="219">
        <f t="shared" si="11"/>
        <v>132834.89655172417</v>
      </c>
      <c r="Y33" s="219">
        <f t="shared" si="11"/>
        <v>127725.86206896555</v>
      </c>
      <c r="Z33" s="219">
        <f t="shared" si="11"/>
        <v>122616.82758620693</v>
      </c>
      <c r="AA33" s="219">
        <f t="shared" si="11"/>
        <v>117507.7931034483</v>
      </c>
      <c r="AB33" s="219">
        <f t="shared" si="11"/>
        <v>112398.75862068968</v>
      </c>
    </row>
    <row r="34" spans="2:28" s="109" customFormat="1" ht="12" customHeight="1">
      <c r="B34" s="220" t="s">
        <v>49</v>
      </c>
      <c r="C34" s="220"/>
      <c r="D34" s="220"/>
      <c r="E34" s="220"/>
      <c r="F34" s="220"/>
      <c r="G34" s="220"/>
      <c r="H34" s="220"/>
      <c r="I34" s="220">
        <f>+'Inversiones '!H6-Depreciaciones!I20</f>
        <v>205.2</v>
      </c>
      <c r="J34" s="220">
        <f>+I34-J20</f>
        <v>182.39999999999998</v>
      </c>
      <c r="K34" s="220">
        <f t="shared" ref="K34:N34" si="16">+J34-K20</f>
        <v>159.59999999999997</v>
      </c>
      <c r="L34" s="220">
        <f t="shared" si="16"/>
        <v>136.79999999999995</v>
      </c>
      <c r="M34" s="220">
        <f t="shared" si="16"/>
        <v>113.99999999999996</v>
      </c>
      <c r="N34" s="220">
        <f t="shared" si="16"/>
        <v>91.19999999999996</v>
      </c>
      <c r="P34" s="220" t="s">
        <v>50</v>
      </c>
      <c r="Q34" s="220"/>
      <c r="R34" s="220"/>
      <c r="S34" s="220"/>
      <c r="T34" s="220"/>
      <c r="U34" s="220"/>
      <c r="V34" s="220"/>
      <c r="W34" s="220">
        <f>+'Inversiones '!H16-Depreciaciones!W20</f>
        <v>17789.655172413793</v>
      </c>
      <c r="X34" s="220">
        <f>+W34-X20</f>
        <v>17154.310344827587</v>
      </c>
      <c r="Y34" s="220">
        <f>+X34-Y20</f>
        <v>16518.96551724138</v>
      </c>
      <c r="Z34" s="220">
        <f>+Y34-Z20</f>
        <v>15883.620689655174</v>
      </c>
      <c r="AA34" s="220">
        <f>+Z34-AA20</f>
        <v>15248.275862068967</v>
      </c>
      <c r="AB34" s="220">
        <f>+AA34-AB20</f>
        <v>14612.931034482761</v>
      </c>
    </row>
    <row r="35" spans="2:28" s="109" customFormat="1" ht="12" customHeight="1">
      <c r="B35" s="221" t="s">
        <v>51</v>
      </c>
      <c r="C35" s="221"/>
      <c r="D35" s="221"/>
      <c r="E35" s="221"/>
      <c r="F35" s="221"/>
      <c r="G35" s="221"/>
      <c r="H35" s="221"/>
      <c r="I35" s="221"/>
      <c r="J35" s="221">
        <f>+'Inversiones '!I6-Depreciaciones!J21</f>
        <v>3.6</v>
      </c>
      <c r="K35" s="221">
        <f>+J35-K21</f>
        <v>3.2</v>
      </c>
      <c r="L35" s="221">
        <f t="shared" ref="L35:N35" si="17">+K35-L21</f>
        <v>2.8000000000000003</v>
      </c>
      <c r="M35" s="221">
        <f t="shared" si="17"/>
        <v>2.4000000000000004</v>
      </c>
      <c r="N35" s="221">
        <f t="shared" si="17"/>
        <v>2.0000000000000004</v>
      </c>
      <c r="P35" s="221" t="s">
        <v>52</v>
      </c>
      <c r="Q35" s="221"/>
      <c r="R35" s="221"/>
      <c r="S35" s="221"/>
      <c r="T35" s="221"/>
      <c r="U35" s="221"/>
      <c r="V35" s="221"/>
      <c r="W35" s="221"/>
      <c r="X35" s="221">
        <f>+'Inversiones '!I16-Depreciaciones!X21</f>
        <v>4892.2758620689656</v>
      </c>
      <c r="Y35" s="221">
        <f>+X35-Y21</f>
        <v>4717.5517241379312</v>
      </c>
      <c r="Z35" s="221">
        <f>+Y35-Z21</f>
        <v>4542.8275862068967</v>
      </c>
      <c r="AA35" s="221">
        <f>+Z35-AA21</f>
        <v>4368.1034482758623</v>
      </c>
      <c r="AB35" s="221">
        <f>+AA35-AB21</f>
        <v>4193.3793103448279</v>
      </c>
    </row>
    <row r="36" spans="2:28" s="109" customFormat="1" ht="12" customHeight="1">
      <c r="B36" s="222" t="s">
        <v>53</v>
      </c>
      <c r="C36" s="222"/>
      <c r="D36" s="222"/>
      <c r="E36" s="222"/>
      <c r="F36" s="222"/>
      <c r="G36" s="222"/>
      <c r="H36" s="222"/>
      <c r="I36" s="222"/>
      <c r="J36" s="222"/>
      <c r="K36" s="222">
        <f>+'Inversiones '!J6-Depreciaciones!K22</f>
        <v>-356.4</v>
      </c>
      <c r="L36" s="222">
        <f>+K36-L22</f>
        <v>-316.79999999999995</v>
      </c>
      <c r="M36" s="222">
        <f t="shared" ref="M36:N36" si="18">+L36-M22</f>
        <v>-277.19999999999993</v>
      </c>
      <c r="N36" s="222">
        <f t="shared" si="18"/>
        <v>-237.59999999999994</v>
      </c>
      <c r="P36" s="222" t="s">
        <v>54</v>
      </c>
      <c r="Q36" s="222"/>
      <c r="R36" s="222"/>
      <c r="S36" s="222"/>
      <c r="T36" s="222"/>
      <c r="U36" s="222"/>
      <c r="V36" s="222"/>
      <c r="W36" s="222"/>
      <c r="X36" s="222"/>
      <c r="Y36" s="222">
        <f>+'Inversiones '!J16-Depreciaciones!Y22</f>
        <v>224.9655172413793</v>
      </c>
      <c r="Z36" s="222">
        <f>+Y36-Z22</f>
        <v>216.93103448275861</v>
      </c>
      <c r="AA36" s="222">
        <f>+Z36-AA22</f>
        <v>208.89655172413791</v>
      </c>
      <c r="AB36" s="222">
        <f>+AA36-AB22</f>
        <v>200.86206896551721</v>
      </c>
    </row>
    <row r="37" spans="2:28" s="109" customFormat="1" ht="12" customHeight="1">
      <c r="B37" s="219" t="s">
        <v>55</v>
      </c>
      <c r="C37" s="219"/>
      <c r="D37" s="219"/>
      <c r="E37" s="219"/>
      <c r="F37" s="219"/>
      <c r="G37" s="219"/>
      <c r="H37" s="219"/>
      <c r="I37" s="219"/>
      <c r="J37" s="219"/>
      <c r="K37" s="219"/>
      <c r="L37" s="219">
        <f>+'Inversiones '!K6-Depreciaciones!L23</f>
        <v>108</v>
      </c>
      <c r="M37" s="219">
        <f>+L37-M23</f>
        <v>96</v>
      </c>
      <c r="N37" s="219">
        <f>+M37-N23</f>
        <v>84</v>
      </c>
      <c r="P37" s="219" t="s">
        <v>56</v>
      </c>
      <c r="Q37" s="219"/>
      <c r="R37" s="219"/>
      <c r="S37" s="219"/>
      <c r="T37" s="219"/>
      <c r="U37" s="219"/>
      <c r="V37" s="219"/>
      <c r="W37" s="219"/>
      <c r="X37" s="219"/>
      <c r="Y37" s="219"/>
      <c r="Z37" s="219">
        <f>+'Inversiones '!K16-Depreciaciones!Z23</f>
        <v>52330.068965517239</v>
      </c>
      <c r="AA37" s="219">
        <f>+Z37-AA23</f>
        <v>50461.137931034478</v>
      </c>
      <c r="AB37" s="219">
        <f>+AA37-AB23</f>
        <v>48592.206896551717</v>
      </c>
    </row>
    <row r="38" spans="2:28" s="109" customFormat="1" ht="12" customHeight="1">
      <c r="B38" s="220" t="s">
        <v>57</v>
      </c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>
        <f>+'Inversiones '!L6-Depreciaciones!M24</f>
        <v>116.1</v>
      </c>
      <c r="N38" s="220">
        <f>+M38-N24</f>
        <v>103.19999999999999</v>
      </c>
      <c r="P38" s="220" t="s">
        <v>58</v>
      </c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>
        <f>+'Inversiones '!L16-Depreciaciones!AA24</f>
        <v>4566.8965517241377</v>
      </c>
      <c r="AB38" s="220">
        <f>+AA38-AB24</f>
        <v>4403.7931034482754</v>
      </c>
    </row>
    <row r="39" spans="2:28" s="109" customFormat="1" ht="12" customHeight="1">
      <c r="B39" s="221" t="s">
        <v>59</v>
      </c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>
        <f>+'Inversiones '!M6-N25</f>
        <v>187.2</v>
      </c>
      <c r="P39" s="221" t="s">
        <v>60</v>
      </c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>
        <f>+'Inversiones '!M16-Depreciaciones!AB25</f>
        <v>2932.2758620689656</v>
      </c>
    </row>
    <row r="40" spans="2:28" s="109" customFormat="1" ht="14.25" customHeight="1">
      <c r="B40" s="110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11"/>
      <c r="P40" s="110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11"/>
    </row>
    <row r="41" spans="2:28" s="109" customFormat="1" ht="14.25" customHeight="1" thickBot="1">
      <c r="B41" s="42" t="s">
        <v>145</v>
      </c>
      <c r="C41" s="42">
        <f>+'Inversiones '!C6+SUM(Depreciaciones!C29:C39)</f>
        <v>0</v>
      </c>
      <c r="D41" s="42">
        <f>+'Inversiones '!D6+SUM(Depreciaciones!D29:D39)</f>
        <v>3284</v>
      </c>
      <c r="E41" s="100">
        <f>+'Inversiones '!E6+SUM(Depreciaciones!E29:E39)</f>
        <v>3014.6</v>
      </c>
      <c r="F41" s="100">
        <f>+'Inversiones '!F6+SUM(Depreciaciones!F29:F39)</f>
        <v>2767.2999999999997</v>
      </c>
      <c r="G41" s="100">
        <f>+'Inversiones '!G6+SUM(Depreciaciones!G29:G39)</f>
        <v>2424.2999999999997</v>
      </c>
      <c r="H41" s="100">
        <f>+'Inversiones '!H6+SUM(Depreciaciones!H29:H39)</f>
        <v>2309.2999999999997</v>
      </c>
      <c r="I41" s="100">
        <f>+'Inversiones '!I6+SUM(Depreciaciones!I29:I39)</f>
        <v>1947.4999999999998</v>
      </c>
      <c r="J41" s="100">
        <f>+'Inversiones '!J6+SUM(Depreciaciones!J29:J39)</f>
        <v>1185.2999999999993</v>
      </c>
      <c r="K41" s="100">
        <f>+'Inversiones '!K6+SUM(Depreciaciones!K29:K39)</f>
        <v>978.69999999999925</v>
      </c>
      <c r="L41" s="100">
        <f>+'Inversiones '!L6+SUM(Depreciaciones!L29:L39)</f>
        <v>769.09999999999923</v>
      </c>
      <c r="M41" s="100">
        <f>+'Inversiones '!M6+SUM(Depreciaciones!M29:M39)</f>
        <v>625.59999999999923</v>
      </c>
      <c r="N41" s="100">
        <f>+'Inversiones '!N6+SUM(Depreciaciones!N29:N39)</f>
        <v>261.29999999999916</v>
      </c>
      <c r="P41" s="42"/>
      <c r="Q41" s="100">
        <f>+'Inversiones '!C16+SUM(Depreciaciones!Q29:Q39)</f>
        <v>2684.1702857142859</v>
      </c>
      <c r="R41" s="100">
        <f>+'Inversiones '!D16+SUM(Depreciaciones!R29:R39)</f>
        <v>3852.6126896551727</v>
      </c>
      <c r="S41" s="100">
        <f>+'Inversiones '!E16+SUM(Depreciaciones!S29:S39)</f>
        <v>3948.5723349753698</v>
      </c>
      <c r="T41" s="100">
        <f>+'Inversiones '!F16+SUM(Depreciaciones!T29:T39)</f>
        <v>5195.5319802955673</v>
      </c>
      <c r="U41" s="100">
        <f>+'Inversiones '!G16+SUM(Depreciaciones!U29:U39)</f>
        <v>153165.52610837438</v>
      </c>
      <c r="V41" s="100">
        <f>+'Inversiones '!H16+SUM(Depreciaciones!V29:V39)</f>
        <v>166289.48575369461</v>
      </c>
      <c r="W41" s="100">
        <f>+'Inversiones '!I16+SUM(Depreciaciones!W29:W39)</f>
        <v>165420.1005714286</v>
      </c>
      <c r="X41" s="100">
        <f>+'Inversiones '!J16+SUM(Depreciaciones!X29:X39)</f>
        <v>159541.99125123155</v>
      </c>
      <c r="Y41" s="100">
        <f>+'Inversiones '!K16+SUM(Depreciaciones!Y29:Y39)</f>
        <v>207621.84744827592</v>
      </c>
      <c r="Z41" s="100">
        <f>+'Inversiones '!L16+SUM(Depreciaciones!Z29:Z39)</f>
        <v>204363.77261083748</v>
      </c>
      <c r="AA41" s="100">
        <f>+'Inversiones '!M16+SUM(Depreciaciones!AA29:AA39)</f>
        <v>199249.59432512321</v>
      </c>
      <c r="AB41" s="100">
        <f>+'Inversiones '!N16+SUM(Depreciaciones!AB29:AB39)</f>
        <v>220327.69190147784</v>
      </c>
    </row>
    <row r="42" spans="2:28" s="109" customFormat="1" ht="9.75" thickTop="1">
      <c r="R42" s="332"/>
      <c r="S42" s="332"/>
      <c r="T42" s="332"/>
      <c r="U42" s="332"/>
      <c r="V42" s="332"/>
      <c r="W42" s="332"/>
      <c r="X42" s="332"/>
      <c r="Y42" s="332"/>
      <c r="Z42" s="332"/>
      <c r="AA42" s="332"/>
      <c r="AB42" s="332"/>
    </row>
    <row r="43" spans="2:28" s="109" customFormat="1"/>
    <row r="44" spans="2:28" s="109" customFormat="1"/>
    <row r="45" spans="2:28" s="109" customFormat="1" ht="14.25" customHeight="1" thickBot="1">
      <c r="B45" s="99" t="s">
        <v>142</v>
      </c>
      <c r="C45" s="42"/>
      <c r="D45" s="42"/>
      <c r="E45" s="93"/>
      <c r="F45" s="93"/>
      <c r="G45" s="93"/>
      <c r="H45" s="93"/>
      <c r="I45" s="93"/>
      <c r="J45" s="93"/>
      <c r="K45" s="93"/>
      <c r="L45" s="93"/>
      <c r="M45" s="93"/>
      <c r="N45" s="93"/>
      <c r="P45" s="99" t="s">
        <v>149</v>
      </c>
      <c r="Q45" s="42"/>
      <c r="R45" s="42"/>
      <c r="S45" s="93"/>
      <c r="T45" s="93"/>
      <c r="U45" s="93"/>
      <c r="V45" s="93"/>
      <c r="W45" s="93"/>
      <c r="X45" s="93"/>
      <c r="Y45" s="93"/>
      <c r="Z45" s="93"/>
      <c r="AA45" s="93"/>
      <c r="AB45" s="93"/>
    </row>
    <row r="46" spans="2:28" s="109" customFormat="1" ht="14.25" customHeight="1" thickTop="1" thickBot="1">
      <c r="B46" s="42" t="s">
        <v>143</v>
      </c>
      <c r="C46" s="42">
        <v>2001</v>
      </c>
      <c r="D46" s="42">
        <v>2002</v>
      </c>
      <c r="E46" s="42">
        <v>2003</v>
      </c>
      <c r="F46" s="42">
        <v>2004</v>
      </c>
      <c r="G46" s="42">
        <v>2005</v>
      </c>
      <c r="H46" s="42">
        <v>2006</v>
      </c>
      <c r="I46" s="42">
        <v>2007</v>
      </c>
      <c r="J46" s="42">
        <v>2008</v>
      </c>
      <c r="K46" s="42">
        <v>2009</v>
      </c>
      <c r="L46" s="42">
        <v>2010</v>
      </c>
      <c r="M46" s="42">
        <v>2011</v>
      </c>
      <c r="N46" s="42">
        <v>2012</v>
      </c>
      <c r="P46" s="42" t="s">
        <v>143</v>
      </c>
      <c r="Q46" s="42">
        <v>2001</v>
      </c>
      <c r="R46" s="42">
        <v>2002</v>
      </c>
      <c r="S46" s="42">
        <v>2003</v>
      </c>
      <c r="T46" s="42">
        <v>2004</v>
      </c>
      <c r="U46" s="42">
        <v>2005</v>
      </c>
      <c r="V46" s="42">
        <v>2006</v>
      </c>
      <c r="W46" s="42">
        <v>2007</v>
      </c>
      <c r="X46" s="42">
        <v>2008</v>
      </c>
      <c r="Y46" s="42">
        <v>2009</v>
      </c>
      <c r="Z46" s="42">
        <v>2010</v>
      </c>
      <c r="AA46" s="42">
        <v>2011</v>
      </c>
      <c r="AB46" s="42">
        <v>2012</v>
      </c>
    </row>
    <row r="47" spans="2:28" s="109" customFormat="1" ht="10.5" customHeight="1" thickTop="1">
      <c r="B47" s="219" t="s">
        <v>62</v>
      </c>
      <c r="C47" s="219"/>
      <c r="D47" s="219">
        <f>+'Inversiones '!$C$7*Depreciaciones!$D$4</f>
        <v>95.337142857142851</v>
      </c>
      <c r="E47" s="219">
        <f>+'Inversiones '!$C$7*Depreciaciones!$D$4</f>
        <v>95.337142857142851</v>
      </c>
      <c r="F47" s="219">
        <f>+'Inversiones '!$C$7*Depreciaciones!$D$4</f>
        <v>95.337142857142851</v>
      </c>
      <c r="G47" s="219">
        <f>+'Inversiones '!$C$7*Depreciaciones!$D$4</f>
        <v>95.337142857142851</v>
      </c>
      <c r="H47" s="219"/>
      <c r="I47" s="219"/>
      <c r="J47" s="219"/>
      <c r="K47" s="219"/>
      <c r="L47" s="219"/>
      <c r="M47" s="219"/>
      <c r="N47" s="219"/>
      <c r="P47" s="219" t="s">
        <v>64</v>
      </c>
      <c r="Q47" s="219"/>
      <c r="R47" s="219">
        <f>+'Inversiones '!$C$17*Depreciaciones!$H$4</f>
        <v>126.61293333333333</v>
      </c>
      <c r="S47" s="219">
        <f>+'Inversiones '!$C$17*Depreciaciones!$H$4</f>
        <v>126.61293333333333</v>
      </c>
      <c r="T47" s="219">
        <f>+'Inversiones '!$C$17*Depreciaciones!$H$4</f>
        <v>126.61293333333333</v>
      </c>
      <c r="U47" s="219">
        <f>+'Inversiones '!$C$17*Depreciaciones!$H$4</f>
        <v>126.61293333333333</v>
      </c>
      <c r="V47" s="219">
        <f>+'Inversiones '!$C$17*Depreciaciones!$H$4</f>
        <v>126.61293333333333</v>
      </c>
      <c r="W47" s="219">
        <f>+'Inversiones '!$C$17*Depreciaciones!$H$4</f>
        <v>126.61293333333333</v>
      </c>
      <c r="X47" s="219">
        <f>+'Inversiones '!$C$17*Depreciaciones!$H$4</f>
        <v>126.61293333333333</v>
      </c>
      <c r="Y47" s="219">
        <f>+'Inversiones '!$C$17*Depreciaciones!$H$4</f>
        <v>126.61293333333333</v>
      </c>
      <c r="Z47" s="219">
        <f>+'Inversiones '!$C$17*Depreciaciones!$H$4</f>
        <v>126.61293333333333</v>
      </c>
      <c r="AA47" s="219">
        <f>+'Inversiones '!$C$17*Depreciaciones!$H$4</f>
        <v>126.61293333333333</v>
      </c>
      <c r="AB47" s="219">
        <f>+'Inversiones '!$C$17*Depreciaciones!$H$4</f>
        <v>126.61293333333333</v>
      </c>
    </row>
    <row r="48" spans="2:28" s="109" customFormat="1" ht="10.5" customHeight="1">
      <c r="B48" s="220" t="s">
        <v>63</v>
      </c>
      <c r="C48" s="220"/>
      <c r="D48" s="220"/>
      <c r="E48" s="220">
        <f>+'Inversiones '!$D$7*Depreciaciones!$D$4</f>
        <v>46.08</v>
      </c>
      <c r="F48" s="220">
        <f>+'Inversiones '!$D$7*Depreciaciones!$D$4</f>
        <v>46.08</v>
      </c>
      <c r="G48" s="220">
        <f>+'Inversiones '!$D$7*Depreciaciones!$D$4</f>
        <v>46.08</v>
      </c>
      <c r="H48" s="220">
        <f>+'Inversiones '!$D$7*Depreciaciones!$D$4</f>
        <v>46.08</v>
      </c>
      <c r="I48" s="220"/>
      <c r="J48" s="220"/>
      <c r="K48" s="220"/>
      <c r="L48" s="220"/>
      <c r="M48" s="220"/>
      <c r="N48" s="220"/>
      <c r="P48" s="220" t="s">
        <v>66</v>
      </c>
      <c r="Q48" s="220"/>
      <c r="R48" s="220"/>
      <c r="S48" s="220">
        <f>+'Inversiones '!$D$17*Depreciaciones!$H$4</f>
        <v>10.833333333333334</v>
      </c>
      <c r="T48" s="220">
        <f>+'Inversiones '!$D$17*Depreciaciones!$H$4</f>
        <v>10.833333333333334</v>
      </c>
      <c r="U48" s="220">
        <f>+'Inversiones '!$D$17*Depreciaciones!$H$4</f>
        <v>10.833333333333334</v>
      </c>
      <c r="V48" s="220">
        <f>+'Inversiones '!$D$17*Depreciaciones!$H$4</f>
        <v>10.833333333333334</v>
      </c>
      <c r="W48" s="220">
        <f>+'Inversiones '!$D$17*Depreciaciones!$H$4</f>
        <v>10.833333333333334</v>
      </c>
      <c r="X48" s="220">
        <f>+'Inversiones '!$D$17*Depreciaciones!$H$4</f>
        <v>10.833333333333334</v>
      </c>
      <c r="Y48" s="220">
        <f>+'Inversiones '!$D$17*Depreciaciones!$H$4</f>
        <v>10.833333333333334</v>
      </c>
      <c r="Z48" s="220">
        <f>+'Inversiones '!$D$17*Depreciaciones!$H$4</f>
        <v>10.833333333333334</v>
      </c>
      <c r="AA48" s="220">
        <f>+'Inversiones '!$D$17*Depreciaciones!$H$4</f>
        <v>10.833333333333334</v>
      </c>
      <c r="AB48" s="220">
        <f>+'Inversiones '!$D$17*Depreciaciones!$H$4</f>
        <v>10.833333333333334</v>
      </c>
    </row>
    <row r="49" spans="2:28" s="109" customFormat="1" ht="10.5" customHeight="1">
      <c r="B49" s="221" t="s">
        <v>65</v>
      </c>
      <c r="C49" s="221"/>
      <c r="D49" s="221"/>
      <c r="E49" s="221"/>
      <c r="F49" s="221">
        <f>+'Inversiones '!$E$7*Depreciaciones!$D$4</f>
        <v>31.75</v>
      </c>
      <c r="G49" s="221">
        <f>+'Inversiones '!$E$7*Depreciaciones!$D$4</f>
        <v>31.75</v>
      </c>
      <c r="H49" s="221">
        <f>+'Inversiones '!$E$7*Depreciaciones!$D$4</f>
        <v>31.75</v>
      </c>
      <c r="I49" s="221">
        <f>+'Inversiones '!$E$7*Depreciaciones!$D$4</f>
        <v>31.75</v>
      </c>
      <c r="J49" s="221"/>
      <c r="K49" s="221"/>
      <c r="L49" s="221"/>
      <c r="M49" s="221"/>
      <c r="N49" s="221"/>
      <c r="P49" s="221" t="s">
        <v>68</v>
      </c>
      <c r="Q49" s="221"/>
      <c r="R49" s="221"/>
      <c r="S49" s="221"/>
      <c r="T49" s="221">
        <v>0</v>
      </c>
      <c r="U49" s="221">
        <v>0</v>
      </c>
      <c r="V49" s="221">
        <v>0</v>
      </c>
      <c r="W49" s="221">
        <v>0</v>
      </c>
      <c r="X49" s="221">
        <v>0</v>
      </c>
      <c r="Y49" s="221">
        <v>0</v>
      </c>
      <c r="Z49" s="221">
        <v>0</v>
      </c>
      <c r="AA49" s="221">
        <v>0</v>
      </c>
      <c r="AB49" s="221">
        <v>0</v>
      </c>
    </row>
    <row r="50" spans="2:28" s="109" customFormat="1" ht="10.5" customHeight="1">
      <c r="B50" s="222" t="s">
        <v>67</v>
      </c>
      <c r="C50" s="222"/>
      <c r="D50" s="222"/>
      <c r="E50" s="222"/>
      <c r="F50" s="222"/>
      <c r="G50" s="222">
        <f>+'Inversiones '!$F$7*Depreciaciones!$D$4</f>
        <v>67</v>
      </c>
      <c r="H50" s="222">
        <f>+'Inversiones '!$F$7*Depreciaciones!$D$4</f>
        <v>67</v>
      </c>
      <c r="I50" s="222">
        <f>+'Inversiones '!$F$7*Depreciaciones!$D$4</f>
        <v>67</v>
      </c>
      <c r="J50" s="222">
        <f>+'Inversiones '!$F$7*Depreciaciones!$D$4</f>
        <v>67</v>
      </c>
      <c r="K50" s="222"/>
      <c r="L50" s="222"/>
      <c r="M50" s="222"/>
      <c r="N50" s="222"/>
      <c r="P50" s="222" t="s">
        <v>70</v>
      </c>
      <c r="Q50" s="222"/>
      <c r="R50" s="222"/>
      <c r="S50" s="222"/>
      <c r="T50" s="222"/>
      <c r="U50" s="222">
        <f>+'Inversiones '!$F$17*Depreciaciones!$H$4</f>
        <v>0</v>
      </c>
      <c r="V50" s="222">
        <f>+'Inversiones '!$F$17*Depreciaciones!$H$4</f>
        <v>0</v>
      </c>
      <c r="W50" s="222">
        <f>+'Inversiones '!$F$17*Depreciaciones!$H$4</f>
        <v>0</v>
      </c>
      <c r="X50" s="222">
        <f>+'Inversiones '!$F$17*Depreciaciones!$H$4</f>
        <v>0</v>
      </c>
      <c r="Y50" s="222">
        <f>+'Inversiones '!$F$17*Depreciaciones!$H$4</f>
        <v>0</v>
      </c>
      <c r="Z50" s="222">
        <f>+'Inversiones '!$F$17*Depreciaciones!$H$4</f>
        <v>0</v>
      </c>
      <c r="AA50" s="222">
        <f>+'Inversiones '!$F$17*Depreciaciones!$H$4</f>
        <v>0</v>
      </c>
      <c r="AB50" s="222">
        <f>+'Inversiones '!$F$17*Depreciaciones!$H$4</f>
        <v>0</v>
      </c>
    </row>
    <row r="51" spans="2:28" s="109" customFormat="1" ht="10.5" customHeight="1">
      <c r="B51" s="219" t="s">
        <v>69</v>
      </c>
      <c r="C51" s="219"/>
      <c r="D51" s="219"/>
      <c r="E51" s="219"/>
      <c r="F51" s="219"/>
      <c r="G51" s="219"/>
      <c r="H51" s="219">
        <f>+'Inversiones '!$G$7*Depreciaciones!$D$4</f>
        <v>19.5</v>
      </c>
      <c r="I51" s="219">
        <f>+'Inversiones '!$G$7*Depreciaciones!$D$4</f>
        <v>19.5</v>
      </c>
      <c r="J51" s="219">
        <f>+'Inversiones '!$G$7*Depreciaciones!$D$4</f>
        <v>19.5</v>
      </c>
      <c r="K51" s="219">
        <f>+'Inversiones '!$G$7*Depreciaciones!$D$4</f>
        <v>19.5</v>
      </c>
      <c r="L51" s="219"/>
      <c r="M51" s="219"/>
      <c r="N51" s="219"/>
      <c r="P51" s="219" t="s">
        <v>72</v>
      </c>
      <c r="Q51" s="219"/>
      <c r="R51" s="219"/>
      <c r="S51" s="219"/>
      <c r="T51" s="219"/>
      <c r="U51" s="219"/>
      <c r="V51" s="219">
        <f>+'Inversiones '!$G$17*Depreciaciones!$H$4</f>
        <v>0</v>
      </c>
      <c r="W51" s="219">
        <f>+'Inversiones '!$G$17*Depreciaciones!$H$4</f>
        <v>0</v>
      </c>
      <c r="X51" s="219">
        <f>+'Inversiones '!$G$17*Depreciaciones!$H$4</f>
        <v>0</v>
      </c>
      <c r="Y51" s="219">
        <f>+'Inversiones '!$G$17*Depreciaciones!$H$4</f>
        <v>0</v>
      </c>
      <c r="Z51" s="219">
        <f>+'Inversiones '!$G$17*Depreciaciones!$H$4</f>
        <v>0</v>
      </c>
      <c r="AA51" s="219">
        <f>+'Inversiones '!$G$17*Depreciaciones!$H$4</f>
        <v>0</v>
      </c>
      <c r="AB51" s="219">
        <f>+'Inversiones '!$G$17*Depreciaciones!$H$4</f>
        <v>0</v>
      </c>
    </row>
    <row r="52" spans="2:28" s="109" customFormat="1" ht="10.5" customHeight="1">
      <c r="B52" s="220" t="s">
        <v>71</v>
      </c>
      <c r="C52" s="220"/>
      <c r="D52" s="220"/>
      <c r="E52" s="220"/>
      <c r="F52" s="220"/>
      <c r="G52" s="220"/>
      <c r="H52" s="220"/>
      <c r="I52" s="220">
        <f>+'Inversiones '!$H$7*Depreciaciones!$D$4</f>
        <v>22.5</v>
      </c>
      <c r="J52" s="220">
        <f>+'Inversiones '!$H$7*Depreciaciones!$D$4</f>
        <v>22.5</v>
      </c>
      <c r="K52" s="220">
        <f>+'Inversiones '!$H$7*Depreciaciones!$D$4</f>
        <v>22.5</v>
      </c>
      <c r="L52" s="220">
        <f>+'Inversiones '!$H$7*Depreciaciones!$D$4</f>
        <v>22.5</v>
      </c>
      <c r="M52" s="220"/>
      <c r="N52" s="220"/>
      <c r="P52" s="220" t="s">
        <v>74</v>
      </c>
      <c r="Q52" s="220"/>
      <c r="R52" s="220"/>
      <c r="S52" s="220"/>
      <c r="T52" s="220"/>
      <c r="U52" s="220"/>
      <c r="V52" s="220"/>
      <c r="W52" s="220">
        <f>+'Inversiones '!$H$17*Depreciaciones!$H$4</f>
        <v>3.3333333333333333E-2</v>
      </c>
      <c r="X52" s="220">
        <f>+'Inversiones '!$H$17*Depreciaciones!$H$4</f>
        <v>3.3333333333333333E-2</v>
      </c>
      <c r="Y52" s="220">
        <f>+'Inversiones '!$H$17*Depreciaciones!$H$4</f>
        <v>3.3333333333333333E-2</v>
      </c>
      <c r="Z52" s="220">
        <f>+'Inversiones '!$H$17*Depreciaciones!$H$4</f>
        <v>3.3333333333333333E-2</v>
      </c>
      <c r="AA52" s="220">
        <f>+'Inversiones '!$H$17*Depreciaciones!$H$4</f>
        <v>3.3333333333333333E-2</v>
      </c>
      <c r="AB52" s="220">
        <f>+'Inversiones '!$H$17*Depreciaciones!$H$4</f>
        <v>3.3333333333333333E-2</v>
      </c>
    </row>
    <row r="53" spans="2:28" s="109" customFormat="1" ht="10.5" customHeight="1">
      <c r="B53" s="221" t="s">
        <v>73</v>
      </c>
      <c r="C53" s="221"/>
      <c r="D53" s="221"/>
      <c r="E53" s="221"/>
      <c r="F53" s="221"/>
      <c r="G53" s="221"/>
      <c r="H53" s="221"/>
      <c r="I53" s="221"/>
      <c r="J53" s="221">
        <f>+'Inversiones '!$I$7*Depreciaciones!$D$4</f>
        <v>21.5</v>
      </c>
      <c r="K53" s="221">
        <f>+'Inversiones '!$I$7*Depreciaciones!$D$4</f>
        <v>21.5</v>
      </c>
      <c r="L53" s="221">
        <f>+'Inversiones '!$I$7*Depreciaciones!$D$4</f>
        <v>21.5</v>
      </c>
      <c r="M53" s="221">
        <f>+'Inversiones '!$I$7*Depreciaciones!$D$4</f>
        <v>21.5</v>
      </c>
      <c r="N53" s="221"/>
      <c r="P53" s="221" t="s">
        <v>76</v>
      </c>
      <c r="Q53" s="221"/>
      <c r="R53" s="221"/>
      <c r="S53" s="221"/>
      <c r="T53" s="221"/>
      <c r="U53" s="221"/>
      <c r="V53" s="221"/>
      <c r="W53" s="221"/>
      <c r="X53" s="221">
        <f>+'Inversiones '!$I$17*Depreciaciones!$H$4</f>
        <v>0</v>
      </c>
      <c r="Y53" s="221">
        <f>+'Inversiones '!$I$17*Depreciaciones!$H$4</f>
        <v>0</v>
      </c>
      <c r="Z53" s="221">
        <f>+'Inversiones '!$I$17*Depreciaciones!$H$4</f>
        <v>0</v>
      </c>
      <c r="AA53" s="221">
        <f>+'Inversiones '!$I$17*Depreciaciones!$H$4</f>
        <v>0</v>
      </c>
      <c r="AB53" s="221">
        <f>+'Inversiones '!$I$17*Depreciaciones!$H$4</f>
        <v>0</v>
      </c>
    </row>
    <row r="54" spans="2:28" s="109" customFormat="1" ht="10.5" customHeight="1">
      <c r="B54" s="222" t="s">
        <v>75</v>
      </c>
      <c r="C54" s="222"/>
      <c r="D54" s="222"/>
      <c r="E54" s="222"/>
      <c r="F54" s="222"/>
      <c r="G54" s="222"/>
      <c r="H54" s="222"/>
      <c r="I54" s="222"/>
      <c r="J54" s="222"/>
      <c r="K54" s="222">
        <f>+'Inversiones '!$J$7*Depreciaciones!$D$4</f>
        <v>65</v>
      </c>
      <c r="L54" s="222">
        <f>+'Inversiones '!$J$7*Depreciaciones!$D$4</f>
        <v>65</v>
      </c>
      <c r="M54" s="222">
        <f>+'Inversiones '!$J$7*Depreciaciones!$D$4</f>
        <v>65</v>
      </c>
      <c r="N54" s="222">
        <f>+'Inversiones '!$J$7*Depreciaciones!$D$4</f>
        <v>65</v>
      </c>
      <c r="P54" s="222" t="s">
        <v>78</v>
      </c>
      <c r="Q54" s="222"/>
      <c r="R54" s="222"/>
      <c r="S54" s="222"/>
      <c r="T54" s="222"/>
      <c r="U54" s="222"/>
      <c r="V54" s="222"/>
      <c r="W54" s="222"/>
      <c r="X54" s="222"/>
      <c r="Y54" s="222">
        <f>+'Inversiones '!$J$17*Depreciaciones!$H$4</f>
        <v>0</v>
      </c>
      <c r="Z54" s="222">
        <f>+'Inversiones '!$J$17*Depreciaciones!$H$4</f>
        <v>0</v>
      </c>
      <c r="AA54" s="222">
        <f>+'Inversiones '!$J$17*Depreciaciones!$H$4</f>
        <v>0</v>
      </c>
      <c r="AB54" s="222">
        <f>+'Inversiones '!$J$17*Depreciaciones!$H$4</f>
        <v>0</v>
      </c>
    </row>
    <row r="55" spans="2:28" s="109" customFormat="1" ht="10.5" customHeight="1">
      <c r="B55" s="219" t="s">
        <v>77</v>
      </c>
      <c r="C55" s="219"/>
      <c r="D55" s="219"/>
      <c r="E55" s="219"/>
      <c r="F55" s="219"/>
      <c r="G55" s="219"/>
      <c r="H55" s="219"/>
      <c r="I55" s="219"/>
      <c r="J55" s="219"/>
      <c r="K55" s="219"/>
      <c r="L55" s="219">
        <f>+'Inversiones '!$K$7*Depreciaciones!$D$4</f>
        <v>34.25</v>
      </c>
      <c r="M55" s="219">
        <f>+'Inversiones '!$K$7*Depreciaciones!$D$4</f>
        <v>34.25</v>
      </c>
      <c r="N55" s="219">
        <f>+'Inversiones '!$K$7*Depreciaciones!$D$4</f>
        <v>34.25</v>
      </c>
      <c r="P55" s="219" t="s">
        <v>80</v>
      </c>
      <c r="Q55" s="219"/>
      <c r="R55" s="219"/>
      <c r="S55" s="219"/>
      <c r="T55" s="219"/>
      <c r="U55" s="219"/>
      <c r="V55" s="219"/>
      <c r="W55" s="219"/>
      <c r="X55" s="219"/>
      <c r="Y55" s="219"/>
      <c r="Z55" s="219">
        <f>+'Inversiones '!$K$17*Depreciaciones!$H$4</f>
        <v>0</v>
      </c>
      <c r="AA55" s="219">
        <f>+'Inversiones '!$K$17*Depreciaciones!$H$4</f>
        <v>0</v>
      </c>
      <c r="AB55" s="219">
        <f>+'Inversiones '!$K$17*Depreciaciones!$H$4</f>
        <v>0</v>
      </c>
    </row>
    <row r="56" spans="2:28" s="109" customFormat="1" ht="10.5" customHeight="1">
      <c r="B56" s="220" t="s">
        <v>79</v>
      </c>
      <c r="C56" s="220"/>
      <c r="D56" s="220"/>
      <c r="E56" s="220"/>
      <c r="F56" s="220"/>
      <c r="G56" s="220"/>
      <c r="H56" s="220"/>
      <c r="I56" s="220"/>
      <c r="J56" s="220"/>
      <c r="K56" s="220"/>
      <c r="L56" s="220"/>
      <c r="M56" s="220">
        <f>+'Inversiones '!$L$7*Depreciaciones!$D$4</f>
        <v>63</v>
      </c>
      <c r="N56" s="220">
        <f>+'Inversiones '!$L$7*Depreciaciones!$D$4</f>
        <v>63</v>
      </c>
      <c r="P56" s="220" t="s">
        <v>82</v>
      </c>
      <c r="Q56" s="220"/>
      <c r="R56" s="220"/>
      <c r="S56" s="220"/>
      <c r="T56" s="220"/>
      <c r="U56" s="220"/>
      <c r="V56" s="220"/>
      <c r="W56" s="220"/>
      <c r="X56" s="220"/>
      <c r="Y56" s="220"/>
      <c r="Z56" s="220"/>
      <c r="AA56" s="220">
        <f>+'Inversiones '!$L$17*Depreciaciones!$H$4</f>
        <v>0</v>
      </c>
      <c r="AB56" s="220">
        <f>+'Inversiones '!$L$17*Depreciaciones!$H$4</f>
        <v>0</v>
      </c>
    </row>
    <row r="57" spans="2:28" s="109" customFormat="1" ht="10.5" customHeight="1">
      <c r="B57" s="221" t="s">
        <v>81</v>
      </c>
      <c r="C57" s="221"/>
      <c r="D57" s="221"/>
      <c r="E57" s="221"/>
      <c r="F57" s="221"/>
      <c r="G57" s="221"/>
      <c r="H57" s="221"/>
      <c r="I57" s="221"/>
      <c r="J57" s="221"/>
      <c r="K57" s="221"/>
      <c r="L57" s="221"/>
      <c r="M57" s="221"/>
      <c r="N57" s="221">
        <f>+'Inversiones '!$M$7*Depreciaciones!$D$4</f>
        <v>36.25</v>
      </c>
      <c r="P57" s="221" t="s">
        <v>83</v>
      </c>
      <c r="Q57" s="221"/>
      <c r="R57" s="221"/>
      <c r="S57" s="221"/>
      <c r="T57" s="221"/>
      <c r="U57" s="221"/>
      <c r="V57" s="221"/>
      <c r="W57" s="221"/>
      <c r="X57" s="221"/>
      <c r="Y57" s="221"/>
      <c r="Z57" s="221"/>
      <c r="AA57" s="221"/>
      <c r="AB57" s="221">
        <f>+'Inversiones '!$M$17*Depreciaciones!$H$4</f>
        <v>0</v>
      </c>
    </row>
    <row r="58" spans="2:28" s="109" customFormat="1" ht="14.25" customHeight="1">
      <c r="B58" s="93"/>
      <c r="C58" s="93"/>
      <c r="D58" s="332">
        <f>+SUM(D47:D57)</f>
        <v>95.337142857142851</v>
      </c>
      <c r="E58" s="332">
        <f t="shared" ref="E58:N58" si="19">+SUM(E47:E57)</f>
        <v>141.41714285714284</v>
      </c>
      <c r="F58" s="332">
        <f t="shared" si="19"/>
        <v>173.16714285714284</v>
      </c>
      <c r="G58" s="332">
        <f t="shared" si="19"/>
        <v>240.16714285714284</v>
      </c>
      <c r="H58" s="332">
        <f t="shared" si="19"/>
        <v>164.32999999999998</v>
      </c>
      <c r="I58" s="332">
        <f t="shared" si="19"/>
        <v>140.75</v>
      </c>
      <c r="J58" s="332">
        <f t="shared" si="19"/>
        <v>130.5</v>
      </c>
      <c r="K58" s="332">
        <f t="shared" si="19"/>
        <v>128.5</v>
      </c>
      <c r="L58" s="332">
        <f t="shared" si="19"/>
        <v>143.25</v>
      </c>
      <c r="M58" s="332">
        <f t="shared" si="19"/>
        <v>183.75</v>
      </c>
      <c r="N58" s="332">
        <f t="shared" si="19"/>
        <v>198.5</v>
      </c>
      <c r="P58" s="93"/>
      <c r="Q58" s="105"/>
      <c r="R58" s="332">
        <f>+SUM(R47:R57)</f>
        <v>126.61293333333333</v>
      </c>
      <c r="S58" s="332">
        <f t="shared" ref="S58:AB58" si="20">+SUM(S47:S57)</f>
        <v>137.44626666666667</v>
      </c>
      <c r="T58" s="332">
        <f t="shared" si="20"/>
        <v>137.44626666666667</v>
      </c>
      <c r="U58" s="332">
        <f t="shared" si="20"/>
        <v>137.44626666666667</v>
      </c>
      <c r="V58" s="332">
        <f t="shared" si="20"/>
        <v>137.44626666666667</v>
      </c>
      <c r="W58" s="332">
        <f t="shared" si="20"/>
        <v>137.4796</v>
      </c>
      <c r="X58" s="332">
        <f t="shared" si="20"/>
        <v>137.4796</v>
      </c>
      <c r="Y58" s="332">
        <f t="shared" si="20"/>
        <v>137.4796</v>
      </c>
      <c r="Z58" s="332">
        <f t="shared" si="20"/>
        <v>137.4796</v>
      </c>
      <c r="AA58" s="332">
        <f t="shared" si="20"/>
        <v>137.4796</v>
      </c>
      <c r="AB58" s="332">
        <f t="shared" si="20"/>
        <v>137.4796</v>
      </c>
    </row>
    <row r="59" spans="2:28" s="109" customFormat="1" ht="14.25" customHeight="1" thickBot="1">
      <c r="B59" s="99" t="s">
        <v>61</v>
      </c>
      <c r="C59" s="99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P59" s="99" t="s">
        <v>61</v>
      </c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</row>
    <row r="60" spans="2:28" s="109" customFormat="1" ht="14.25" customHeight="1" thickTop="1" thickBot="1">
      <c r="B60" s="42" t="s">
        <v>143</v>
      </c>
      <c r="C60" s="42">
        <v>2001</v>
      </c>
      <c r="D60" s="42">
        <v>2002</v>
      </c>
      <c r="E60" s="42">
        <v>2003</v>
      </c>
      <c r="F60" s="42">
        <v>2004</v>
      </c>
      <c r="G60" s="42">
        <v>2005</v>
      </c>
      <c r="H60" s="42">
        <v>2006</v>
      </c>
      <c r="I60" s="42">
        <v>2007</v>
      </c>
      <c r="J60" s="42">
        <v>2008</v>
      </c>
      <c r="K60" s="42">
        <v>2009</v>
      </c>
      <c r="L60" s="42">
        <v>2010</v>
      </c>
      <c r="M60" s="42">
        <v>2011</v>
      </c>
      <c r="N60" s="42">
        <v>2012</v>
      </c>
      <c r="P60" s="42" t="s">
        <v>143</v>
      </c>
      <c r="Q60" s="42">
        <v>2001</v>
      </c>
      <c r="R60" s="42">
        <v>2002</v>
      </c>
      <c r="S60" s="42">
        <v>2003</v>
      </c>
      <c r="T60" s="42">
        <v>2004</v>
      </c>
      <c r="U60" s="42">
        <v>2005</v>
      </c>
      <c r="V60" s="42">
        <v>2006</v>
      </c>
      <c r="W60" s="42">
        <v>2007</v>
      </c>
      <c r="X60" s="42">
        <v>2008</v>
      </c>
      <c r="Y60" s="42">
        <v>2009</v>
      </c>
      <c r="Z60" s="42">
        <v>2010</v>
      </c>
      <c r="AA60" s="42">
        <v>2011</v>
      </c>
      <c r="AB60" s="42">
        <v>2012</v>
      </c>
    </row>
    <row r="61" spans="2:28" s="109" customFormat="1" ht="10.5" customHeight="1" thickTop="1">
      <c r="B61" s="219" t="s">
        <v>62</v>
      </c>
      <c r="C61" s="219"/>
      <c r="D61" s="219">
        <f>+'Inversiones '!C7-Depreciaciones!D47</f>
        <v>286.01142857142855</v>
      </c>
      <c r="E61" s="219">
        <f>+D61-E47</f>
        <v>190.6742857142857</v>
      </c>
      <c r="F61" s="219">
        <f>+E61-F47</f>
        <v>95.337142857142851</v>
      </c>
      <c r="G61" s="219">
        <f>+F61-G47</f>
        <v>0</v>
      </c>
      <c r="H61" s="219">
        <f t="shared" ref="H61:N62" si="21">+G61-H47</f>
        <v>0</v>
      </c>
      <c r="I61" s="219">
        <f t="shared" si="21"/>
        <v>0</v>
      </c>
      <c r="J61" s="219">
        <f t="shared" si="21"/>
        <v>0</v>
      </c>
      <c r="K61" s="219">
        <f t="shared" si="21"/>
        <v>0</v>
      </c>
      <c r="L61" s="219">
        <f t="shared" si="21"/>
        <v>0</v>
      </c>
      <c r="M61" s="219">
        <f t="shared" si="21"/>
        <v>0</v>
      </c>
      <c r="N61" s="219">
        <f t="shared" si="21"/>
        <v>0</v>
      </c>
      <c r="P61" s="219" t="s">
        <v>64</v>
      </c>
      <c r="Q61" s="219"/>
      <c r="R61" s="219">
        <f>+'Inversiones '!C17-Depreciaciones!R47</f>
        <v>3671.7750666666666</v>
      </c>
      <c r="S61" s="219">
        <f>+R61-S47</f>
        <v>3545.1621333333333</v>
      </c>
      <c r="T61" s="219">
        <f t="shared" ref="T61:AB61" si="22">+S61-T47</f>
        <v>3418.5491999999999</v>
      </c>
      <c r="U61" s="219">
        <f t="shared" si="22"/>
        <v>3291.9362666666666</v>
      </c>
      <c r="V61" s="219">
        <f t="shared" si="22"/>
        <v>3165.3233333333333</v>
      </c>
      <c r="W61" s="219">
        <f t="shared" si="22"/>
        <v>3038.7103999999999</v>
      </c>
      <c r="X61" s="219">
        <f t="shared" si="22"/>
        <v>2912.0974666666666</v>
      </c>
      <c r="Y61" s="219">
        <f t="shared" si="22"/>
        <v>2785.4845333333333</v>
      </c>
      <c r="Z61" s="219">
        <f t="shared" si="22"/>
        <v>2658.8715999999999</v>
      </c>
      <c r="AA61" s="219">
        <f t="shared" si="22"/>
        <v>2532.2586666666666</v>
      </c>
      <c r="AB61" s="219">
        <f t="shared" si="22"/>
        <v>2405.6457333333333</v>
      </c>
    </row>
    <row r="62" spans="2:28" s="109" customFormat="1" ht="10.5" customHeight="1">
      <c r="B62" s="220" t="s">
        <v>63</v>
      </c>
      <c r="C62" s="220"/>
      <c r="D62" s="220"/>
      <c r="E62" s="220">
        <f>+'Inversiones '!D7-Depreciaciones!E48</f>
        <v>138.24</v>
      </c>
      <c r="F62" s="220">
        <f>+E62-F48</f>
        <v>92.160000000000011</v>
      </c>
      <c r="G62" s="220">
        <f>+F62-G48</f>
        <v>46.080000000000013</v>
      </c>
      <c r="H62" s="220">
        <f>+G62-H48</f>
        <v>0</v>
      </c>
      <c r="I62" s="219">
        <f t="shared" si="21"/>
        <v>0</v>
      </c>
      <c r="J62" s="220">
        <f>+I62-J48</f>
        <v>0</v>
      </c>
      <c r="K62" s="220">
        <f>+J62-K48</f>
        <v>0</v>
      </c>
      <c r="L62" s="220">
        <f>+K62-L48</f>
        <v>0</v>
      </c>
      <c r="M62" s="220">
        <f>+L62-M48</f>
        <v>0</v>
      </c>
      <c r="N62" s="220">
        <f>+M62-N48</f>
        <v>0</v>
      </c>
      <c r="P62" s="220" t="s">
        <v>66</v>
      </c>
      <c r="Q62" s="220"/>
      <c r="R62" s="220"/>
      <c r="S62" s="220">
        <f>+'Inversiones '!D17-Depreciaciones!S48</f>
        <v>314.16666666666669</v>
      </c>
      <c r="T62" s="220">
        <f t="shared" ref="T62:AB62" si="23">+S62-T48</f>
        <v>303.33333333333337</v>
      </c>
      <c r="U62" s="220">
        <f t="shared" si="23"/>
        <v>292.50000000000006</v>
      </c>
      <c r="V62" s="220">
        <f t="shared" si="23"/>
        <v>281.66666666666674</v>
      </c>
      <c r="W62" s="220">
        <f t="shared" si="23"/>
        <v>270.83333333333343</v>
      </c>
      <c r="X62" s="220">
        <f t="shared" si="23"/>
        <v>260.00000000000011</v>
      </c>
      <c r="Y62" s="220">
        <f t="shared" si="23"/>
        <v>249.16666666666677</v>
      </c>
      <c r="Z62" s="220">
        <f t="shared" si="23"/>
        <v>238.33333333333343</v>
      </c>
      <c r="AA62" s="220">
        <f t="shared" si="23"/>
        <v>227.50000000000009</v>
      </c>
      <c r="AB62" s="220">
        <f t="shared" si="23"/>
        <v>216.66666666666674</v>
      </c>
    </row>
    <row r="63" spans="2:28" s="109" customFormat="1" ht="10.5" customHeight="1">
      <c r="B63" s="221" t="s">
        <v>65</v>
      </c>
      <c r="C63" s="221"/>
      <c r="D63" s="221"/>
      <c r="E63" s="221"/>
      <c r="F63" s="221">
        <f>+'Inversiones '!E7-Depreciaciones!F49</f>
        <v>95.25</v>
      </c>
      <c r="G63" s="221">
        <f>+F63-G49</f>
        <v>63.5</v>
      </c>
      <c r="H63" s="221">
        <f t="shared" ref="H63:N63" si="24">+G63-H49</f>
        <v>31.75</v>
      </c>
      <c r="I63" s="221">
        <f t="shared" si="24"/>
        <v>0</v>
      </c>
      <c r="J63" s="221">
        <f t="shared" si="24"/>
        <v>0</v>
      </c>
      <c r="K63" s="221">
        <f t="shared" si="24"/>
        <v>0</v>
      </c>
      <c r="L63" s="221">
        <f t="shared" si="24"/>
        <v>0</v>
      </c>
      <c r="M63" s="221">
        <f t="shared" si="24"/>
        <v>0</v>
      </c>
      <c r="N63" s="221">
        <f t="shared" si="24"/>
        <v>0</v>
      </c>
      <c r="P63" s="221" t="s">
        <v>68</v>
      </c>
      <c r="Q63" s="221"/>
      <c r="R63" s="221"/>
      <c r="S63" s="221"/>
      <c r="T63" s="221">
        <f>+'Inversiones '!F17-Depreciaciones!U50</f>
        <v>0</v>
      </c>
      <c r="U63" s="221">
        <f>+T63-U49</f>
        <v>0</v>
      </c>
      <c r="V63" s="221">
        <f t="shared" ref="V63:AB63" si="25">+U63-U49</f>
        <v>0</v>
      </c>
      <c r="W63" s="221">
        <f t="shared" si="25"/>
        <v>0</v>
      </c>
      <c r="X63" s="221">
        <f t="shared" si="25"/>
        <v>0</v>
      </c>
      <c r="Y63" s="221">
        <f t="shared" si="25"/>
        <v>0</v>
      </c>
      <c r="Z63" s="221">
        <f t="shared" si="25"/>
        <v>0</v>
      </c>
      <c r="AA63" s="221">
        <f t="shared" si="25"/>
        <v>0</v>
      </c>
      <c r="AB63" s="221">
        <f t="shared" si="25"/>
        <v>0</v>
      </c>
    </row>
    <row r="64" spans="2:28" s="109" customFormat="1" ht="10.5" customHeight="1">
      <c r="B64" s="222" t="s">
        <v>67</v>
      </c>
      <c r="C64" s="222"/>
      <c r="D64" s="222"/>
      <c r="E64" s="222"/>
      <c r="F64" s="222"/>
      <c r="G64" s="222">
        <f>+'Inversiones '!F7-Depreciaciones!G50</f>
        <v>201</v>
      </c>
      <c r="H64" s="222">
        <f>+G64-H50</f>
        <v>134</v>
      </c>
      <c r="I64" s="222">
        <f t="shared" ref="I64:N64" si="26">+H64-I50</f>
        <v>67</v>
      </c>
      <c r="J64" s="222">
        <f t="shared" si="26"/>
        <v>0</v>
      </c>
      <c r="K64" s="222">
        <f t="shared" si="26"/>
        <v>0</v>
      </c>
      <c r="L64" s="222">
        <f t="shared" si="26"/>
        <v>0</v>
      </c>
      <c r="M64" s="222">
        <f t="shared" si="26"/>
        <v>0</v>
      </c>
      <c r="N64" s="222">
        <f t="shared" si="26"/>
        <v>0</v>
      </c>
      <c r="P64" s="222" t="s">
        <v>70</v>
      </c>
      <c r="Q64" s="222"/>
      <c r="R64" s="222"/>
      <c r="S64" s="222"/>
      <c r="T64" s="222"/>
      <c r="U64" s="222">
        <f>+'Inversiones '!F17-Depreciaciones!U50</f>
        <v>0</v>
      </c>
      <c r="V64" s="222">
        <f>+U64-V51</f>
        <v>0</v>
      </c>
      <c r="W64" s="222">
        <f t="shared" ref="W64:AB64" si="27">+V64-W51</f>
        <v>0</v>
      </c>
      <c r="X64" s="222">
        <f t="shared" si="27"/>
        <v>0</v>
      </c>
      <c r="Y64" s="222">
        <f t="shared" si="27"/>
        <v>0</v>
      </c>
      <c r="Z64" s="222">
        <f t="shared" si="27"/>
        <v>0</v>
      </c>
      <c r="AA64" s="222">
        <f t="shared" si="27"/>
        <v>0</v>
      </c>
      <c r="AB64" s="222">
        <f t="shared" si="27"/>
        <v>0</v>
      </c>
    </row>
    <row r="65" spans="2:28" s="109" customFormat="1" ht="10.5" customHeight="1">
      <c r="B65" s="219" t="s">
        <v>69</v>
      </c>
      <c r="C65" s="219"/>
      <c r="D65" s="219"/>
      <c r="E65" s="219"/>
      <c r="F65" s="219"/>
      <c r="G65" s="219"/>
      <c r="H65" s="219">
        <f>+'Inversiones '!G7-Depreciaciones!H51</f>
        <v>58.5</v>
      </c>
      <c r="I65" s="219">
        <f>+H65-I51</f>
        <v>39</v>
      </c>
      <c r="J65" s="219">
        <f t="shared" ref="J65:N65" si="28">+I65-J51</f>
        <v>19.5</v>
      </c>
      <c r="K65" s="219">
        <f t="shared" si="28"/>
        <v>0</v>
      </c>
      <c r="L65" s="219">
        <f t="shared" si="28"/>
        <v>0</v>
      </c>
      <c r="M65" s="219">
        <f t="shared" si="28"/>
        <v>0</v>
      </c>
      <c r="N65" s="219">
        <f t="shared" si="28"/>
        <v>0</v>
      </c>
      <c r="P65" s="219" t="s">
        <v>72</v>
      </c>
      <c r="Q65" s="219"/>
      <c r="R65" s="219"/>
      <c r="S65" s="219"/>
      <c r="T65" s="219"/>
      <c r="U65" s="219"/>
      <c r="V65" s="219">
        <f>+'Inversiones '!G17-Depreciaciones!V51</f>
        <v>0</v>
      </c>
      <c r="W65" s="219">
        <f t="shared" ref="W65:AB65" si="29">+V65-W51</f>
        <v>0</v>
      </c>
      <c r="X65" s="219">
        <f t="shared" si="29"/>
        <v>0</v>
      </c>
      <c r="Y65" s="219">
        <f t="shared" si="29"/>
        <v>0</v>
      </c>
      <c r="Z65" s="219">
        <f t="shared" si="29"/>
        <v>0</v>
      </c>
      <c r="AA65" s="219">
        <f t="shared" si="29"/>
        <v>0</v>
      </c>
      <c r="AB65" s="219">
        <f t="shared" si="29"/>
        <v>0</v>
      </c>
    </row>
    <row r="66" spans="2:28" s="109" customFormat="1" ht="10.5" customHeight="1">
      <c r="B66" s="220" t="s">
        <v>71</v>
      </c>
      <c r="C66" s="220"/>
      <c r="D66" s="220"/>
      <c r="E66" s="220"/>
      <c r="F66" s="220"/>
      <c r="G66" s="220"/>
      <c r="H66" s="220"/>
      <c r="I66" s="220">
        <f>+'Inversiones '!H7-Depreciaciones!I52</f>
        <v>67.5</v>
      </c>
      <c r="J66" s="220">
        <f>+I66-J52</f>
        <v>45</v>
      </c>
      <c r="K66" s="220">
        <f t="shared" ref="K66:N66" si="30">+J66-K52</f>
        <v>22.5</v>
      </c>
      <c r="L66" s="220">
        <f t="shared" si="30"/>
        <v>0</v>
      </c>
      <c r="M66" s="220">
        <f>+L66-M52</f>
        <v>0</v>
      </c>
      <c r="N66" s="220">
        <f t="shared" si="30"/>
        <v>0</v>
      </c>
      <c r="P66" s="220" t="s">
        <v>74</v>
      </c>
      <c r="Q66" s="220"/>
      <c r="R66" s="220"/>
      <c r="S66" s="220"/>
      <c r="T66" s="220"/>
      <c r="U66" s="220"/>
      <c r="V66" s="220"/>
      <c r="W66" s="220">
        <f>+'Inversiones '!H17-Depreciaciones!W52</f>
        <v>0.96666666666666667</v>
      </c>
      <c r="X66" s="220">
        <f>+W66-X52</f>
        <v>0.93333333333333335</v>
      </c>
      <c r="Y66" s="220">
        <f>+X66-Y52</f>
        <v>0.9</v>
      </c>
      <c r="Z66" s="220">
        <f>+Y66-Z52</f>
        <v>0.8666666666666667</v>
      </c>
      <c r="AA66" s="220">
        <f>+Z66-AA52</f>
        <v>0.83333333333333337</v>
      </c>
      <c r="AB66" s="220">
        <f>+AA66-AB52</f>
        <v>0.8</v>
      </c>
    </row>
    <row r="67" spans="2:28" s="109" customFormat="1" ht="10.5" customHeight="1">
      <c r="B67" s="221" t="s">
        <v>73</v>
      </c>
      <c r="C67" s="221"/>
      <c r="D67" s="221"/>
      <c r="E67" s="221"/>
      <c r="F67" s="221"/>
      <c r="G67" s="221"/>
      <c r="H67" s="221"/>
      <c r="I67" s="221"/>
      <c r="J67" s="221">
        <f>+'Inversiones '!I7-Depreciaciones!J53</f>
        <v>64.5</v>
      </c>
      <c r="K67" s="221">
        <f>+J67-K53</f>
        <v>43</v>
      </c>
      <c r="L67" s="221">
        <f t="shared" ref="L67:N67" si="31">+K67-L53</f>
        <v>21.5</v>
      </c>
      <c r="M67" s="221">
        <f t="shared" si="31"/>
        <v>0</v>
      </c>
      <c r="N67" s="221">
        <f t="shared" si="31"/>
        <v>0</v>
      </c>
      <c r="P67" s="221" t="s">
        <v>76</v>
      </c>
      <c r="Q67" s="221"/>
      <c r="R67" s="221"/>
      <c r="S67" s="221"/>
      <c r="T67" s="221"/>
      <c r="U67" s="221"/>
      <c r="V67" s="221"/>
      <c r="W67" s="221"/>
      <c r="X67" s="221">
        <f>+'Inversiones '!I17-Depreciaciones!X53</f>
        <v>0</v>
      </c>
      <c r="Y67" s="221">
        <f>+X67-Y53</f>
        <v>0</v>
      </c>
      <c r="Z67" s="221">
        <f>+Y67-Z53</f>
        <v>0</v>
      </c>
      <c r="AA67" s="221">
        <f>+Z67-AA53</f>
        <v>0</v>
      </c>
      <c r="AB67" s="221">
        <f>+AA67-AB53</f>
        <v>0</v>
      </c>
    </row>
    <row r="68" spans="2:28" s="109" customFormat="1" ht="10.5" customHeight="1">
      <c r="B68" s="222" t="s">
        <v>75</v>
      </c>
      <c r="C68" s="222"/>
      <c r="D68" s="222"/>
      <c r="E68" s="222"/>
      <c r="F68" s="222"/>
      <c r="G68" s="222"/>
      <c r="H68" s="222"/>
      <c r="I68" s="222"/>
      <c r="J68" s="222"/>
      <c r="K68" s="222">
        <f>+'Inversiones '!J7-Depreciaciones!K54</f>
        <v>195</v>
      </c>
      <c r="L68" s="222">
        <f>+K68-L54</f>
        <v>130</v>
      </c>
      <c r="M68" s="222">
        <f t="shared" ref="M68:N68" si="32">+L68-M54</f>
        <v>65</v>
      </c>
      <c r="N68" s="222">
        <f t="shared" si="32"/>
        <v>0</v>
      </c>
      <c r="P68" s="222" t="s">
        <v>78</v>
      </c>
      <c r="Q68" s="222"/>
      <c r="R68" s="222"/>
      <c r="S68" s="222"/>
      <c r="T68" s="222"/>
      <c r="U68" s="222"/>
      <c r="V68" s="222"/>
      <c r="W68" s="222"/>
      <c r="X68" s="222"/>
      <c r="Y68" s="222">
        <f>+'Inversiones '!J17-Depreciaciones!Y54</f>
        <v>0</v>
      </c>
      <c r="Z68" s="222">
        <f>+Y68-Z54</f>
        <v>0</v>
      </c>
      <c r="AA68" s="222">
        <f>+Z68-AA54</f>
        <v>0</v>
      </c>
      <c r="AB68" s="222">
        <f>+AA68-AB54</f>
        <v>0</v>
      </c>
    </row>
    <row r="69" spans="2:28" s="109" customFormat="1" ht="10.5" customHeight="1">
      <c r="B69" s="219" t="s">
        <v>77</v>
      </c>
      <c r="C69" s="219"/>
      <c r="D69" s="219"/>
      <c r="E69" s="219"/>
      <c r="F69" s="219"/>
      <c r="G69" s="219"/>
      <c r="H69" s="219"/>
      <c r="I69" s="219"/>
      <c r="J69" s="219"/>
      <c r="K69" s="219"/>
      <c r="L69" s="219">
        <f>+'Inversiones '!K7-Depreciaciones!L55</f>
        <v>102.75</v>
      </c>
      <c r="M69" s="219">
        <f>+L69-M55</f>
        <v>68.5</v>
      </c>
      <c r="N69" s="219">
        <f>+M69-N55</f>
        <v>34.25</v>
      </c>
      <c r="P69" s="219" t="s">
        <v>80</v>
      </c>
      <c r="Q69" s="219"/>
      <c r="R69" s="219"/>
      <c r="S69" s="219"/>
      <c r="T69" s="219"/>
      <c r="U69" s="219"/>
      <c r="V69" s="219"/>
      <c r="W69" s="219"/>
      <c r="X69" s="219"/>
      <c r="Y69" s="219"/>
      <c r="Z69" s="219">
        <f>+'Inversiones '!L17-Depreciaciones!Z55</f>
        <v>0</v>
      </c>
      <c r="AA69" s="219">
        <f>+Z69-AA55</f>
        <v>0</v>
      </c>
      <c r="AB69" s="219">
        <f>+AA69-AB55</f>
        <v>0</v>
      </c>
    </row>
    <row r="70" spans="2:28" s="109" customFormat="1" ht="10.5" customHeight="1">
      <c r="B70" s="220" t="s">
        <v>79</v>
      </c>
      <c r="C70" s="220"/>
      <c r="D70" s="220"/>
      <c r="E70" s="220"/>
      <c r="F70" s="220"/>
      <c r="G70" s="220"/>
      <c r="H70" s="220"/>
      <c r="I70" s="220"/>
      <c r="J70" s="220"/>
      <c r="K70" s="220"/>
      <c r="L70" s="220"/>
      <c r="M70" s="220">
        <f>+'Inversiones '!L7-Depreciaciones!M56</f>
        <v>189</v>
      </c>
      <c r="N70" s="220">
        <f>+M70-N56</f>
        <v>126</v>
      </c>
      <c r="P70" s="220" t="s">
        <v>82</v>
      </c>
      <c r="Q70" s="220"/>
      <c r="R70" s="220"/>
      <c r="S70" s="220"/>
      <c r="T70" s="220"/>
      <c r="U70" s="220"/>
      <c r="V70" s="220"/>
      <c r="W70" s="220"/>
      <c r="X70" s="220"/>
      <c r="Y70" s="220"/>
      <c r="Z70" s="220"/>
      <c r="AA70" s="220">
        <f>+'Inversiones '!M17-Depreciaciones!AA56</f>
        <v>0</v>
      </c>
      <c r="AB70" s="220">
        <f>+AA70-AB56</f>
        <v>0</v>
      </c>
    </row>
    <row r="71" spans="2:28" s="109" customFormat="1" ht="10.5" customHeight="1">
      <c r="B71" s="221" t="s">
        <v>81</v>
      </c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>
        <f>+'Inversiones '!M7-Depreciaciones!N57</f>
        <v>108.75</v>
      </c>
      <c r="P71" s="221" t="s">
        <v>83</v>
      </c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>
        <f>+'Inversiones '!N17-Depreciaciones!AB57</f>
        <v>0</v>
      </c>
    </row>
    <row r="72" spans="2:28" s="109" customFormat="1" ht="14.25" customHeight="1">
      <c r="B72" s="110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11"/>
      <c r="P72" s="110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11"/>
    </row>
    <row r="73" spans="2:28" s="109" customFormat="1" ht="14.25" customHeight="1" thickBot="1">
      <c r="B73" s="42" t="s">
        <v>145</v>
      </c>
      <c r="C73" s="100">
        <f>+'Inversiones '!C7+SUM(Depreciaciones!C61:C71)</f>
        <v>381.3485714285714</v>
      </c>
      <c r="D73" s="100">
        <f>+'Inversiones '!D7+SUM(Depreciaciones!D61:D71)</f>
        <v>470.33142857142855</v>
      </c>
      <c r="E73" s="100">
        <f>+'Inversiones '!E7+SUM(Depreciaciones!E61:E71)</f>
        <v>455.91428571428571</v>
      </c>
      <c r="F73" s="100">
        <f>+'Inversiones '!F7+SUM(Depreciaciones!F61:F71)</f>
        <v>550.74714285714288</v>
      </c>
      <c r="G73" s="100">
        <f>+'Inversiones '!G7+SUM(Depreciaciones!G61:G71)</f>
        <v>388.58000000000004</v>
      </c>
      <c r="H73" s="100">
        <f>+'Inversiones '!H7+SUM(Depreciaciones!H61:H71)</f>
        <v>314.25</v>
      </c>
      <c r="I73" s="100">
        <f>+'Inversiones '!I7+SUM(Depreciaciones!I61:I71)</f>
        <v>259.5</v>
      </c>
      <c r="J73" s="100">
        <f>+'Inversiones '!J7+SUM(Depreciaciones!J61:J71)</f>
        <v>389</v>
      </c>
      <c r="K73" s="100">
        <f>+'Inversiones '!K7+SUM(Depreciaciones!K61:K71)</f>
        <v>397.5</v>
      </c>
      <c r="L73" s="100">
        <f>+'Inversiones '!L7+SUM(Depreciaciones!L61:L71)</f>
        <v>506.25</v>
      </c>
      <c r="M73" s="100">
        <f>+'Inversiones '!M7+SUM(Depreciaciones!M61:M71)</f>
        <v>467.5</v>
      </c>
      <c r="N73" s="100">
        <f>+'Inversiones '!N7+SUM(Depreciaciones!N61:N71)</f>
        <v>432</v>
      </c>
      <c r="P73" s="113"/>
      <c r="Q73" s="348">
        <f>+'Inversiones '!C17+SUM(Depreciaciones!Q61:Q71)</f>
        <v>3798.3879999999999</v>
      </c>
      <c r="R73" s="348">
        <f>+'Inversiones '!D17+SUM(Depreciaciones!R61:R71)</f>
        <v>3996.7750666666666</v>
      </c>
      <c r="S73" s="348">
        <f>+'Inversiones '!E17+SUM(Depreciaciones!S61:S71)</f>
        <v>3810.3287999999998</v>
      </c>
      <c r="T73" s="348">
        <f>+'Inversiones '!F17+SUM(Depreciaciones!T61:T71)</f>
        <v>3721.8825333333334</v>
      </c>
      <c r="U73" s="348">
        <f>+'Inversiones '!G17+SUM(Depreciaciones!U61:U71)</f>
        <v>3584.4362666666666</v>
      </c>
      <c r="V73" s="348">
        <f>+'Inversiones '!H17+SUM(Depreciaciones!V61:V71)</f>
        <v>3447.99</v>
      </c>
      <c r="W73" s="348">
        <f>+'Inversiones '!I17+SUM(Depreciaciones!W61:W71)</f>
        <v>3310.5104000000001</v>
      </c>
      <c r="X73" s="348">
        <f>+'Inversiones '!J17+SUM(Depreciaciones!X61:X71)</f>
        <v>3173.0308</v>
      </c>
      <c r="Y73" s="348">
        <f>+'Inversiones '!K17+SUM(Depreciaciones!Y61:Y71)</f>
        <v>3035.5512000000003</v>
      </c>
      <c r="Z73" s="348">
        <f>+'Inversiones '!L17+SUM(Depreciaciones!Z61:Z71)</f>
        <v>2898.0716000000002</v>
      </c>
      <c r="AA73" s="348">
        <f>+'Inversiones '!M17+SUM(Depreciaciones!AA61:AA71)</f>
        <v>2760.5920000000001</v>
      </c>
      <c r="AB73" s="348">
        <f>+'Inversiones '!N17+SUM(Depreciaciones!AB61:AB71)</f>
        <v>2623.1124</v>
      </c>
    </row>
    <row r="74" spans="2:28" s="109" customFormat="1" ht="14.25" customHeight="1" thickTop="1"/>
    <row r="75" spans="2:28" s="109" customFormat="1" ht="14.25" customHeight="1"/>
    <row r="76" spans="2:28" s="109" customFormat="1" ht="14.25" customHeight="1">
      <c r="E76" s="93"/>
      <c r="F76" s="93"/>
      <c r="G76" s="93"/>
      <c r="H76" s="93"/>
      <c r="I76" s="93"/>
      <c r="J76" s="93"/>
      <c r="K76" s="93"/>
      <c r="L76" s="93"/>
      <c r="M76" s="93"/>
      <c r="N76" s="93"/>
    </row>
    <row r="77" spans="2:28" s="109" customFormat="1" ht="14.25" customHeight="1" thickBot="1">
      <c r="B77" s="99" t="s">
        <v>144</v>
      </c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P77" s="99" t="s">
        <v>150</v>
      </c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</row>
    <row r="78" spans="2:28" s="109" customFormat="1" ht="14.25" customHeight="1" thickTop="1" thickBot="1">
      <c r="B78" s="42" t="s">
        <v>143</v>
      </c>
      <c r="C78" s="42">
        <v>2001</v>
      </c>
      <c r="D78" s="42">
        <v>2002</v>
      </c>
      <c r="E78" s="42">
        <v>2003</v>
      </c>
      <c r="F78" s="42">
        <v>2004</v>
      </c>
      <c r="G78" s="42">
        <v>2005</v>
      </c>
      <c r="H78" s="42">
        <v>2006</v>
      </c>
      <c r="I78" s="42">
        <v>2007</v>
      </c>
      <c r="J78" s="42">
        <v>2008</v>
      </c>
      <c r="K78" s="42">
        <v>2009</v>
      </c>
      <c r="L78" s="42">
        <v>2010</v>
      </c>
      <c r="M78" s="42">
        <v>2011</v>
      </c>
      <c r="N78" s="42">
        <v>2012</v>
      </c>
      <c r="P78" s="42" t="s">
        <v>143</v>
      </c>
      <c r="Q78" s="42">
        <v>2001</v>
      </c>
      <c r="R78" s="42">
        <v>2002</v>
      </c>
      <c r="S78" s="42">
        <v>2003</v>
      </c>
      <c r="T78" s="42">
        <v>2004</v>
      </c>
      <c r="U78" s="42">
        <v>2005</v>
      </c>
      <c r="V78" s="42">
        <v>2006</v>
      </c>
      <c r="W78" s="42">
        <v>2007</v>
      </c>
      <c r="X78" s="42">
        <v>2008</v>
      </c>
      <c r="Y78" s="42">
        <v>2009</v>
      </c>
      <c r="Z78" s="42">
        <v>2010</v>
      </c>
      <c r="AA78" s="42">
        <v>2011</v>
      </c>
      <c r="AB78" s="42">
        <v>2012</v>
      </c>
    </row>
    <row r="79" spans="2:28" s="109" customFormat="1" ht="10.5" customHeight="1" thickTop="1">
      <c r="B79" s="219" t="s">
        <v>84</v>
      </c>
      <c r="C79" s="219"/>
      <c r="D79" s="219">
        <f>+'Inversiones '!$C$8*Depreciaciones!$D$5</f>
        <v>36.820457142857144</v>
      </c>
      <c r="E79" s="219">
        <f>+'Inversiones '!$C$8*Depreciaciones!$D$5</f>
        <v>36.820457142857144</v>
      </c>
      <c r="F79" s="219">
        <f>+'Inversiones '!$C$8*Depreciaciones!$D$5</f>
        <v>36.820457142857144</v>
      </c>
      <c r="G79" s="219">
        <f>+'Inversiones '!$C$8*Depreciaciones!$D$5</f>
        <v>36.820457142857144</v>
      </c>
      <c r="H79" s="219">
        <f>+'Inversiones '!$C$8*Depreciaciones!$D$5</f>
        <v>36.820457142857144</v>
      </c>
      <c r="I79" s="219">
        <f>+'Inversiones '!$C$8*Depreciaciones!$D$5</f>
        <v>36.820457142857144</v>
      </c>
      <c r="J79" s="219">
        <f>+'Inversiones '!$C$8*Depreciaciones!$D$5</f>
        <v>36.820457142857144</v>
      </c>
      <c r="K79" s="219">
        <f>+'Inversiones '!$C$8*Depreciaciones!$D$5</f>
        <v>36.820457142857144</v>
      </c>
      <c r="L79" s="219">
        <f>+'Inversiones '!$C$8*Depreciaciones!$D$5</f>
        <v>36.820457142857144</v>
      </c>
      <c r="M79" s="219">
        <f>+'Inversiones '!$C$8*Depreciaciones!$D$5</f>
        <v>36.820457142857144</v>
      </c>
      <c r="N79" s="219"/>
      <c r="P79" s="219" t="s">
        <v>86</v>
      </c>
      <c r="Q79" s="219"/>
      <c r="R79" s="219">
        <f>+'Inversiones '!$C$18*Depreciaciones!$H$5</f>
        <v>62.677942857142867</v>
      </c>
      <c r="S79" s="219">
        <f>+'Inversiones '!$C$18*Depreciaciones!$H$5</f>
        <v>62.677942857142867</v>
      </c>
      <c r="T79" s="219">
        <f>+'Inversiones '!$C$18*Depreciaciones!$H$5</f>
        <v>62.677942857142867</v>
      </c>
      <c r="U79" s="219">
        <f>+'Inversiones '!$C$18*Depreciaciones!$H$5</f>
        <v>62.677942857142867</v>
      </c>
      <c r="V79" s="219">
        <f>+'Inversiones '!$C$18*Depreciaciones!$H$5</f>
        <v>62.677942857142867</v>
      </c>
      <c r="W79" s="219">
        <f>+'Inversiones '!$C$18*Depreciaciones!$H$5</f>
        <v>62.677942857142867</v>
      </c>
      <c r="X79" s="219">
        <f>+'Inversiones '!$C$18*Depreciaciones!$H$5</f>
        <v>62.677942857142867</v>
      </c>
      <c r="Y79" s="219">
        <f>+'Inversiones '!$C$18*Depreciaciones!$H$5</f>
        <v>62.677942857142867</v>
      </c>
      <c r="Z79" s="219">
        <f>+'Inversiones '!$C$18*Depreciaciones!$H$5</f>
        <v>62.677942857142867</v>
      </c>
      <c r="AA79" s="219">
        <f>+'Inversiones '!$C$18*Depreciaciones!$H$5</f>
        <v>62.677942857142867</v>
      </c>
      <c r="AB79" s="219">
        <f>+'Inversiones '!$C$18*Depreciaciones!$H$5</f>
        <v>62.677942857142867</v>
      </c>
    </row>
    <row r="80" spans="2:28" s="109" customFormat="1" ht="10.5" customHeight="1">
      <c r="B80" s="220" t="s">
        <v>85</v>
      </c>
      <c r="C80" s="220"/>
      <c r="D80" s="220"/>
      <c r="E80" s="220">
        <f>+'Inversiones '!$D$8*Depreciaciones!$D$5</f>
        <v>15.1821</v>
      </c>
      <c r="F80" s="220">
        <f>+'Inversiones '!$D$8*Depreciaciones!$D$5</f>
        <v>15.1821</v>
      </c>
      <c r="G80" s="220">
        <f>+'Inversiones '!$D$8*Depreciaciones!$D$5</f>
        <v>15.1821</v>
      </c>
      <c r="H80" s="220">
        <f>+'Inversiones '!$D$8*Depreciaciones!$D$5</f>
        <v>15.1821</v>
      </c>
      <c r="I80" s="220">
        <f>+'Inversiones '!$D$8*Depreciaciones!$D$5</f>
        <v>15.1821</v>
      </c>
      <c r="J80" s="220">
        <f>+'Inversiones '!$D$8*Depreciaciones!$D$5</f>
        <v>15.1821</v>
      </c>
      <c r="K80" s="220">
        <f>+'Inversiones '!$D$8*Depreciaciones!$D$5</f>
        <v>15.1821</v>
      </c>
      <c r="L80" s="220">
        <f>+'Inversiones '!$D$8*Depreciaciones!$D$5</f>
        <v>15.1821</v>
      </c>
      <c r="M80" s="220">
        <f>+'Inversiones '!$D$8*Depreciaciones!$D$5</f>
        <v>15.1821</v>
      </c>
      <c r="N80" s="220">
        <f>+'Inversiones '!$D$8*Depreciaciones!$D$5</f>
        <v>15.1821</v>
      </c>
      <c r="P80" s="220" t="s">
        <v>88</v>
      </c>
      <c r="Q80" s="220"/>
      <c r="R80" s="220"/>
      <c r="S80" s="220">
        <f>+'Inversiones '!$D$18*Depreciaciones!$H$5</f>
        <v>2.1</v>
      </c>
      <c r="T80" s="220">
        <f>+'Inversiones '!$D$18*Depreciaciones!$H$5</f>
        <v>2.1</v>
      </c>
      <c r="U80" s="220">
        <f>+'Inversiones '!$D$18*Depreciaciones!$H$5</f>
        <v>2.1</v>
      </c>
      <c r="V80" s="220">
        <f>+'Inversiones '!$D$18*Depreciaciones!$H$5</f>
        <v>2.1</v>
      </c>
      <c r="W80" s="220">
        <f>+'Inversiones '!$D$18*Depreciaciones!$H$5</f>
        <v>2.1</v>
      </c>
      <c r="X80" s="220">
        <f>+'Inversiones '!$D$18*Depreciaciones!$H$5</f>
        <v>2.1</v>
      </c>
      <c r="Y80" s="220">
        <f>+'Inversiones '!$D$18*Depreciaciones!$H$5</f>
        <v>2.1</v>
      </c>
      <c r="Z80" s="220">
        <f>+'Inversiones '!$D$18*Depreciaciones!$H$5</f>
        <v>2.1</v>
      </c>
      <c r="AA80" s="220">
        <f>+'Inversiones '!$D$18*Depreciaciones!$H$5</f>
        <v>2.1</v>
      </c>
      <c r="AB80" s="220">
        <f>+'Inversiones '!$D$18*Depreciaciones!$H$5</f>
        <v>2.1</v>
      </c>
    </row>
    <row r="81" spans="2:28" s="109" customFormat="1" ht="10.5" customHeight="1">
      <c r="B81" s="221" t="s">
        <v>87</v>
      </c>
      <c r="C81" s="221"/>
      <c r="D81" s="221"/>
      <c r="E81" s="221"/>
      <c r="F81" s="221">
        <f>+'Inversiones '!$E$8*Depreciaciones!$D$5</f>
        <v>14.3</v>
      </c>
      <c r="G81" s="221">
        <f>+'Inversiones '!$E$8*Depreciaciones!$D$5</f>
        <v>14.3</v>
      </c>
      <c r="H81" s="221">
        <f>+'Inversiones '!$E$8*Depreciaciones!$D$5</f>
        <v>14.3</v>
      </c>
      <c r="I81" s="221">
        <f>+'Inversiones '!$E$8*Depreciaciones!$D$5</f>
        <v>14.3</v>
      </c>
      <c r="J81" s="221">
        <f>+'Inversiones '!$E$8*Depreciaciones!$D$5</f>
        <v>14.3</v>
      </c>
      <c r="K81" s="221">
        <f>+'Inversiones '!$E$8*Depreciaciones!$D$5</f>
        <v>14.3</v>
      </c>
      <c r="L81" s="221">
        <f>+'Inversiones '!$E$8*Depreciaciones!$D$5</f>
        <v>14.3</v>
      </c>
      <c r="M81" s="221">
        <f>+'Inversiones '!$E$8*Depreciaciones!$D$5</f>
        <v>14.3</v>
      </c>
      <c r="N81" s="221">
        <f>+'Inversiones '!$E$8*Depreciaciones!$D$5</f>
        <v>14.3</v>
      </c>
      <c r="P81" s="221" t="s">
        <v>90</v>
      </c>
      <c r="Q81" s="221"/>
      <c r="R81" s="221"/>
      <c r="S81" s="221"/>
      <c r="T81" s="221">
        <f>+'Inversiones '!$E$18*Depreciaciones!$H$5</f>
        <v>20.200000000000003</v>
      </c>
      <c r="U81" s="221">
        <f>+'Inversiones '!$E$18*Depreciaciones!$H$5</f>
        <v>20.200000000000003</v>
      </c>
      <c r="V81" s="221">
        <f>+'Inversiones '!$E$18*Depreciaciones!$H$5</f>
        <v>20.200000000000003</v>
      </c>
      <c r="W81" s="221">
        <f>+'Inversiones '!$E$18*Depreciaciones!$H$5</f>
        <v>20.200000000000003</v>
      </c>
      <c r="X81" s="221">
        <f>+'Inversiones '!$E$18*Depreciaciones!$H$5</f>
        <v>20.200000000000003</v>
      </c>
      <c r="Y81" s="221">
        <f>+'Inversiones '!$E$18*Depreciaciones!$H$5</f>
        <v>20.200000000000003</v>
      </c>
      <c r="Z81" s="221">
        <f>+'Inversiones '!$E$18*Depreciaciones!$H$5</f>
        <v>20.200000000000003</v>
      </c>
      <c r="AA81" s="221">
        <f>+'Inversiones '!$E$18*Depreciaciones!$H$5</f>
        <v>20.200000000000003</v>
      </c>
      <c r="AB81" s="221">
        <f>+'Inversiones '!$E$18*Depreciaciones!$H$5</f>
        <v>20.200000000000003</v>
      </c>
    </row>
    <row r="82" spans="2:28" s="109" customFormat="1" ht="10.5" customHeight="1">
      <c r="B82" s="222" t="s">
        <v>89</v>
      </c>
      <c r="C82" s="222"/>
      <c r="D82" s="222"/>
      <c r="E82" s="222"/>
      <c r="F82" s="222"/>
      <c r="G82" s="222">
        <f>+'Inversiones '!$F$8*Depreciaciones!$D$5</f>
        <v>7.6000000000000005</v>
      </c>
      <c r="H82" s="222">
        <f>+'Inversiones '!$F$8*Depreciaciones!$D$5</f>
        <v>7.6000000000000005</v>
      </c>
      <c r="I82" s="222">
        <f>+'Inversiones '!$F$8*Depreciaciones!$D$5</f>
        <v>7.6000000000000005</v>
      </c>
      <c r="J82" s="222">
        <f>+'Inversiones '!$F$8*Depreciaciones!$D$5</f>
        <v>7.6000000000000005</v>
      </c>
      <c r="K82" s="222">
        <f>+'Inversiones '!$F$8*Depreciaciones!$D$5</f>
        <v>7.6000000000000005</v>
      </c>
      <c r="L82" s="222">
        <f>+'Inversiones '!$F$8*Depreciaciones!$D$5</f>
        <v>7.6000000000000005</v>
      </c>
      <c r="M82" s="222">
        <f>+'Inversiones '!$F$8*Depreciaciones!$D$5</f>
        <v>7.6000000000000005</v>
      </c>
      <c r="N82" s="222">
        <f>+'Inversiones '!$F$8*Depreciaciones!$D$5</f>
        <v>7.6000000000000005</v>
      </c>
      <c r="P82" s="222" t="s">
        <v>92</v>
      </c>
      <c r="Q82" s="222"/>
      <c r="R82" s="222"/>
      <c r="S82" s="222"/>
      <c r="T82" s="222"/>
      <c r="U82" s="222">
        <f>+'Inversiones '!$F$18*Depreciaciones!$H$5</f>
        <v>1.9000000000000001</v>
      </c>
      <c r="V82" s="222">
        <f>+'Inversiones '!$F$18*Depreciaciones!$H$5</f>
        <v>1.9000000000000001</v>
      </c>
      <c r="W82" s="222">
        <f>+'Inversiones '!$F$18*Depreciaciones!$H$5</f>
        <v>1.9000000000000001</v>
      </c>
      <c r="X82" s="222">
        <f>+'Inversiones '!$F$18*Depreciaciones!$H$5</f>
        <v>1.9000000000000001</v>
      </c>
      <c r="Y82" s="222">
        <f>+'Inversiones '!$F$18*Depreciaciones!$H$5</f>
        <v>1.9000000000000001</v>
      </c>
      <c r="Z82" s="222">
        <f>+'Inversiones '!$F$18*Depreciaciones!$H$5</f>
        <v>1.9000000000000001</v>
      </c>
      <c r="AA82" s="222">
        <f>+'Inversiones '!$F$18*Depreciaciones!$H$5</f>
        <v>1.9000000000000001</v>
      </c>
      <c r="AB82" s="222">
        <f>+'Inversiones '!$F$18*Depreciaciones!$H$5</f>
        <v>1.9000000000000001</v>
      </c>
    </row>
    <row r="83" spans="2:28" s="109" customFormat="1" ht="10.5" customHeight="1">
      <c r="B83" s="219" t="s">
        <v>91</v>
      </c>
      <c r="C83" s="219"/>
      <c r="D83" s="219"/>
      <c r="E83" s="219"/>
      <c r="F83" s="219"/>
      <c r="G83" s="219"/>
      <c r="H83" s="219">
        <f>+'Inversiones '!$G$8*Depreciaciones!$D$5</f>
        <v>0.4</v>
      </c>
      <c r="I83" s="219">
        <f>+'Inversiones '!$G$8*Depreciaciones!$D$5</f>
        <v>0.4</v>
      </c>
      <c r="J83" s="219">
        <f>+'Inversiones '!$G$8*Depreciaciones!$D$5</f>
        <v>0.4</v>
      </c>
      <c r="K83" s="219">
        <f>+'Inversiones '!$G$8*Depreciaciones!$D$5</f>
        <v>0.4</v>
      </c>
      <c r="L83" s="219">
        <f>+'Inversiones '!$G$8*Depreciaciones!$D$5</f>
        <v>0.4</v>
      </c>
      <c r="M83" s="219">
        <f>+'Inversiones '!$G$8*Depreciaciones!$D$5</f>
        <v>0.4</v>
      </c>
      <c r="N83" s="219">
        <f>+'Inversiones '!$G$8*Depreciaciones!$D$5</f>
        <v>0.4</v>
      </c>
      <c r="P83" s="219" t="s">
        <v>94</v>
      </c>
      <c r="Q83" s="219"/>
      <c r="R83" s="219"/>
      <c r="S83" s="219"/>
      <c r="T83" s="219"/>
      <c r="U83" s="219"/>
      <c r="V83" s="219">
        <f>+'Inversiones '!$G$18*Depreciaciones!$H$5</f>
        <v>41.1</v>
      </c>
      <c r="W83" s="219">
        <f>+'Inversiones '!$G$18*Depreciaciones!$H$5</f>
        <v>41.1</v>
      </c>
      <c r="X83" s="219">
        <f>+'Inversiones '!$G$18*Depreciaciones!$H$5</f>
        <v>41.1</v>
      </c>
      <c r="Y83" s="219">
        <f>+'Inversiones '!$G$18*Depreciaciones!$H$5</f>
        <v>41.1</v>
      </c>
      <c r="Z83" s="219">
        <f>+'Inversiones '!$G$18*Depreciaciones!$H$5</f>
        <v>41.1</v>
      </c>
      <c r="AA83" s="219">
        <f>+'Inversiones '!$G$18*Depreciaciones!$H$5</f>
        <v>41.1</v>
      </c>
      <c r="AB83" s="219">
        <f>+'Inversiones '!$G$18*Depreciaciones!$H$5</f>
        <v>41.1</v>
      </c>
    </row>
    <row r="84" spans="2:28" s="109" customFormat="1" ht="10.5" customHeight="1">
      <c r="B84" s="220" t="s">
        <v>93</v>
      </c>
      <c r="C84" s="220"/>
      <c r="D84" s="220"/>
      <c r="E84" s="220"/>
      <c r="F84" s="220"/>
      <c r="G84" s="220"/>
      <c r="H84" s="220"/>
      <c r="I84" s="220">
        <f>+'Inversiones '!$H$8*Depreciaciones!$D$5</f>
        <v>109.10000000000001</v>
      </c>
      <c r="J84" s="220">
        <f>+'Inversiones '!$H$8*Depreciaciones!$D$5</f>
        <v>109.10000000000001</v>
      </c>
      <c r="K84" s="220">
        <f>+'Inversiones '!$H$8*Depreciaciones!$D$5</f>
        <v>109.10000000000001</v>
      </c>
      <c r="L84" s="220">
        <f>+'Inversiones '!$H$8*Depreciaciones!$D$5</f>
        <v>109.10000000000001</v>
      </c>
      <c r="M84" s="220">
        <f>+'Inversiones '!$H$8*Depreciaciones!$D$5</f>
        <v>109.10000000000001</v>
      </c>
      <c r="N84" s="220">
        <f>+'Inversiones '!$H$8*Depreciaciones!$D$5</f>
        <v>109.10000000000001</v>
      </c>
      <c r="P84" s="220" t="s">
        <v>96</v>
      </c>
      <c r="Q84" s="220"/>
      <c r="R84" s="220"/>
      <c r="S84" s="220"/>
      <c r="T84" s="220"/>
      <c r="U84" s="220"/>
      <c r="V84" s="220"/>
      <c r="W84" s="220">
        <f>+'Inversiones '!$H$18*Depreciaciones!$H$5</f>
        <v>57.800000000000004</v>
      </c>
      <c r="X84" s="220">
        <f>+'Inversiones '!$H$18*Depreciaciones!$H$5</f>
        <v>57.800000000000004</v>
      </c>
      <c r="Y84" s="220">
        <f>+'Inversiones '!$H$18*Depreciaciones!$H$5</f>
        <v>57.800000000000004</v>
      </c>
      <c r="Z84" s="220">
        <f>+'Inversiones '!$H$18*Depreciaciones!$H$5</f>
        <v>57.800000000000004</v>
      </c>
      <c r="AA84" s="220">
        <f>+'Inversiones '!$H$18*Depreciaciones!$H$5</f>
        <v>57.800000000000004</v>
      </c>
      <c r="AB84" s="220">
        <f>+'Inversiones '!$H$18*Depreciaciones!$H$5</f>
        <v>57.800000000000004</v>
      </c>
    </row>
    <row r="85" spans="2:28" s="109" customFormat="1" ht="10.5" customHeight="1">
      <c r="B85" s="221" t="s">
        <v>95</v>
      </c>
      <c r="C85" s="221"/>
      <c r="D85" s="221"/>
      <c r="E85" s="221"/>
      <c r="F85" s="221"/>
      <c r="G85" s="221"/>
      <c r="H85" s="221"/>
      <c r="I85" s="221"/>
      <c r="J85" s="221">
        <f>+'Inversiones '!$I$8*Depreciaciones!$D$5</f>
        <v>12.5</v>
      </c>
      <c r="K85" s="221">
        <f>+'Inversiones '!$I$8*Depreciaciones!$D$5</f>
        <v>12.5</v>
      </c>
      <c r="L85" s="221">
        <f>+'Inversiones '!$I$8*Depreciaciones!$D$5</f>
        <v>12.5</v>
      </c>
      <c r="M85" s="221">
        <f>+'Inversiones '!$I$8*Depreciaciones!$D$5</f>
        <v>12.5</v>
      </c>
      <c r="N85" s="221">
        <f>+'Inversiones '!$I$8*Depreciaciones!$D$5</f>
        <v>12.5</v>
      </c>
      <c r="P85" s="221" t="s">
        <v>98</v>
      </c>
      <c r="Q85" s="221"/>
      <c r="R85" s="221"/>
      <c r="S85" s="221"/>
      <c r="T85" s="221"/>
      <c r="U85" s="221"/>
      <c r="V85" s="221"/>
      <c r="W85" s="221"/>
      <c r="X85" s="221">
        <f>+'Inversiones '!$I$18*Depreciaciones!$H$5</f>
        <v>0</v>
      </c>
      <c r="Y85" s="221">
        <f>+'Inversiones '!$I$18*Depreciaciones!$H$5</f>
        <v>0</v>
      </c>
      <c r="Z85" s="221">
        <f>+'Inversiones '!$I$18*Depreciaciones!$H$5</f>
        <v>0</v>
      </c>
      <c r="AA85" s="221">
        <f>+'Inversiones '!$I$18*Depreciaciones!$H$5</f>
        <v>0</v>
      </c>
      <c r="AB85" s="221">
        <f>+'Inversiones '!$I$18*Depreciaciones!$H$5</f>
        <v>0</v>
      </c>
    </row>
    <row r="86" spans="2:28" s="109" customFormat="1" ht="10.5" customHeight="1">
      <c r="B86" s="222" t="s">
        <v>97</v>
      </c>
      <c r="C86" s="222"/>
      <c r="D86" s="222"/>
      <c r="E86" s="222"/>
      <c r="F86" s="222"/>
      <c r="G86" s="222"/>
      <c r="H86" s="222"/>
      <c r="I86" s="222"/>
      <c r="J86" s="222"/>
      <c r="K86" s="222">
        <f>+'Inversiones '!$J$8*Depreciaciones!$D$5</f>
        <v>46.400000000000006</v>
      </c>
      <c r="L86" s="222">
        <f>+'Inversiones '!$J$8*Depreciaciones!$D$5</f>
        <v>46.400000000000006</v>
      </c>
      <c r="M86" s="222">
        <f>+'Inversiones '!$J$8*Depreciaciones!$D$5</f>
        <v>46.400000000000006</v>
      </c>
      <c r="N86" s="222">
        <f>+'Inversiones '!$J$8*Depreciaciones!$D$5</f>
        <v>46.400000000000006</v>
      </c>
      <c r="P86" s="222" t="s">
        <v>100</v>
      </c>
      <c r="Q86" s="222"/>
      <c r="R86" s="222"/>
      <c r="S86" s="222"/>
      <c r="T86" s="222"/>
      <c r="U86" s="222"/>
      <c r="V86" s="222"/>
      <c r="W86" s="222"/>
      <c r="X86" s="222"/>
      <c r="Y86" s="222">
        <f>+'Inversiones '!$J$18*Depreciaciones!$H$5</f>
        <v>28.3</v>
      </c>
      <c r="Z86" s="222">
        <f>+'Inversiones '!$J$18*Depreciaciones!$H$5</f>
        <v>28.3</v>
      </c>
      <c r="AA86" s="222">
        <f>+'Inversiones '!$J$18*Depreciaciones!$H$5</f>
        <v>28.3</v>
      </c>
      <c r="AB86" s="222">
        <f>+'Inversiones '!$J$18*Depreciaciones!$H$5</f>
        <v>28.3</v>
      </c>
    </row>
    <row r="87" spans="2:28" s="109" customFormat="1" ht="10.5" customHeight="1">
      <c r="B87" s="219" t="s">
        <v>99</v>
      </c>
      <c r="C87" s="219"/>
      <c r="D87" s="219"/>
      <c r="E87" s="219"/>
      <c r="F87" s="219"/>
      <c r="G87" s="219"/>
      <c r="H87" s="219"/>
      <c r="I87" s="219"/>
      <c r="J87" s="219"/>
      <c r="K87" s="219"/>
      <c r="L87" s="219">
        <f>+'Inversiones '!$K$8*Depreciaciones!$D$5</f>
        <v>16.400000000000002</v>
      </c>
      <c r="M87" s="219">
        <f>+'Inversiones '!$K$8*Depreciaciones!$D$5</f>
        <v>16.400000000000002</v>
      </c>
      <c r="N87" s="219">
        <f>+'Inversiones '!$K$8*Depreciaciones!$D$5</f>
        <v>16.400000000000002</v>
      </c>
      <c r="P87" s="219" t="s">
        <v>102</v>
      </c>
      <c r="Q87" s="219"/>
      <c r="R87" s="219"/>
      <c r="S87" s="219"/>
      <c r="T87" s="219"/>
      <c r="U87" s="219"/>
      <c r="V87" s="219"/>
      <c r="W87" s="219"/>
      <c r="X87" s="219"/>
      <c r="Y87" s="219"/>
      <c r="Z87" s="219">
        <f>+'Inversiones '!$K$18*Depreciaciones!$H$5</f>
        <v>31.1</v>
      </c>
      <c r="AA87" s="219">
        <f>+'Inversiones '!$K$18*Depreciaciones!$H$5</f>
        <v>31.1</v>
      </c>
      <c r="AB87" s="219">
        <f>+'Inversiones '!$K$18*Depreciaciones!$H$5</f>
        <v>31.1</v>
      </c>
    </row>
    <row r="88" spans="2:28" s="109" customFormat="1" ht="10.5" customHeight="1">
      <c r="B88" s="220" t="s">
        <v>101</v>
      </c>
      <c r="C88" s="220"/>
      <c r="D88" s="220"/>
      <c r="E88" s="220"/>
      <c r="F88" s="220"/>
      <c r="G88" s="220"/>
      <c r="H88" s="220"/>
      <c r="I88" s="220"/>
      <c r="J88" s="220"/>
      <c r="K88" s="220"/>
      <c r="L88" s="220"/>
      <c r="M88" s="220">
        <f>+'Inversiones '!$L$8*Depreciaciones!$D$5</f>
        <v>24</v>
      </c>
      <c r="N88" s="220">
        <f>+'Inversiones '!$L$8*Depreciaciones!$D$5</f>
        <v>24</v>
      </c>
      <c r="P88" s="220" t="s">
        <v>104</v>
      </c>
      <c r="Q88" s="220"/>
      <c r="R88" s="220"/>
      <c r="S88" s="220"/>
      <c r="T88" s="220"/>
      <c r="U88" s="220"/>
      <c r="V88" s="220"/>
      <c r="W88" s="220"/>
      <c r="X88" s="220"/>
      <c r="Y88" s="220"/>
      <c r="Z88" s="220"/>
      <c r="AA88" s="220">
        <f>+'Inversiones '!$L$18*Depreciaciones!$H$5</f>
        <v>21</v>
      </c>
      <c r="AB88" s="220">
        <f>+'Inversiones '!$L$18*Depreciaciones!$H$5</f>
        <v>21</v>
      </c>
    </row>
    <row r="89" spans="2:28" s="109" customFormat="1" ht="10.5" customHeight="1">
      <c r="B89" s="221" t="s">
        <v>103</v>
      </c>
      <c r="C89" s="221"/>
      <c r="D89" s="221"/>
      <c r="E89" s="221"/>
      <c r="F89" s="221"/>
      <c r="G89" s="221"/>
      <c r="H89" s="221"/>
      <c r="I89" s="221"/>
      <c r="J89" s="221"/>
      <c r="K89" s="221"/>
      <c r="L89" s="221"/>
      <c r="M89" s="221"/>
      <c r="N89" s="221">
        <f>+'Inversiones '!$M$8*Depreciaciones!$D$5</f>
        <v>10.3</v>
      </c>
      <c r="P89" s="221" t="s">
        <v>105</v>
      </c>
      <c r="Q89" s="221"/>
      <c r="R89" s="221"/>
      <c r="S89" s="221"/>
      <c r="T89" s="221"/>
      <c r="U89" s="221"/>
      <c r="V89" s="221"/>
      <c r="W89" s="221"/>
      <c r="X89" s="221"/>
      <c r="Y89" s="221"/>
      <c r="Z89" s="221"/>
      <c r="AA89" s="221"/>
      <c r="AB89" s="221">
        <f>+'Inversiones '!$M$18*Depreciaciones!$H$5</f>
        <v>14.700000000000001</v>
      </c>
    </row>
    <row r="90" spans="2:28" s="109" customFormat="1" ht="14.25" customHeight="1">
      <c r="B90" s="110"/>
      <c r="C90" s="105">
        <f>SUM(C79:C89)</f>
        <v>0</v>
      </c>
      <c r="D90" s="105">
        <f t="shared" ref="D90:N90" si="33">SUM(D79:D89)</f>
        <v>36.820457142857144</v>
      </c>
      <c r="E90" s="105">
        <f t="shared" si="33"/>
        <v>52.002557142857142</v>
      </c>
      <c r="F90" s="105">
        <f t="shared" si="33"/>
        <v>66.30255714285714</v>
      </c>
      <c r="G90" s="105">
        <f t="shared" si="33"/>
        <v>73.902557142857134</v>
      </c>
      <c r="H90" s="105">
        <f t="shared" si="33"/>
        <v>74.30255714285714</v>
      </c>
      <c r="I90" s="105">
        <f t="shared" si="33"/>
        <v>183.40255714285715</v>
      </c>
      <c r="J90" s="105">
        <f t="shared" si="33"/>
        <v>195.90255714285715</v>
      </c>
      <c r="K90" s="105">
        <f t="shared" si="33"/>
        <v>242.30255714285715</v>
      </c>
      <c r="L90" s="105">
        <f t="shared" si="33"/>
        <v>258.70255714285713</v>
      </c>
      <c r="M90" s="105">
        <f t="shared" si="33"/>
        <v>282.70255714285713</v>
      </c>
      <c r="N90" s="105">
        <f t="shared" si="33"/>
        <v>256.18210000000005</v>
      </c>
      <c r="P90" s="110"/>
      <c r="Q90" s="108">
        <f>SUM(Q79:Q89)</f>
        <v>0</v>
      </c>
      <c r="R90" s="108">
        <f t="shared" ref="R90:AB90" si="34">SUM(R79:R89)</f>
        <v>62.677942857142867</v>
      </c>
      <c r="S90" s="108">
        <f t="shared" si="34"/>
        <v>64.777942857142861</v>
      </c>
      <c r="T90" s="108">
        <f t="shared" si="34"/>
        <v>84.977942857142864</v>
      </c>
      <c r="U90" s="108">
        <f t="shared" si="34"/>
        <v>86.87794285714287</v>
      </c>
      <c r="V90" s="108">
        <f t="shared" si="34"/>
        <v>127.97794285714286</v>
      </c>
      <c r="W90" s="108">
        <f t="shared" si="34"/>
        <v>185.77794285714288</v>
      </c>
      <c r="X90" s="108">
        <f t="shared" si="34"/>
        <v>185.77794285714288</v>
      </c>
      <c r="Y90" s="108">
        <f t="shared" si="34"/>
        <v>214.07794285714289</v>
      </c>
      <c r="Z90" s="108">
        <f t="shared" si="34"/>
        <v>245.17794285714288</v>
      </c>
      <c r="AA90" s="108">
        <f t="shared" si="34"/>
        <v>266.17794285714285</v>
      </c>
      <c r="AB90" s="108">
        <f t="shared" si="34"/>
        <v>280.87794285714284</v>
      </c>
    </row>
    <row r="91" spans="2:28" s="109" customFormat="1" ht="14.25" customHeight="1" thickBot="1">
      <c r="B91" s="99" t="s">
        <v>61</v>
      </c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P91" s="99" t="s">
        <v>61</v>
      </c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</row>
    <row r="92" spans="2:28" s="109" customFormat="1" ht="14.25" customHeight="1" thickTop="1" thickBot="1">
      <c r="B92" s="42" t="s">
        <v>143</v>
      </c>
      <c r="C92" s="42">
        <v>2001</v>
      </c>
      <c r="D92" s="42">
        <v>2002</v>
      </c>
      <c r="E92" s="42">
        <v>2003</v>
      </c>
      <c r="F92" s="42">
        <v>2004</v>
      </c>
      <c r="G92" s="42">
        <v>2005</v>
      </c>
      <c r="H92" s="42">
        <v>2006</v>
      </c>
      <c r="I92" s="42">
        <v>2007</v>
      </c>
      <c r="J92" s="42">
        <v>2008</v>
      </c>
      <c r="K92" s="42">
        <v>2009</v>
      </c>
      <c r="L92" s="42">
        <v>2010</v>
      </c>
      <c r="M92" s="42">
        <v>2011</v>
      </c>
      <c r="N92" s="42">
        <v>2012</v>
      </c>
      <c r="P92" s="42"/>
      <c r="Q92" s="42">
        <v>2001</v>
      </c>
      <c r="R92" s="42">
        <v>2002</v>
      </c>
      <c r="S92" s="42">
        <v>2003</v>
      </c>
      <c r="T92" s="42">
        <v>2004</v>
      </c>
      <c r="U92" s="42">
        <v>2005</v>
      </c>
      <c r="V92" s="42">
        <v>2006</v>
      </c>
      <c r="W92" s="42">
        <v>2007</v>
      </c>
      <c r="X92" s="42">
        <v>2008</v>
      </c>
      <c r="Y92" s="42">
        <v>2009</v>
      </c>
      <c r="Z92" s="42">
        <v>2010</v>
      </c>
      <c r="AA92" s="42">
        <v>2011</v>
      </c>
      <c r="AB92" s="42">
        <v>2012</v>
      </c>
    </row>
    <row r="93" spans="2:28" s="109" customFormat="1" ht="11.25" customHeight="1" thickTop="1">
      <c r="B93" s="219" t="s">
        <v>84</v>
      </c>
      <c r="C93" s="219"/>
      <c r="D93" s="219">
        <f>+'Inversiones '!C8-Depreciaciones!D79</f>
        <v>331.38411428571425</v>
      </c>
      <c r="E93" s="219">
        <f t="shared" ref="E93:N93" si="35">+D93-E79</f>
        <v>294.5636571428571</v>
      </c>
      <c r="F93" s="219">
        <f t="shared" si="35"/>
        <v>257.74319999999994</v>
      </c>
      <c r="G93" s="219">
        <f t="shared" si="35"/>
        <v>220.92274285714279</v>
      </c>
      <c r="H93" s="219">
        <f t="shared" si="35"/>
        <v>184.10228571428564</v>
      </c>
      <c r="I93" s="219">
        <f t="shared" si="35"/>
        <v>147.28182857142849</v>
      </c>
      <c r="J93" s="219">
        <f t="shared" si="35"/>
        <v>110.46137142857134</v>
      </c>
      <c r="K93" s="219">
        <f t="shared" si="35"/>
        <v>73.640914285714189</v>
      </c>
      <c r="L93" s="219">
        <f t="shared" si="35"/>
        <v>36.820457142857045</v>
      </c>
      <c r="M93" s="219">
        <f t="shared" si="35"/>
        <v>-9.9475983006414026E-14</v>
      </c>
      <c r="N93" s="219">
        <f t="shared" si="35"/>
        <v>-9.9475983006414026E-14</v>
      </c>
      <c r="P93" s="219" t="s">
        <v>86</v>
      </c>
      <c r="Q93" s="219"/>
      <c r="R93" s="219">
        <f>+'Inversiones '!C18-Depreciaciones!R79</f>
        <v>564.10148571428579</v>
      </c>
      <c r="S93" s="219">
        <f t="shared" ref="S93:AA93" si="36">+R93-S79</f>
        <v>501.42354285714293</v>
      </c>
      <c r="T93" s="219">
        <f t="shared" si="36"/>
        <v>438.74560000000008</v>
      </c>
      <c r="U93" s="219">
        <f t="shared" si="36"/>
        <v>376.06765714285723</v>
      </c>
      <c r="V93" s="219">
        <f t="shared" si="36"/>
        <v>313.38971428571438</v>
      </c>
      <c r="W93" s="219">
        <f t="shared" si="36"/>
        <v>250.71177142857152</v>
      </c>
      <c r="X93" s="219">
        <f t="shared" si="36"/>
        <v>188.03382857142867</v>
      </c>
      <c r="Y93" s="219">
        <f t="shared" si="36"/>
        <v>125.3558857142858</v>
      </c>
      <c r="Z93" s="219">
        <f t="shared" si="36"/>
        <v>62.677942857142938</v>
      </c>
      <c r="AA93" s="219">
        <f t="shared" si="36"/>
        <v>7.1054273576010019E-14</v>
      </c>
      <c r="AB93" s="219">
        <v>0</v>
      </c>
    </row>
    <row r="94" spans="2:28" s="109" customFormat="1" ht="11.25" customHeight="1">
      <c r="B94" s="220" t="s">
        <v>85</v>
      </c>
      <c r="C94" s="220"/>
      <c r="D94" s="220"/>
      <c r="E94" s="220">
        <f>+'Inversiones '!D8-Depreciaciones!E80</f>
        <v>136.63890000000001</v>
      </c>
      <c r="F94" s="220">
        <f t="shared" ref="F94:N94" si="37">+E94-F80</f>
        <v>121.4568</v>
      </c>
      <c r="G94" s="220">
        <f t="shared" si="37"/>
        <v>106.2747</v>
      </c>
      <c r="H94" s="220">
        <f t="shared" si="37"/>
        <v>91.09259999999999</v>
      </c>
      <c r="I94" s="220">
        <f t="shared" si="37"/>
        <v>75.910499999999985</v>
      </c>
      <c r="J94" s="220">
        <f t="shared" si="37"/>
        <v>60.728399999999986</v>
      </c>
      <c r="K94" s="220">
        <f t="shared" si="37"/>
        <v>45.546299999999988</v>
      </c>
      <c r="L94" s="220">
        <f t="shared" si="37"/>
        <v>30.36419999999999</v>
      </c>
      <c r="M94" s="220">
        <f t="shared" si="37"/>
        <v>15.182099999999989</v>
      </c>
      <c r="N94" s="220">
        <f t="shared" si="37"/>
        <v>0</v>
      </c>
      <c r="P94" s="220" t="s">
        <v>88</v>
      </c>
      <c r="Q94" s="220"/>
      <c r="R94" s="220"/>
      <c r="S94" s="220">
        <f>+'Inversiones '!D18-Depreciaciones!S80</f>
        <v>18.899999999999999</v>
      </c>
      <c r="T94" s="220">
        <f t="shared" ref="T94:AB94" si="38">+S94-T80</f>
        <v>16.799999999999997</v>
      </c>
      <c r="U94" s="220">
        <f t="shared" si="38"/>
        <v>14.699999999999998</v>
      </c>
      <c r="V94" s="220">
        <f t="shared" si="38"/>
        <v>12.599999999999998</v>
      </c>
      <c r="W94" s="220">
        <f t="shared" si="38"/>
        <v>10.499999999999998</v>
      </c>
      <c r="X94" s="220">
        <f t="shared" si="38"/>
        <v>8.3999999999999986</v>
      </c>
      <c r="Y94" s="220">
        <f t="shared" si="38"/>
        <v>6.2999999999999989</v>
      </c>
      <c r="Z94" s="220">
        <f t="shared" si="38"/>
        <v>4.1999999999999993</v>
      </c>
      <c r="AA94" s="220">
        <f t="shared" si="38"/>
        <v>2.0999999999999992</v>
      </c>
      <c r="AB94" s="220">
        <f t="shared" si="38"/>
        <v>0</v>
      </c>
    </row>
    <row r="95" spans="2:28" s="109" customFormat="1" ht="11.25" customHeight="1">
      <c r="B95" s="221" t="s">
        <v>87</v>
      </c>
      <c r="C95" s="221"/>
      <c r="D95" s="221"/>
      <c r="E95" s="221"/>
      <c r="F95" s="221">
        <f>+'Inversiones '!E8-Depreciaciones!F81</f>
        <v>128.69999999999999</v>
      </c>
      <c r="G95" s="221">
        <f t="shared" ref="G95:N95" si="39">+F95-G81</f>
        <v>114.39999999999999</v>
      </c>
      <c r="H95" s="221">
        <f t="shared" si="39"/>
        <v>100.1</v>
      </c>
      <c r="I95" s="221">
        <f t="shared" si="39"/>
        <v>85.8</v>
      </c>
      <c r="J95" s="221">
        <f t="shared" si="39"/>
        <v>71.5</v>
      </c>
      <c r="K95" s="221">
        <f t="shared" si="39"/>
        <v>57.2</v>
      </c>
      <c r="L95" s="221">
        <f t="shared" si="39"/>
        <v>42.900000000000006</v>
      </c>
      <c r="M95" s="221">
        <f t="shared" si="39"/>
        <v>28.600000000000005</v>
      </c>
      <c r="N95" s="221">
        <f t="shared" si="39"/>
        <v>14.300000000000004</v>
      </c>
      <c r="P95" s="221" t="s">
        <v>90</v>
      </c>
      <c r="Q95" s="221"/>
      <c r="R95" s="221"/>
      <c r="S95" s="221"/>
      <c r="T95" s="221">
        <f>+'Inversiones '!E18-Depreciaciones!T81</f>
        <v>181.8</v>
      </c>
      <c r="U95" s="221">
        <f t="shared" ref="U95:AB95" si="40">+T95-U81</f>
        <v>161.60000000000002</v>
      </c>
      <c r="V95" s="221">
        <f t="shared" si="40"/>
        <v>141.40000000000003</v>
      </c>
      <c r="W95" s="221">
        <f t="shared" si="40"/>
        <v>121.20000000000003</v>
      </c>
      <c r="X95" s="221">
        <f t="shared" si="40"/>
        <v>101.00000000000003</v>
      </c>
      <c r="Y95" s="221">
        <f t="shared" si="40"/>
        <v>80.800000000000026</v>
      </c>
      <c r="Z95" s="221">
        <f t="shared" si="40"/>
        <v>60.600000000000023</v>
      </c>
      <c r="AA95" s="221">
        <f t="shared" si="40"/>
        <v>40.40000000000002</v>
      </c>
      <c r="AB95" s="221">
        <f t="shared" si="40"/>
        <v>20.200000000000017</v>
      </c>
    </row>
    <row r="96" spans="2:28" s="109" customFormat="1" ht="11.25" customHeight="1">
      <c r="B96" s="222" t="s">
        <v>89</v>
      </c>
      <c r="C96" s="222"/>
      <c r="D96" s="222"/>
      <c r="E96" s="222"/>
      <c r="F96" s="222"/>
      <c r="G96" s="222">
        <f>+'Inversiones '!F8-Depreciaciones!G82</f>
        <v>68.400000000000006</v>
      </c>
      <c r="H96" s="222">
        <f t="shared" ref="H96:N96" si="41">+G96-H82</f>
        <v>60.800000000000004</v>
      </c>
      <c r="I96" s="222">
        <f t="shared" si="41"/>
        <v>53.2</v>
      </c>
      <c r="J96" s="222">
        <f t="shared" si="41"/>
        <v>45.6</v>
      </c>
      <c r="K96" s="222">
        <f t="shared" si="41"/>
        <v>38</v>
      </c>
      <c r="L96" s="222">
        <f t="shared" si="41"/>
        <v>30.4</v>
      </c>
      <c r="M96" s="222">
        <f t="shared" si="41"/>
        <v>22.799999999999997</v>
      </c>
      <c r="N96" s="222">
        <f t="shared" si="41"/>
        <v>15.199999999999996</v>
      </c>
      <c r="P96" s="222" t="s">
        <v>92</v>
      </c>
      <c r="Q96" s="222"/>
      <c r="R96" s="222"/>
      <c r="S96" s="222"/>
      <c r="T96" s="222"/>
      <c r="U96" s="222">
        <f>+'Inversiones '!F18-Depreciaciones!U82</f>
        <v>17.100000000000001</v>
      </c>
      <c r="V96" s="222">
        <f t="shared" ref="V96:AB96" si="42">+U96-V82</f>
        <v>15.200000000000001</v>
      </c>
      <c r="W96" s="222">
        <f t="shared" si="42"/>
        <v>13.3</v>
      </c>
      <c r="X96" s="222">
        <f t="shared" si="42"/>
        <v>11.4</v>
      </c>
      <c r="Y96" s="222">
        <f t="shared" si="42"/>
        <v>9.5</v>
      </c>
      <c r="Z96" s="222">
        <f t="shared" si="42"/>
        <v>7.6</v>
      </c>
      <c r="AA96" s="222">
        <f t="shared" si="42"/>
        <v>5.6999999999999993</v>
      </c>
      <c r="AB96" s="222">
        <f t="shared" si="42"/>
        <v>3.7999999999999989</v>
      </c>
    </row>
    <row r="97" spans="2:28" s="109" customFormat="1" ht="11.25" customHeight="1">
      <c r="B97" s="219" t="s">
        <v>91</v>
      </c>
      <c r="C97" s="219"/>
      <c r="D97" s="219"/>
      <c r="E97" s="219"/>
      <c r="F97" s="219"/>
      <c r="G97" s="219"/>
      <c r="H97" s="219">
        <f>+'Inversiones '!G8-Depreciaciones!H83</f>
        <v>3.6</v>
      </c>
      <c r="I97" s="219">
        <f t="shared" ref="I97:N97" si="43">+H97-I83</f>
        <v>3.2</v>
      </c>
      <c r="J97" s="219">
        <f t="shared" si="43"/>
        <v>2.8000000000000003</v>
      </c>
      <c r="K97" s="219">
        <f t="shared" si="43"/>
        <v>2.4000000000000004</v>
      </c>
      <c r="L97" s="219">
        <f t="shared" si="43"/>
        <v>2.0000000000000004</v>
      </c>
      <c r="M97" s="219">
        <f t="shared" si="43"/>
        <v>1.6000000000000005</v>
      </c>
      <c r="N97" s="219">
        <f t="shared" si="43"/>
        <v>1.2000000000000006</v>
      </c>
      <c r="P97" s="219" t="s">
        <v>94</v>
      </c>
      <c r="Q97" s="219"/>
      <c r="R97" s="219"/>
      <c r="S97" s="219"/>
      <c r="T97" s="219"/>
      <c r="U97" s="219"/>
      <c r="V97" s="219">
        <f>+'Inversiones '!G18-Depreciaciones!V83</f>
        <v>369.9</v>
      </c>
      <c r="W97" s="219">
        <f t="shared" ref="W97:AB97" si="44">+V97-W83</f>
        <v>328.79999999999995</v>
      </c>
      <c r="X97" s="219">
        <f t="shared" si="44"/>
        <v>287.69999999999993</v>
      </c>
      <c r="Y97" s="219">
        <f t="shared" si="44"/>
        <v>246.59999999999994</v>
      </c>
      <c r="Z97" s="219">
        <f t="shared" si="44"/>
        <v>205.49999999999994</v>
      </c>
      <c r="AA97" s="219">
        <f t="shared" si="44"/>
        <v>164.39999999999995</v>
      </c>
      <c r="AB97" s="219">
        <f t="shared" si="44"/>
        <v>123.29999999999995</v>
      </c>
    </row>
    <row r="98" spans="2:28" s="109" customFormat="1" ht="11.25" customHeight="1">
      <c r="B98" s="220" t="s">
        <v>93</v>
      </c>
      <c r="C98" s="220"/>
      <c r="D98" s="220"/>
      <c r="E98" s="220"/>
      <c r="F98" s="220"/>
      <c r="G98" s="220"/>
      <c r="H98" s="220"/>
      <c r="I98" s="220">
        <f>+'Inversiones '!H8-Depreciaciones!I84</f>
        <v>981.9</v>
      </c>
      <c r="J98" s="220">
        <f>+I98-J84</f>
        <v>872.8</v>
      </c>
      <c r="K98" s="220">
        <f>+J98-K84</f>
        <v>763.69999999999993</v>
      </c>
      <c r="L98" s="220">
        <f>+K98-L84</f>
        <v>654.59999999999991</v>
      </c>
      <c r="M98" s="220">
        <f>+L98-M84</f>
        <v>545.49999999999989</v>
      </c>
      <c r="N98" s="220">
        <f>+M98-N84</f>
        <v>436.39999999999986</v>
      </c>
      <c r="P98" s="220" t="s">
        <v>96</v>
      </c>
      <c r="Q98" s="220"/>
      <c r="R98" s="220"/>
      <c r="S98" s="220"/>
      <c r="T98" s="220"/>
      <c r="U98" s="220"/>
      <c r="V98" s="220"/>
      <c r="W98" s="220">
        <f>+'Inversiones '!H18-Depreciaciones!W84</f>
        <v>520.20000000000005</v>
      </c>
      <c r="X98" s="220">
        <f>+W98-X84</f>
        <v>462.40000000000003</v>
      </c>
      <c r="Y98" s="220">
        <f>+X98-Y84</f>
        <v>404.6</v>
      </c>
      <c r="Z98" s="220">
        <f>+Y98-Z84</f>
        <v>346.8</v>
      </c>
      <c r="AA98" s="220">
        <f>+Z98-AA84</f>
        <v>289</v>
      </c>
      <c r="AB98" s="220">
        <f>+AA98-AB84</f>
        <v>231.2</v>
      </c>
    </row>
    <row r="99" spans="2:28" s="109" customFormat="1" ht="11.25" customHeight="1">
      <c r="B99" s="221" t="s">
        <v>95</v>
      </c>
      <c r="C99" s="221"/>
      <c r="D99" s="221"/>
      <c r="E99" s="221"/>
      <c r="F99" s="221"/>
      <c r="G99" s="221"/>
      <c r="H99" s="221"/>
      <c r="I99" s="221"/>
      <c r="J99" s="221">
        <f>+'Inversiones '!I8-Depreciaciones!J85</f>
        <v>112.5</v>
      </c>
      <c r="K99" s="221">
        <f>+J99-K85</f>
        <v>100</v>
      </c>
      <c r="L99" s="221">
        <f>+K99-L85</f>
        <v>87.5</v>
      </c>
      <c r="M99" s="221">
        <f>+L99-M85</f>
        <v>75</v>
      </c>
      <c r="N99" s="221">
        <f>+M99-N85</f>
        <v>62.5</v>
      </c>
      <c r="P99" s="221" t="s">
        <v>98</v>
      </c>
      <c r="Q99" s="221"/>
      <c r="R99" s="221"/>
      <c r="S99" s="221"/>
      <c r="T99" s="221"/>
      <c r="U99" s="221"/>
      <c r="V99" s="221"/>
      <c r="W99" s="221"/>
      <c r="X99" s="221">
        <f>+'Inversiones '!I18-Depreciaciones!X85</f>
        <v>0</v>
      </c>
      <c r="Y99" s="221">
        <f>+X99-Y85</f>
        <v>0</v>
      </c>
      <c r="Z99" s="221">
        <f>+Y99-Z85</f>
        <v>0</v>
      </c>
      <c r="AA99" s="221">
        <f>+Z99-AA85</f>
        <v>0</v>
      </c>
      <c r="AB99" s="221">
        <f>+AA99-AB85</f>
        <v>0</v>
      </c>
    </row>
    <row r="100" spans="2:28" s="109" customFormat="1" ht="11.25" customHeight="1">
      <c r="B100" s="222" t="s">
        <v>97</v>
      </c>
      <c r="C100" s="222"/>
      <c r="D100" s="222"/>
      <c r="E100" s="222"/>
      <c r="F100" s="222"/>
      <c r="G100" s="222"/>
      <c r="H100" s="222"/>
      <c r="I100" s="222"/>
      <c r="J100" s="222"/>
      <c r="K100" s="222">
        <f>+'Inversiones '!J8-Depreciaciones!K86</f>
        <v>417.6</v>
      </c>
      <c r="L100" s="222">
        <f>+K100-L86</f>
        <v>371.20000000000005</v>
      </c>
      <c r="M100" s="222">
        <f>+L100-M86</f>
        <v>324.80000000000007</v>
      </c>
      <c r="N100" s="222">
        <f>+M100-N86</f>
        <v>278.40000000000009</v>
      </c>
      <c r="P100" s="222" t="s">
        <v>100</v>
      </c>
      <c r="Q100" s="222"/>
      <c r="R100" s="222"/>
      <c r="S100" s="222"/>
      <c r="T100" s="222"/>
      <c r="U100" s="222"/>
      <c r="V100" s="222"/>
      <c r="W100" s="222"/>
      <c r="X100" s="222"/>
      <c r="Y100" s="222">
        <f>+'Inversiones '!J18-Depreciaciones!Y86</f>
        <v>254.7</v>
      </c>
      <c r="Z100" s="222">
        <f>+Y100-Z86</f>
        <v>226.39999999999998</v>
      </c>
      <c r="AA100" s="222">
        <f>+Z100-AA86</f>
        <v>198.09999999999997</v>
      </c>
      <c r="AB100" s="222">
        <f>+AA100-AB86</f>
        <v>169.79999999999995</v>
      </c>
    </row>
    <row r="101" spans="2:28" s="109" customFormat="1" ht="11.25" customHeight="1">
      <c r="B101" s="219" t="s">
        <v>99</v>
      </c>
      <c r="C101" s="219"/>
      <c r="D101" s="219"/>
      <c r="E101" s="219"/>
      <c r="F101" s="219"/>
      <c r="G101" s="219"/>
      <c r="H101" s="219"/>
      <c r="I101" s="219"/>
      <c r="J101" s="219"/>
      <c r="K101" s="219"/>
      <c r="L101" s="219">
        <f>+'Inversiones '!K8-Depreciaciones!L87</f>
        <v>147.6</v>
      </c>
      <c r="M101" s="219">
        <f>+L101-M87</f>
        <v>131.19999999999999</v>
      </c>
      <c r="N101" s="219">
        <f>+M101-N87</f>
        <v>114.79999999999998</v>
      </c>
      <c r="P101" s="219" t="s">
        <v>102</v>
      </c>
      <c r="Q101" s="219"/>
      <c r="R101" s="219"/>
      <c r="S101" s="219"/>
      <c r="T101" s="219"/>
      <c r="U101" s="219"/>
      <c r="V101" s="219"/>
      <c r="W101" s="219"/>
      <c r="X101" s="219"/>
      <c r="Y101" s="219"/>
      <c r="Z101" s="219">
        <f>+'Inversiones '!K18-Depreciaciones!Z87</f>
        <v>279.89999999999998</v>
      </c>
      <c r="AA101" s="219">
        <f>+Z101-AA87</f>
        <v>248.79999999999998</v>
      </c>
      <c r="AB101" s="219">
        <f>+AA101-AB87</f>
        <v>217.7</v>
      </c>
    </row>
    <row r="102" spans="2:28" s="109" customFormat="1" ht="11.25" customHeight="1">
      <c r="B102" s="220" t="s">
        <v>101</v>
      </c>
      <c r="C102" s="220"/>
      <c r="D102" s="220"/>
      <c r="E102" s="220"/>
      <c r="F102" s="220"/>
      <c r="G102" s="220"/>
      <c r="H102" s="220"/>
      <c r="I102" s="220"/>
      <c r="J102" s="220"/>
      <c r="K102" s="220"/>
      <c r="L102" s="220"/>
      <c r="M102" s="220">
        <f>+'Inversiones '!L8-Depreciaciones!M88</f>
        <v>216</v>
      </c>
      <c r="N102" s="220">
        <f>+M102-N88</f>
        <v>192</v>
      </c>
      <c r="P102" s="220" t="s">
        <v>104</v>
      </c>
      <c r="Q102" s="220"/>
      <c r="R102" s="220"/>
      <c r="S102" s="220"/>
      <c r="T102" s="220"/>
      <c r="U102" s="220"/>
      <c r="V102" s="220"/>
      <c r="W102" s="220"/>
      <c r="X102" s="220"/>
      <c r="Y102" s="220"/>
      <c r="Z102" s="220"/>
      <c r="AA102" s="220">
        <f>+'Inversiones '!L18-Depreciaciones!AA88</f>
        <v>189</v>
      </c>
      <c r="AB102" s="220">
        <f>+AA102-AB88</f>
        <v>168</v>
      </c>
    </row>
    <row r="103" spans="2:28" s="109" customFormat="1" ht="11.25" customHeight="1">
      <c r="B103" s="219" t="s">
        <v>103</v>
      </c>
      <c r="C103" s="219"/>
      <c r="D103" s="219"/>
      <c r="E103" s="219"/>
      <c r="F103" s="219"/>
      <c r="G103" s="219"/>
      <c r="H103" s="219"/>
      <c r="I103" s="219"/>
      <c r="J103" s="219"/>
      <c r="K103" s="219"/>
      <c r="L103" s="219"/>
      <c r="M103" s="219"/>
      <c r="N103" s="219">
        <f>+'Inversiones '!M8-Depreciaciones!N89</f>
        <v>92.7</v>
      </c>
      <c r="P103" s="219" t="s">
        <v>105</v>
      </c>
      <c r="Q103" s="219"/>
      <c r="R103" s="219"/>
      <c r="S103" s="219"/>
      <c r="T103" s="219"/>
      <c r="U103" s="219"/>
      <c r="V103" s="219"/>
      <c r="W103" s="219"/>
      <c r="X103" s="219"/>
      <c r="Y103" s="219"/>
      <c r="Z103" s="219"/>
      <c r="AA103" s="219"/>
      <c r="AB103" s="219">
        <f>+'Inversiones '!M18-Depreciaciones!AB89</f>
        <v>132.30000000000001</v>
      </c>
    </row>
    <row r="104" spans="2:28" s="109" customFormat="1" ht="14.25" customHeight="1">
      <c r="B104" s="112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11"/>
      <c r="P104" s="112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11"/>
    </row>
    <row r="105" spans="2:28" s="109" customFormat="1" ht="14.25" customHeight="1" thickBot="1">
      <c r="B105" s="42" t="s">
        <v>106</v>
      </c>
      <c r="C105" s="100">
        <f>+'Inversiones '!C8+SUM(Depreciaciones!C93:C104)</f>
        <v>368.2045714285714</v>
      </c>
      <c r="D105" s="100">
        <f>+'Inversiones '!D8+SUM(Depreciaciones!D93:D104)</f>
        <v>483.20511428571422</v>
      </c>
      <c r="E105" s="100">
        <f>+'Inversiones '!E8+SUM(Depreciaciones!E93:E104)</f>
        <v>574.20255714285713</v>
      </c>
      <c r="F105" s="100">
        <f>+'Inversiones '!F8+SUM(Depreciaciones!F93:F104)</f>
        <v>583.89999999999986</v>
      </c>
      <c r="G105" s="100">
        <f>+'Inversiones '!G8+SUM(Depreciaciones!G93:G104)</f>
        <v>513.9974428571428</v>
      </c>
      <c r="H105" s="100">
        <f>+'Inversiones '!H8+SUM(Depreciaciones!H93:H104)</f>
        <v>1530.6948857142856</v>
      </c>
      <c r="I105" s="100">
        <f>+'Inversiones '!I8+SUM(Depreciaciones!I93:I104)</f>
        <v>1472.2923285714285</v>
      </c>
      <c r="J105" s="100">
        <f>+'Inversiones '!J8+SUM(Depreciaciones!J93:J104)</f>
        <v>1740.3897714285713</v>
      </c>
      <c r="K105" s="100">
        <f>+'Inversiones '!K8+SUM(Depreciaciones!K93:K104)</f>
        <v>1662.0872142857143</v>
      </c>
      <c r="L105" s="100">
        <f>+'Inversiones '!L8+SUM(Depreciaciones!L93:L104)</f>
        <v>1643.3846571428569</v>
      </c>
      <c r="M105" s="100">
        <f>+'Inversiones '!M8+SUM(Depreciaciones!M93:M104)</f>
        <v>1463.6820999999998</v>
      </c>
      <c r="N105" s="100">
        <f>+'Inversiones '!N8+SUM(Depreciaciones!N93:N104)</f>
        <v>2470.5</v>
      </c>
      <c r="P105" s="42"/>
      <c r="Q105" s="100">
        <f>+'Inversiones '!C18+SUM(Depreciaciones!Q93:Q103)</f>
        <v>626.77942857142864</v>
      </c>
      <c r="R105" s="100">
        <f>+'Inversiones '!D18+SUM(Depreciaciones!R93:R103)</f>
        <v>585.10148571428579</v>
      </c>
      <c r="S105" s="100">
        <f>+'Inversiones '!E18+SUM(Depreciaciones!S93:S103)</f>
        <v>722.32354285714291</v>
      </c>
      <c r="T105" s="100">
        <f>+'Inversiones '!F18+SUM(Depreciaciones!T93:T103)</f>
        <v>656.3456000000001</v>
      </c>
      <c r="U105" s="100">
        <f>+'Inversiones '!G18+SUM(Depreciaciones!U93:U103)</f>
        <v>980.46765714285732</v>
      </c>
      <c r="V105" s="100">
        <f>+'Inversiones '!H18+SUM(Depreciaciones!V93:V103)</f>
        <v>1430.4897142857144</v>
      </c>
      <c r="W105" s="100">
        <f>+'Inversiones '!I18+SUM(Depreciaciones!W93:W103)</f>
        <v>1244.7117714285716</v>
      </c>
      <c r="X105" s="100">
        <f>+'Inversiones '!J18+SUM(Depreciaciones!X93:X103)</f>
        <v>1341.9338285714286</v>
      </c>
      <c r="Y105" s="100">
        <f>+'Inversiones '!K18+SUM(Depreciaciones!Y93:Y103)</f>
        <v>1438.8558857142857</v>
      </c>
      <c r="Z105" s="100">
        <f>+'Inversiones '!L18+SUM(Depreciaciones!Z93:Z103)</f>
        <v>1403.6779428571429</v>
      </c>
      <c r="AA105" s="100">
        <f>+'Inversiones '!M18+SUM(Depreciaciones!AA93:AA103)</f>
        <v>1284.5</v>
      </c>
      <c r="AB105" s="100">
        <f>+'Inversiones '!N18+SUM(Depreciaciones!AB93:AB103)</f>
        <v>1717.3</v>
      </c>
    </row>
    <row r="106" spans="2:28" s="109" customFormat="1" ht="9.75" thickTop="1"/>
    <row r="107" spans="2:28" s="109" customFormat="1"/>
    <row r="108" spans="2:28" s="109" customFormat="1"/>
    <row r="109" spans="2:28" s="109" customFormat="1" ht="9.75" thickBot="1">
      <c r="B109" s="99" t="s">
        <v>146</v>
      </c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</row>
    <row r="110" spans="2:28" s="109" customFormat="1" ht="10.5" thickTop="1" thickBot="1">
      <c r="B110" s="42" t="s">
        <v>147</v>
      </c>
      <c r="C110" s="42">
        <v>2001</v>
      </c>
      <c r="D110" s="42">
        <v>2002</v>
      </c>
      <c r="E110" s="42">
        <v>2003</v>
      </c>
      <c r="F110" s="42">
        <v>2004</v>
      </c>
      <c r="G110" s="42">
        <v>2005</v>
      </c>
      <c r="H110" s="42">
        <v>2006</v>
      </c>
      <c r="I110" s="42">
        <v>2007</v>
      </c>
      <c r="J110" s="42">
        <v>2008</v>
      </c>
      <c r="K110" s="42">
        <v>2009</v>
      </c>
      <c r="L110" s="42">
        <v>2010</v>
      </c>
      <c r="M110" s="42">
        <v>2011</v>
      </c>
      <c r="N110" s="42">
        <v>2012</v>
      </c>
    </row>
    <row r="111" spans="2:28" s="109" customFormat="1" ht="9.75" thickTop="1">
      <c r="B111" s="219" t="s">
        <v>107</v>
      </c>
      <c r="C111" s="219"/>
      <c r="D111" s="219">
        <f>+'Inversiones '!$C$9*Depreciaciones!$D$6</f>
        <v>57.160228571428576</v>
      </c>
      <c r="E111" s="219">
        <f>+'Inversiones '!$C$9*Depreciaciones!$D$6</f>
        <v>57.160228571428576</v>
      </c>
      <c r="F111" s="219">
        <f>+'Inversiones '!$C$9*Depreciaciones!$D$6</f>
        <v>57.160228571428576</v>
      </c>
      <c r="G111" s="219">
        <f>+'Inversiones '!$C$9*Depreciaciones!$D$6</f>
        <v>57.160228571428576</v>
      </c>
      <c r="H111" s="219">
        <f>+'Inversiones '!$C$9*Depreciaciones!$D$6</f>
        <v>57.160228571428576</v>
      </c>
      <c r="I111" s="219"/>
      <c r="J111" s="219"/>
      <c r="K111" s="219"/>
      <c r="L111" s="219"/>
      <c r="M111" s="219"/>
      <c r="N111" s="219"/>
    </row>
    <row r="112" spans="2:28" s="109" customFormat="1">
      <c r="B112" s="220" t="s">
        <v>108</v>
      </c>
      <c r="C112" s="220"/>
      <c r="D112" s="220"/>
      <c r="E112" s="220">
        <f>+'Inversiones '!$D$9*Depreciaciones!$D$6</f>
        <v>13.584800000000001</v>
      </c>
      <c r="F112" s="220">
        <f>+'Inversiones '!$D$9*Depreciaciones!$D$6</f>
        <v>13.584800000000001</v>
      </c>
      <c r="G112" s="220">
        <f>+'Inversiones '!$D$9*Depreciaciones!$D$6</f>
        <v>13.584800000000001</v>
      </c>
      <c r="H112" s="220">
        <f>+'Inversiones '!$D$9*Depreciaciones!$D$6</f>
        <v>13.584800000000001</v>
      </c>
      <c r="I112" s="220">
        <f>+'Inversiones '!$D$9*Depreciaciones!$D$6</f>
        <v>13.584800000000001</v>
      </c>
      <c r="J112" s="220"/>
      <c r="K112" s="220"/>
      <c r="L112" s="220"/>
      <c r="M112" s="220"/>
      <c r="N112" s="220"/>
    </row>
    <row r="113" spans="2:14" s="109" customFormat="1">
      <c r="B113" s="221" t="s">
        <v>109</v>
      </c>
      <c r="C113" s="221"/>
      <c r="D113" s="221"/>
      <c r="E113" s="221"/>
      <c r="F113" s="221">
        <f>+'Inversiones '!$E$9*Depreciaciones!$D$6</f>
        <v>0</v>
      </c>
      <c r="G113" s="221">
        <f>+'Inversiones '!$E$9*Depreciaciones!$D$6</f>
        <v>0</v>
      </c>
      <c r="H113" s="221">
        <f>+'Inversiones '!$E$9*Depreciaciones!$D$6</f>
        <v>0</v>
      </c>
      <c r="I113" s="221">
        <f>+'Inversiones '!$E$9*Depreciaciones!$D$6</f>
        <v>0</v>
      </c>
      <c r="J113" s="221">
        <f>+'Inversiones '!$E$9*Depreciaciones!$D$6</f>
        <v>0</v>
      </c>
      <c r="K113" s="221"/>
      <c r="L113" s="221"/>
      <c r="M113" s="221"/>
      <c r="N113" s="221"/>
    </row>
    <row r="114" spans="2:14" s="109" customFormat="1">
      <c r="B114" s="222" t="s">
        <v>110</v>
      </c>
      <c r="C114" s="222"/>
      <c r="D114" s="222"/>
      <c r="E114" s="222"/>
      <c r="F114" s="222"/>
      <c r="G114" s="222">
        <f>+'Inversiones '!$F$9*Depreciaciones!$D$6</f>
        <v>13</v>
      </c>
      <c r="H114" s="222">
        <f>+'Inversiones '!$F$9*Depreciaciones!$D$6</f>
        <v>13</v>
      </c>
      <c r="I114" s="222">
        <f>+'Inversiones '!$F$9*Depreciaciones!$D$6</f>
        <v>13</v>
      </c>
      <c r="J114" s="222">
        <f>+'Inversiones '!$F$9*Depreciaciones!$D$6</f>
        <v>13</v>
      </c>
      <c r="K114" s="222">
        <f>+'Inversiones '!$F$9*Depreciaciones!$D$6</f>
        <v>13</v>
      </c>
      <c r="L114" s="222"/>
      <c r="M114" s="222"/>
      <c r="N114" s="222"/>
    </row>
    <row r="115" spans="2:14" s="109" customFormat="1">
      <c r="B115" s="219" t="s">
        <v>111</v>
      </c>
      <c r="C115" s="219"/>
      <c r="D115" s="219"/>
      <c r="E115" s="219"/>
      <c r="F115" s="219"/>
      <c r="G115" s="219"/>
      <c r="H115" s="219">
        <f>+'Inversiones '!$G$9*Depreciaciones!$D$6</f>
        <v>0</v>
      </c>
      <c r="I115" s="219">
        <f>+'Inversiones '!$G$9*Depreciaciones!$D$6</f>
        <v>0</v>
      </c>
      <c r="J115" s="219">
        <f>+'Inversiones '!$G$9*Depreciaciones!$D$6</f>
        <v>0</v>
      </c>
      <c r="K115" s="219">
        <f>+'Inversiones '!$G$9*Depreciaciones!$D$6</f>
        <v>0</v>
      </c>
      <c r="L115" s="219">
        <f>+'Inversiones '!$G$9*Depreciaciones!$D$6</f>
        <v>0</v>
      </c>
      <c r="M115" s="219"/>
      <c r="N115" s="219"/>
    </row>
    <row r="116" spans="2:14" s="109" customFormat="1">
      <c r="B116" s="220" t="s">
        <v>112</v>
      </c>
      <c r="C116" s="220"/>
      <c r="D116" s="220"/>
      <c r="E116" s="220"/>
      <c r="F116" s="220"/>
      <c r="G116" s="220"/>
      <c r="H116" s="220"/>
      <c r="I116" s="220">
        <f>+'Inversiones '!$H$9*Depreciaciones!$D$6</f>
        <v>26.6</v>
      </c>
      <c r="J116" s="220">
        <f>+'Inversiones '!$H$9*Depreciaciones!$D$6</f>
        <v>26.6</v>
      </c>
      <c r="K116" s="220">
        <f>+'Inversiones '!$H$9*Depreciaciones!$D$6</f>
        <v>26.6</v>
      </c>
      <c r="L116" s="220">
        <f>+'Inversiones '!$H$9*Depreciaciones!$D$6</f>
        <v>26.6</v>
      </c>
      <c r="M116" s="220">
        <f>+'Inversiones '!$H$9*Depreciaciones!$D$6</f>
        <v>26.6</v>
      </c>
      <c r="N116" s="220"/>
    </row>
    <row r="117" spans="2:14" s="109" customFormat="1">
      <c r="B117" s="221" t="s">
        <v>113</v>
      </c>
      <c r="C117" s="221"/>
      <c r="D117" s="221"/>
      <c r="E117" s="221"/>
      <c r="F117" s="221"/>
      <c r="G117" s="221"/>
      <c r="H117" s="221"/>
      <c r="I117" s="221"/>
      <c r="J117" s="221">
        <f>+'Inversiones '!$I$9*Depreciaciones!$D$6</f>
        <v>17</v>
      </c>
      <c r="K117" s="221">
        <f>+'Inversiones '!$I$9*Depreciaciones!$D$6</f>
        <v>17</v>
      </c>
      <c r="L117" s="221">
        <f>+'Inversiones '!$I$9*Depreciaciones!$D$6</f>
        <v>17</v>
      </c>
      <c r="M117" s="221">
        <f>+'Inversiones '!$I$9*Depreciaciones!$D$6</f>
        <v>17</v>
      </c>
      <c r="N117" s="221">
        <f>+'Inversiones '!$I$9*Depreciaciones!$D$6</f>
        <v>17</v>
      </c>
    </row>
    <row r="118" spans="2:14" s="109" customFormat="1">
      <c r="B118" s="222" t="s">
        <v>114</v>
      </c>
      <c r="C118" s="222"/>
      <c r="D118" s="222"/>
      <c r="E118" s="222"/>
      <c r="F118" s="222"/>
      <c r="G118" s="222"/>
      <c r="H118" s="222"/>
      <c r="I118" s="222"/>
      <c r="J118" s="222"/>
      <c r="K118" s="222">
        <f>+'Inversiones '!$J$9*Depreciaciones!$D$6</f>
        <v>3.2</v>
      </c>
      <c r="L118" s="222">
        <f>+'Inversiones '!$J$9*Depreciaciones!$D$6</f>
        <v>3.2</v>
      </c>
      <c r="M118" s="222">
        <f>+'Inversiones '!$J$9*Depreciaciones!$D$6</f>
        <v>3.2</v>
      </c>
      <c r="N118" s="222">
        <f>+'Inversiones '!$J$9*Depreciaciones!$D$6</f>
        <v>3.2</v>
      </c>
    </row>
    <row r="119" spans="2:14" s="109" customFormat="1">
      <c r="B119" s="219" t="s">
        <v>115</v>
      </c>
      <c r="C119" s="219"/>
      <c r="D119" s="219"/>
      <c r="E119" s="219"/>
      <c r="F119" s="219"/>
      <c r="G119" s="219"/>
      <c r="H119" s="219"/>
      <c r="I119" s="219"/>
      <c r="J119" s="219"/>
      <c r="K119" s="219"/>
      <c r="L119" s="219">
        <f>+'Inversiones '!$K$9*Depreciaciones!$D$6</f>
        <v>0.8</v>
      </c>
      <c r="M119" s="219">
        <f>+'Inversiones '!$K$9*Depreciaciones!$D$6</f>
        <v>0.8</v>
      </c>
      <c r="N119" s="219">
        <f>+'Inversiones '!$K$9*Depreciaciones!$D$6</f>
        <v>0.8</v>
      </c>
    </row>
    <row r="120" spans="2:14" s="109" customFormat="1">
      <c r="B120" s="220" t="s">
        <v>116</v>
      </c>
      <c r="C120" s="220"/>
      <c r="D120" s="220"/>
      <c r="E120" s="220"/>
      <c r="F120" s="220"/>
      <c r="G120" s="220"/>
      <c r="H120" s="220"/>
      <c r="I120" s="220"/>
      <c r="J120" s="220"/>
      <c r="K120" s="220"/>
      <c r="L120" s="220"/>
      <c r="M120" s="220">
        <f>+'Inversiones '!$L$9*Depreciaciones!$D$6</f>
        <v>12.200000000000001</v>
      </c>
      <c r="N120" s="220">
        <f>+'Inversiones '!$L$9*Depreciaciones!$D$6</f>
        <v>12.200000000000001</v>
      </c>
    </row>
    <row r="121" spans="2:14" s="109" customFormat="1">
      <c r="B121" s="219" t="s">
        <v>117</v>
      </c>
      <c r="C121" s="219"/>
      <c r="D121" s="219"/>
      <c r="E121" s="219"/>
      <c r="F121" s="219"/>
      <c r="G121" s="219"/>
      <c r="H121" s="219"/>
      <c r="I121" s="219"/>
      <c r="J121" s="219"/>
      <c r="K121" s="219"/>
      <c r="L121" s="219"/>
      <c r="M121" s="219"/>
      <c r="N121" s="219">
        <f>+'Inversiones '!$M$9*Depreciaciones!$D$6</f>
        <v>0</v>
      </c>
    </row>
    <row r="122" spans="2:14" s="109" customFormat="1">
      <c r="B122" s="110"/>
      <c r="C122" s="105">
        <f>SUM(C111:C121)</f>
        <v>0</v>
      </c>
      <c r="D122" s="105">
        <f t="shared" ref="D122:N122" si="45">SUM(D111:D121)</f>
        <v>57.160228571428576</v>
      </c>
      <c r="E122" s="105">
        <f t="shared" si="45"/>
        <v>70.745028571428577</v>
      </c>
      <c r="F122" s="105">
        <f t="shared" si="45"/>
        <v>70.745028571428577</v>
      </c>
      <c r="G122" s="105">
        <f t="shared" si="45"/>
        <v>83.745028571428577</v>
      </c>
      <c r="H122" s="105">
        <f t="shared" si="45"/>
        <v>83.745028571428577</v>
      </c>
      <c r="I122" s="105">
        <f t="shared" si="45"/>
        <v>53.184800000000003</v>
      </c>
      <c r="J122" s="105">
        <f t="shared" si="45"/>
        <v>56.6</v>
      </c>
      <c r="K122" s="105">
        <f t="shared" si="45"/>
        <v>59.800000000000004</v>
      </c>
      <c r="L122" s="105">
        <f t="shared" si="45"/>
        <v>47.6</v>
      </c>
      <c r="M122" s="105">
        <f t="shared" si="45"/>
        <v>59.800000000000004</v>
      </c>
      <c r="N122" s="105">
        <f t="shared" si="45"/>
        <v>33.200000000000003</v>
      </c>
    </row>
    <row r="123" spans="2:14" s="109" customFormat="1" ht="9.75" thickBot="1">
      <c r="B123" s="99" t="s">
        <v>61</v>
      </c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</row>
    <row r="124" spans="2:14" s="109" customFormat="1" ht="10.5" thickTop="1" thickBot="1">
      <c r="B124" s="42" t="s">
        <v>147</v>
      </c>
      <c r="C124" s="42">
        <v>2001</v>
      </c>
      <c r="D124" s="42">
        <v>2002</v>
      </c>
      <c r="E124" s="42">
        <v>2003</v>
      </c>
      <c r="F124" s="42">
        <v>2004</v>
      </c>
      <c r="G124" s="42">
        <v>2005</v>
      </c>
      <c r="H124" s="42">
        <v>2006</v>
      </c>
      <c r="I124" s="42">
        <v>2007</v>
      </c>
      <c r="J124" s="42">
        <v>2008</v>
      </c>
      <c r="K124" s="42">
        <v>2009</v>
      </c>
      <c r="L124" s="42">
        <v>2010</v>
      </c>
      <c r="M124" s="42">
        <v>2011</v>
      </c>
      <c r="N124" s="42">
        <v>2012</v>
      </c>
    </row>
    <row r="125" spans="2:14" s="109" customFormat="1" ht="9.75" thickTop="1">
      <c r="B125" s="219" t="s">
        <v>107</v>
      </c>
      <c r="C125" s="219"/>
      <c r="D125" s="219">
        <f>+'Inversiones '!C9-Depreciaciones!D111</f>
        <v>228.64091428571427</v>
      </c>
      <c r="E125" s="219">
        <f>+D125-E111</f>
        <v>171.4806857142857</v>
      </c>
      <c r="F125" s="219">
        <f>+E125-F111</f>
        <v>114.32045714285712</v>
      </c>
      <c r="G125" s="219">
        <f>+F125-G111</f>
        <v>57.160228571428547</v>
      </c>
      <c r="H125" s="219"/>
      <c r="I125" s="219"/>
      <c r="J125" s="219"/>
      <c r="K125" s="219"/>
      <c r="L125" s="219"/>
      <c r="M125" s="219"/>
      <c r="N125" s="219"/>
    </row>
    <row r="126" spans="2:14" s="109" customFormat="1">
      <c r="B126" s="220" t="s">
        <v>108</v>
      </c>
      <c r="C126" s="220"/>
      <c r="D126" s="220"/>
      <c r="E126" s="220">
        <f>+'Inversiones '!D9-Depreciaciones!E112</f>
        <v>54.339200000000005</v>
      </c>
      <c r="F126" s="220">
        <f>+E126-F112</f>
        <v>40.754400000000004</v>
      </c>
      <c r="G126" s="220">
        <f>+F126-G112</f>
        <v>27.169600000000003</v>
      </c>
      <c r="H126" s="220">
        <f>+G126-H112</f>
        <v>13.584800000000001</v>
      </c>
      <c r="I126" s="220"/>
      <c r="J126" s="220"/>
      <c r="K126" s="220"/>
      <c r="L126" s="220"/>
      <c r="M126" s="220"/>
      <c r="N126" s="220"/>
    </row>
    <row r="127" spans="2:14" s="109" customFormat="1">
      <c r="B127" s="221" t="s">
        <v>109</v>
      </c>
      <c r="C127" s="221"/>
      <c r="D127" s="221"/>
      <c r="E127" s="221"/>
      <c r="F127" s="221">
        <f>+'Inversiones '!E9-Depreciaciones!F113</f>
        <v>0</v>
      </c>
      <c r="G127" s="221">
        <f>+F127-G113</f>
        <v>0</v>
      </c>
      <c r="H127" s="221">
        <f t="shared" ref="H127:J127" si="46">+G127-H113</f>
        <v>0</v>
      </c>
      <c r="I127" s="221">
        <f t="shared" si="46"/>
        <v>0</v>
      </c>
      <c r="J127" s="221">
        <f t="shared" si="46"/>
        <v>0</v>
      </c>
      <c r="K127" s="221"/>
      <c r="L127" s="221"/>
      <c r="M127" s="221"/>
      <c r="N127" s="221"/>
    </row>
    <row r="128" spans="2:14" s="109" customFormat="1">
      <c r="B128" s="222" t="s">
        <v>110</v>
      </c>
      <c r="C128" s="222"/>
      <c r="D128" s="222"/>
      <c r="E128" s="222"/>
      <c r="F128" s="222"/>
      <c r="G128" s="222">
        <f>+'Inversiones '!F9-Depreciaciones!G114</f>
        <v>52</v>
      </c>
      <c r="H128" s="222">
        <f>+G128-H114</f>
        <v>39</v>
      </c>
      <c r="I128" s="222">
        <f>+H128-I114</f>
        <v>26</v>
      </c>
      <c r="J128" s="222">
        <f>+I128-J114</f>
        <v>13</v>
      </c>
      <c r="K128" s="222"/>
      <c r="L128" s="222"/>
      <c r="M128" s="222"/>
      <c r="N128" s="222"/>
    </row>
    <row r="129" spans="2:14" s="109" customFormat="1">
      <c r="B129" s="219" t="s">
        <v>111</v>
      </c>
      <c r="C129" s="219"/>
      <c r="D129" s="219"/>
      <c r="E129" s="219"/>
      <c r="F129" s="219"/>
      <c r="G129" s="219"/>
      <c r="H129" s="219">
        <f>+'Inversiones '!G9-Depreciaciones!H115</f>
        <v>0</v>
      </c>
      <c r="I129" s="219">
        <f>+H129-I115</f>
        <v>0</v>
      </c>
      <c r="J129" s="219">
        <f t="shared" ref="J129:K129" si="47">+I129-J115</f>
        <v>0</v>
      </c>
      <c r="K129" s="219">
        <f t="shared" si="47"/>
        <v>0</v>
      </c>
      <c r="L129" s="219"/>
      <c r="M129" s="219"/>
      <c r="N129" s="219"/>
    </row>
    <row r="130" spans="2:14" s="109" customFormat="1">
      <c r="B130" s="220" t="s">
        <v>112</v>
      </c>
      <c r="C130" s="220"/>
      <c r="D130" s="220"/>
      <c r="E130" s="220"/>
      <c r="F130" s="220"/>
      <c r="G130" s="220"/>
      <c r="H130" s="220"/>
      <c r="I130" s="220">
        <f>+'Inversiones '!H9-Depreciaciones!I116</f>
        <v>106.4</v>
      </c>
      <c r="J130" s="220">
        <f>+I130-J116</f>
        <v>79.800000000000011</v>
      </c>
      <c r="K130" s="220">
        <f t="shared" ref="K130:M130" si="48">+J130-K116</f>
        <v>53.20000000000001</v>
      </c>
      <c r="L130" s="220">
        <f t="shared" si="48"/>
        <v>26.600000000000009</v>
      </c>
      <c r="M130" s="220">
        <f t="shared" si="48"/>
        <v>0</v>
      </c>
      <c r="N130" s="220"/>
    </row>
    <row r="131" spans="2:14" s="109" customFormat="1">
      <c r="B131" s="221" t="s">
        <v>113</v>
      </c>
      <c r="C131" s="221"/>
      <c r="D131" s="221"/>
      <c r="E131" s="221"/>
      <c r="F131" s="221"/>
      <c r="G131" s="221"/>
      <c r="H131" s="221"/>
      <c r="I131" s="221"/>
      <c r="J131" s="221">
        <f>+'Inversiones '!I9-Depreciaciones!J117</f>
        <v>68</v>
      </c>
      <c r="K131" s="221">
        <f>+J131-K117</f>
        <v>51</v>
      </c>
      <c r="L131" s="221">
        <f t="shared" ref="L131:M131" si="49">+K131-L117</f>
        <v>34</v>
      </c>
      <c r="M131" s="221">
        <f t="shared" si="49"/>
        <v>17</v>
      </c>
      <c r="N131" s="221">
        <f>+M131-N117</f>
        <v>0</v>
      </c>
    </row>
    <row r="132" spans="2:14" s="109" customFormat="1">
      <c r="B132" s="222" t="s">
        <v>114</v>
      </c>
      <c r="C132" s="222"/>
      <c r="D132" s="222"/>
      <c r="E132" s="222"/>
      <c r="F132" s="222"/>
      <c r="G132" s="222"/>
      <c r="H132" s="222"/>
      <c r="I132" s="222"/>
      <c r="J132" s="222"/>
      <c r="K132" s="222">
        <f>+'Inversiones '!J9-Depreciaciones!K118</f>
        <v>12.8</v>
      </c>
      <c r="L132" s="222">
        <f>+K132-L118</f>
        <v>9.6000000000000014</v>
      </c>
      <c r="M132" s="222">
        <f t="shared" ref="M132:N132" si="50">+L132-M118</f>
        <v>6.4000000000000012</v>
      </c>
      <c r="N132" s="222">
        <f t="shared" si="50"/>
        <v>3.2000000000000011</v>
      </c>
    </row>
    <row r="133" spans="2:14" s="109" customFormat="1">
      <c r="B133" s="219" t="s">
        <v>115</v>
      </c>
      <c r="C133" s="219"/>
      <c r="D133" s="219"/>
      <c r="E133" s="219"/>
      <c r="F133" s="219"/>
      <c r="G133" s="219"/>
      <c r="H133" s="219"/>
      <c r="I133" s="219"/>
      <c r="J133" s="219"/>
      <c r="K133" s="219"/>
      <c r="L133" s="219">
        <f>+'Inversiones '!K9-Depreciaciones!L119</f>
        <v>3.2</v>
      </c>
      <c r="M133" s="219">
        <f>+L133-M119</f>
        <v>2.4000000000000004</v>
      </c>
      <c r="N133" s="219">
        <f>+M133-N119</f>
        <v>1.6000000000000003</v>
      </c>
    </row>
    <row r="134" spans="2:14" s="109" customFormat="1">
      <c r="B134" s="220" t="s">
        <v>116</v>
      </c>
      <c r="C134" s="220"/>
      <c r="D134" s="220"/>
      <c r="E134" s="220"/>
      <c r="F134" s="220"/>
      <c r="G134" s="220"/>
      <c r="H134" s="220"/>
      <c r="I134" s="220"/>
      <c r="J134" s="220"/>
      <c r="K134" s="220"/>
      <c r="L134" s="220"/>
      <c r="M134" s="220">
        <f>+'Inversiones '!L9-Depreciaciones!M120</f>
        <v>48.8</v>
      </c>
      <c r="N134" s="220">
        <f>+M134-N120</f>
        <v>36.599999999999994</v>
      </c>
    </row>
    <row r="135" spans="2:14" s="109" customFormat="1">
      <c r="B135" s="219" t="s">
        <v>117</v>
      </c>
      <c r="C135" s="219"/>
      <c r="D135" s="219"/>
      <c r="E135" s="219"/>
      <c r="F135" s="219"/>
      <c r="G135" s="219"/>
      <c r="H135" s="219"/>
      <c r="I135" s="219"/>
      <c r="J135" s="219"/>
      <c r="K135" s="219"/>
      <c r="L135" s="219"/>
      <c r="M135" s="219"/>
      <c r="N135" s="219">
        <f>+'Inversiones '!M9-Depreciaciones!N121</f>
        <v>0</v>
      </c>
    </row>
    <row r="136" spans="2:14" s="109" customFormat="1">
      <c r="B136" s="112"/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11"/>
    </row>
    <row r="137" spans="2:14" s="109" customFormat="1" ht="9.75" thickBot="1">
      <c r="B137" s="42" t="s">
        <v>118</v>
      </c>
      <c r="C137" s="100">
        <f>+'Inversiones '!C9+SUM(Depreciaciones!C125:C136)</f>
        <v>285.80114285714285</v>
      </c>
      <c r="D137" s="100">
        <f>+'Inversiones '!D9+SUM(Depreciaciones!D125:D136)</f>
        <v>296.56491428571428</v>
      </c>
      <c r="E137" s="100">
        <f>+'Inversiones '!E9+SUM(Depreciaciones!E125:E136)</f>
        <v>225.8198857142857</v>
      </c>
      <c r="F137" s="100">
        <f>+'Inversiones '!F9+SUM(Depreciaciones!F125:F136)</f>
        <v>220.07485714285713</v>
      </c>
      <c r="G137" s="100">
        <f>+'Inversiones '!G9+SUM(Depreciaciones!G125:G136)</f>
        <v>136.32982857142855</v>
      </c>
      <c r="H137" s="100">
        <f>+'Inversiones '!H9+SUM(Depreciaciones!H125:H136)</f>
        <v>185.5848</v>
      </c>
      <c r="I137" s="100">
        <f>+'Inversiones '!I9+SUM(Depreciaciones!I125:I136)</f>
        <v>217.4</v>
      </c>
      <c r="J137" s="100">
        <f>+'Inversiones '!J9+SUM(Depreciaciones!J125:J136)</f>
        <v>176.8</v>
      </c>
      <c r="K137" s="100">
        <f>+'Inversiones '!K9+SUM(Depreciaciones!K125:K136)</f>
        <v>121.00000000000001</v>
      </c>
      <c r="L137" s="100">
        <f>+'Inversiones '!L9+SUM(Depreciaciones!L125:L136)</f>
        <v>134.40000000000003</v>
      </c>
      <c r="M137" s="100">
        <f>+'Inversiones '!M9+SUM(Depreciaciones!M125:M136)</f>
        <v>74.599999999999994</v>
      </c>
      <c r="N137" s="100">
        <f>+'Inversiones '!N9+SUM(Depreciaciones!N125:N136)</f>
        <v>81.400000000000006</v>
      </c>
    </row>
    <row r="138" spans="2:14" s="109" customFormat="1" ht="9.75" thickTop="1"/>
    <row r="139" spans="2:14" s="109" customFormat="1"/>
    <row r="140" spans="2:14" s="109" customFormat="1"/>
    <row r="141" spans="2:14" s="109" customFormat="1" ht="9.75" thickBot="1">
      <c r="B141" s="99" t="s">
        <v>148</v>
      </c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</row>
    <row r="142" spans="2:14" s="109" customFormat="1" ht="10.5" thickTop="1" thickBot="1">
      <c r="B142" s="42" t="s">
        <v>143</v>
      </c>
      <c r="C142" s="42">
        <v>2001</v>
      </c>
      <c r="D142" s="42">
        <v>2002</v>
      </c>
      <c r="E142" s="42">
        <v>2003</v>
      </c>
      <c r="F142" s="42">
        <v>2004</v>
      </c>
      <c r="G142" s="42">
        <v>2005</v>
      </c>
      <c r="H142" s="42">
        <v>2006</v>
      </c>
      <c r="I142" s="42">
        <v>2007</v>
      </c>
      <c r="J142" s="42">
        <v>2008</v>
      </c>
      <c r="K142" s="42">
        <v>2009</v>
      </c>
      <c r="L142" s="42">
        <v>2010</v>
      </c>
      <c r="M142" s="42">
        <v>2011</v>
      </c>
      <c r="N142" s="42">
        <v>2012</v>
      </c>
    </row>
    <row r="143" spans="2:14" s="109" customFormat="1" ht="9.75" thickTop="1">
      <c r="B143" s="219" t="s">
        <v>119</v>
      </c>
      <c r="C143" s="219"/>
      <c r="D143" s="219">
        <f>+'Inversiones '!$C$10*Depreciaciones!$D$7</f>
        <v>0.34354285714285715</v>
      </c>
      <c r="E143" s="219">
        <f>+'Inversiones '!$C$10*Depreciaciones!$D$7</f>
        <v>0.34354285714285715</v>
      </c>
      <c r="F143" s="219">
        <f>+'Inversiones '!$C$10*Depreciaciones!$D$7</f>
        <v>0.34354285714285715</v>
      </c>
      <c r="G143" s="219">
        <f>+'Inversiones '!$C$10*Depreciaciones!$D$7</f>
        <v>0.34354285714285715</v>
      </c>
      <c r="H143" s="219">
        <f>+'Inversiones '!$C$10*Depreciaciones!$D$7</f>
        <v>0.34354285714285715</v>
      </c>
      <c r="I143" s="219">
        <f>+'Inversiones '!$C$10*Depreciaciones!$D$7</f>
        <v>0.34354285714285715</v>
      </c>
      <c r="J143" s="219">
        <f>+'Inversiones '!$C$10*Depreciaciones!$D$7</f>
        <v>0.34354285714285715</v>
      </c>
      <c r="K143" s="219">
        <f>+'Inversiones '!$C$10*Depreciaciones!$D$7</f>
        <v>0.34354285714285715</v>
      </c>
      <c r="L143" s="219">
        <f>+'Inversiones '!$C$10*Depreciaciones!$D$7</f>
        <v>0.34354285714285715</v>
      </c>
      <c r="M143" s="219">
        <f>+'Inversiones '!$C$10*Depreciaciones!$D$7</f>
        <v>0.34354285714285715</v>
      </c>
      <c r="N143" s="219">
        <f>+'Inversiones '!$C$10*Depreciaciones!$D$7</f>
        <v>0.34354285714285715</v>
      </c>
    </row>
    <row r="144" spans="2:14" s="109" customFormat="1">
      <c r="B144" s="220" t="s">
        <v>120</v>
      </c>
      <c r="C144" s="220"/>
      <c r="D144" s="220"/>
      <c r="E144" s="220">
        <f>+'Inversiones '!$D$10*Depreciaciones!$D$7</f>
        <v>3.5994000000000002</v>
      </c>
      <c r="F144" s="220">
        <f>+'Inversiones '!$D$10*Depreciaciones!$D$7</f>
        <v>3.5994000000000002</v>
      </c>
      <c r="G144" s="220">
        <f>+'Inversiones '!$D$10*Depreciaciones!$D$7</f>
        <v>3.5994000000000002</v>
      </c>
      <c r="H144" s="220">
        <f>+'Inversiones '!$D$10*Depreciaciones!$D$7</f>
        <v>3.5994000000000002</v>
      </c>
      <c r="I144" s="220">
        <f>+'Inversiones '!$D$10*Depreciaciones!$D$7</f>
        <v>3.5994000000000002</v>
      </c>
      <c r="J144" s="220">
        <f>+'Inversiones '!$D$10*Depreciaciones!$D$7</f>
        <v>3.5994000000000002</v>
      </c>
      <c r="K144" s="220">
        <f>+'Inversiones '!$D$10*Depreciaciones!$D$7</f>
        <v>3.5994000000000002</v>
      </c>
      <c r="L144" s="220">
        <f>+'Inversiones '!$D$10*Depreciaciones!$D$7</f>
        <v>3.5994000000000002</v>
      </c>
      <c r="M144" s="220">
        <f>+'Inversiones '!$D$10*Depreciaciones!$D$7</f>
        <v>3.5994000000000002</v>
      </c>
      <c r="N144" s="220">
        <f>+'Inversiones '!$D$10*Depreciaciones!$D$7</f>
        <v>3.5994000000000002</v>
      </c>
    </row>
    <row r="145" spans="2:14" s="109" customFormat="1">
      <c r="B145" s="221" t="s">
        <v>121</v>
      </c>
      <c r="C145" s="221"/>
      <c r="D145" s="221"/>
      <c r="E145" s="221"/>
      <c r="F145" s="221">
        <f>+'Inversiones '!$E$10*Depreciaciones!$D$7</f>
        <v>1.8</v>
      </c>
      <c r="G145" s="221">
        <f>+'Inversiones '!$E$10*Depreciaciones!$D$7</f>
        <v>1.8</v>
      </c>
      <c r="H145" s="221">
        <f>+'Inversiones '!$E$10*Depreciaciones!$D$7</f>
        <v>1.8</v>
      </c>
      <c r="I145" s="221">
        <f>+'Inversiones '!$E$10*Depreciaciones!$D$7</f>
        <v>1.8</v>
      </c>
      <c r="J145" s="221">
        <f>+'Inversiones '!$E$10*Depreciaciones!$D$7</f>
        <v>1.8</v>
      </c>
      <c r="K145" s="221">
        <f>+'Inversiones '!$E$10*Depreciaciones!$D$7</f>
        <v>1.8</v>
      </c>
      <c r="L145" s="221">
        <f>+'Inversiones '!$E$10*Depreciaciones!$D$7</f>
        <v>1.8</v>
      </c>
      <c r="M145" s="221">
        <f>+'Inversiones '!$E$10*Depreciaciones!$D$7</f>
        <v>1.8</v>
      </c>
      <c r="N145" s="221">
        <f>+'Inversiones '!$E$10*Depreciaciones!$D$7</f>
        <v>1.8</v>
      </c>
    </row>
    <row r="146" spans="2:14" s="109" customFormat="1">
      <c r="B146" s="222" t="s">
        <v>122</v>
      </c>
      <c r="C146" s="222"/>
      <c r="D146" s="222"/>
      <c r="E146" s="222"/>
      <c r="F146" s="222"/>
      <c r="G146" s="222">
        <f>+'Inversiones '!$F$10*Depreciaciones!$D$7</f>
        <v>1.4000000000000001</v>
      </c>
      <c r="H146" s="222">
        <f>+'Inversiones '!$F$10*Depreciaciones!$D$7</f>
        <v>1.4000000000000001</v>
      </c>
      <c r="I146" s="222">
        <f>+'Inversiones '!$F$10*Depreciaciones!$D$7</f>
        <v>1.4000000000000001</v>
      </c>
      <c r="J146" s="222">
        <f>+'Inversiones '!$F$10*Depreciaciones!$D$7</f>
        <v>1.4000000000000001</v>
      </c>
      <c r="K146" s="222">
        <f>+'Inversiones '!$F$10*Depreciaciones!$D$7</f>
        <v>1.4000000000000001</v>
      </c>
      <c r="L146" s="222">
        <f>+'Inversiones '!$F$10*Depreciaciones!$D$7</f>
        <v>1.4000000000000001</v>
      </c>
      <c r="M146" s="222">
        <f>+'Inversiones '!$F$10*Depreciaciones!$D$7</f>
        <v>1.4000000000000001</v>
      </c>
      <c r="N146" s="222">
        <f>+'Inversiones '!$F$10*Depreciaciones!$D$7</f>
        <v>1.4000000000000001</v>
      </c>
    </row>
    <row r="147" spans="2:14" s="109" customFormat="1">
      <c r="B147" s="219" t="s">
        <v>123</v>
      </c>
      <c r="C147" s="219"/>
      <c r="D147" s="219"/>
      <c r="E147" s="219"/>
      <c r="F147" s="219"/>
      <c r="G147" s="219"/>
      <c r="H147" s="219">
        <f>+'Inversiones '!$G$10*Depreciaciones!$D$7</f>
        <v>1.8</v>
      </c>
      <c r="I147" s="219">
        <f>+'Inversiones '!$G$10*Depreciaciones!$D$7</f>
        <v>1.8</v>
      </c>
      <c r="J147" s="219">
        <f>+'Inversiones '!$G$10*Depreciaciones!$D$7</f>
        <v>1.8</v>
      </c>
      <c r="K147" s="219">
        <f>+'Inversiones '!$G$10*Depreciaciones!$D$7</f>
        <v>1.8</v>
      </c>
      <c r="L147" s="219">
        <f>+'Inversiones '!$G$10*Depreciaciones!$D$7</f>
        <v>1.8</v>
      </c>
      <c r="M147" s="219">
        <f>+'Inversiones '!$G$10*Depreciaciones!$D$7</f>
        <v>1.8</v>
      </c>
      <c r="N147" s="219">
        <f>+'Inversiones '!$G$10*Depreciaciones!$D$7</f>
        <v>1.8</v>
      </c>
    </row>
    <row r="148" spans="2:14" s="109" customFormat="1">
      <c r="B148" s="220" t="s">
        <v>124</v>
      </c>
      <c r="C148" s="220"/>
      <c r="D148" s="220"/>
      <c r="E148" s="220"/>
      <c r="F148" s="220"/>
      <c r="G148" s="220"/>
      <c r="H148" s="220"/>
      <c r="I148" s="220">
        <f>+'Inversiones '!$H$10*Depreciaciones!$D$7</f>
        <v>103.30000000000001</v>
      </c>
      <c r="J148" s="220">
        <f>+'Inversiones '!$H$10*Depreciaciones!$D$7</f>
        <v>103.30000000000001</v>
      </c>
      <c r="K148" s="220">
        <f>+'Inversiones '!$H$10*Depreciaciones!$D$7</f>
        <v>103.30000000000001</v>
      </c>
      <c r="L148" s="220">
        <f>+'Inversiones '!$H$10*Depreciaciones!$D$7</f>
        <v>103.30000000000001</v>
      </c>
      <c r="M148" s="220">
        <f>+'Inversiones '!$H$10*Depreciaciones!$D$7</f>
        <v>103.30000000000001</v>
      </c>
      <c r="N148" s="220">
        <f>+'Inversiones '!$H$10*Depreciaciones!$D$7</f>
        <v>103.30000000000001</v>
      </c>
    </row>
    <row r="149" spans="2:14" s="109" customFormat="1">
      <c r="B149" s="221" t="s">
        <v>125</v>
      </c>
      <c r="C149" s="221"/>
      <c r="D149" s="221"/>
      <c r="E149" s="221"/>
      <c r="F149" s="221"/>
      <c r="G149" s="221"/>
      <c r="H149" s="221"/>
      <c r="I149" s="221"/>
      <c r="J149" s="221">
        <f>+'Inversiones '!$I$10*Depreciaciones!$D$7</f>
        <v>2.2000000000000002</v>
      </c>
      <c r="K149" s="221">
        <f>+'Inversiones '!$I$10*Depreciaciones!$D$7</f>
        <v>2.2000000000000002</v>
      </c>
      <c r="L149" s="221">
        <f>+'Inversiones '!$I$10*Depreciaciones!$D$7</f>
        <v>2.2000000000000002</v>
      </c>
      <c r="M149" s="221">
        <f>+'Inversiones '!$I$10*Depreciaciones!$D$7</f>
        <v>2.2000000000000002</v>
      </c>
      <c r="N149" s="221">
        <f>+'Inversiones '!$I$10*Depreciaciones!$D$7</f>
        <v>2.2000000000000002</v>
      </c>
    </row>
    <row r="150" spans="2:14" s="109" customFormat="1">
      <c r="B150" s="222" t="s">
        <v>126</v>
      </c>
      <c r="C150" s="222"/>
      <c r="D150" s="222"/>
      <c r="E150" s="222"/>
      <c r="F150" s="222"/>
      <c r="G150" s="222"/>
      <c r="H150" s="222"/>
      <c r="I150" s="222"/>
      <c r="J150" s="222"/>
      <c r="K150" s="222">
        <f>+'Inversiones '!$J$10*Depreciaciones!$D$7</f>
        <v>11.100000000000001</v>
      </c>
      <c r="L150" s="222">
        <f>+'Inversiones '!$J$10*Depreciaciones!$D$7</f>
        <v>11.100000000000001</v>
      </c>
      <c r="M150" s="222">
        <f>+'Inversiones '!$J$10*Depreciaciones!$D$7</f>
        <v>11.100000000000001</v>
      </c>
      <c r="N150" s="222">
        <f>+'Inversiones '!$J$10*Depreciaciones!$D$7</f>
        <v>11.100000000000001</v>
      </c>
    </row>
    <row r="151" spans="2:14" s="109" customFormat="1">
      <c r="B151" s="219" t="s">
        <v>127</v>
      </c>
      <c r="C151" s="219"/>
      <c r="D151" s="219"/>
      <c r="E151" s="219"/>
      <c r="F151" s="219"/>
      <c r="G151" s="219"/>
      <c r="H151" s="219"/>
      <c r="I151" s="219"/>
      <c r="J151" s="219"/>
      <c r="K151" s="219"/>
      <c r="L151" s="219">
        <f>+'Inversiones '!$K$10*Depreciaciones!$D$7</f>
        <v>13.4</v>
      </c>
      <c r="M151" s="219">
        <f>+'Inversiones '!$K$10*Depreciaciones!$D$7</f>
        <v>13.4</v>
      </c>
      <c r="N151" s="219">
        <f>+'Inversiones '!$K$10*Depreciaciones!$D$7</f>
        <v>13.4</v>
      </c>
    </row>
    <row r="152" spans="2:14" s="109" customFormat="1">
      <c r="B152" s="220" t="s">
        <v>128</v>
      </c>
      <c r="C152" s="220"/>
      <c r="D152" s="220"/>
      <c r="E152" s="220"/>
      <c r="F152" s="220"/>
      <c r="G152" s="220"/>
      <c r="H152" s="220"/>
      <c r="I152" s="220"/>
      <c r="J152" s="220"/>
      <c r="K152" s="220"/>
      <c r="L152" s="220"/>
      <c r="M152" s="220">
        <f>+'Inversiones '!$L$10*Depreciaciones!$D$7</f>
        <v>3.1</v>
      </c>
      <c r="N152" s="220">
        <f>+'Inversiones '!$L$10*Depreciaciones!$D$7</f>
        <v>3.1</v>
      </c>
    </row>
    <row r="153" spans="2:14" s="109" customFormat="1">
      <c r="B153" s="219" t="s">
        <v>129</v>
      </c>
      <c r="C153" s="219"/>
      <c r="D153" s="219"/>
      <c r="E153" s="219"/>
      <c r="F153" s="219"/>
      <c r="G153" s="219"/>
      <c r="H153" s="219"/>
      <c r="I153" s="219"/>
      <c r="J153" s="219"/>
      <c r="K153" s="219"/>
      <c r="L153" s="219"/>
      <c r="M153" s="219"/>
      <c r="N153" s="219">
        <f>+'Inversiones '!$M$10*Depreciaciones!$D$7</f>
        <v>8.7000000000000011</v>
      </c>
    </row>
    <row r="154" spans="2:14" s="109" customFormat="1">
      <c r="B154" s="110"/>
      <c r="C154" s="105">
        <f>SUM(C143:C153)</f>
        <v>0</v>
      </c>
      <c r="D154" s="105">
        <f t="shared" ref="D154:N154" si="51">SUM(D143:D153)</f>
        <v>0.34354285714285715</v>
      </c>
      <c r="E154" s="105">
        <f t="shared" si="51"/>
        <v>3.9429428571428575</v>
      </c>
      <c r="F154" s="105">
        <f t="shared" si="51"/>
        <v>5.7429428571428573</v>
      </c>
      <c r="G154" s="105">
        <f t="shared" si="51"/>
        <v>7.1429428571428577</v>
      </c>
      <c r="H154" s="105">
        <f t="shared" si="51"/>
        <v>8.9429428571428584</v>
      </c>
      <c r="I154" s="105">
        <f t="shared" si="51"/>
        <v>112.24294285714286</v>
      </c>
      <c r="J154" s="105">
        <f t="shared" si="51"/>
        <v>114.44294285714287</v>
      </c>
      <c r="K154" s="105">
        <f t="shared" si="51"/>
        <v>125.54294285714286</v>
      </c>
      <c r="L154" s="105">
        <f t="shared" si="51"/>
        <v>138.94294285714287</v>
      </c>
      <c r="M154" s="105">
        <f t="shared" si="51"/>
        <v>142.04294285714286</v>
      </c>
      <c r="N154" s="105">
        <f t="shared" si="51"/>
        <v>150.74294285714285</v>
      </c>
    </row>
    <row r="155" spans="2:14" s="109" customFormat="1" ht="9.75" thickBot="1">
      <c r="B155" s="99" t="s">
        <v>61</v>
      </c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</row>
    <row r="156" spans="2:14" s="109" customFormat="1" ht="10.5" thickTop="1" thickBot="1">
      <c r="B156" s="42"/>
      <c r="C156" s="42">
        <v>2001</v>
      </c>
      <c r="D156" s="42">
        <v>2002</v>
      </c>
      <c r="E156" s="42">
        <v>2003</v>
      </c>
      <c r="F156" s="42">
        <v>2004</v>
      </c>
      <c r="G156" s="42">
        <v>2005</v>
      </c>
      <c r="H156" s="42">
        <v>2006</v>
      </c>
      <c r="I156" s="42">
        <v>2007</v>
      </c>
      <c r="J156" s="42">
        <v>2008</v>
      </c>
      <c r="K156" s="42">
        <v>2009</v>
      </c>
      <c r="L156" s="42">
        <v>2010</v>
      </c>
      <c r="M156" s="42">
        <v>2011</v>
      </c>
      <c r="N156" s="42">
        <v>2012</v>
      </c>
    </row>
    <row r="157" spans="2:14" s="109" customFormat="1" ht="9.75" thickTop="1">
      <c r="B157" s="219" t="s">
        <v>119</v>
      </c>
      <c r="C157" s="219"/>
      <c r="D157" s="219">
        <f>+'Inversiones '!C10-Depreciaciones!D143</f>
        <v>3.0918857142857137</v>
      </c>
      <c r="E157" s="219">
        <f>+D157-E143</f>
        <v>2.7483428571428563</v>
      </c>
      <c r="F157" s="219">
        <f t="shared" ref="F157:M157" si="52">+E157-F143</f>
        <v>2.4047999999999989</v>
      </c>
      <c r="G157" s="219">
        <f t="shared" si="52"/>
        <v>2.0612571428571416</v>
      </c>
      <c r="H157" s="219">
        <f t="shared" si="52"/>
        <v>1.7177142857142844</v>
      </c>
      <c r="I157" s="219">
        <f t="shared" si="52"/>
        <v>1.3741714285714273</v>
      </c>
      <c r="J157" s="219">
        <f t="shared" si="52"/>
        <v>1.0306285714285701</v>
      </c>
      <c r="K157" s="219">
        <f t="shared" si="52"/>
        <v>0.68708571428571297</v>
      </c>
      <c r="L157" s="219">
        <f t="shared" si="52"/>
        <v>0.34354285714285582</v>
      </c>
      <c r="M157" s="219">
        <f t="shared" si="52"/>
        <v>-1.3322676295501878E-15</v>
      </c>
      <c r="N157" s="219"/>
    </row>
    <row r="158" spans="2:14" s="109" customFormat="1">
      <c r="B158" s="220" t="s">
        <v>120</v>
      </c>
      <c r="C158" s="220"/>
      <c r="D158" s="220"/>
      <c r="E158" s="220">
        <f>+'Inversiones '!D10-Depreciaciones!E144</f>
        <v>32.394599999999997</v>
      </c>
      <c r="F158" s="220">
        <f t="shared" ref="F158:N158" si="53">+E158-F144</f>
        <v>28.795199999999998</v>
      </c>
      <c r="G158" s="220">
        <f t="shared" si="53"/>
        <v>25.195799999999998</v>
      </c>
      <c r="H158" s="220">
        <f t="shared" si="53"/>
        <v>21.596399999999999</v>
      </c>
      <c r="I158" s="220">
        <f t="shared" si="53"/>
        <v>17.997</v>
      </c>
      <c r="J158" s="220">
        <f t="shared" si="53"/>
        <v>14.397600000000001</v>
      </c>
      <c r="K158" s="220">
        <f t="shared" si="53"/>
        <v>10.798200000000001</v>
      </c>
      <c r="L158" s="220">
        <f t="shared" si="53"/>
        <v>7.1988000000000012</v>
      </c>
      <c r="M158" s="220">
        <f t="shared" si="53"/>
        <v>3.599400000000001</v>
      </c>
      <c r="N158" s="220">
        <f t="shared" si="53"/>
        <v>0</v>
      </c>
    </row>
    <row r="159" spans="2:14" s="109" customFormat="1">
      <c r="B159" s="221" t="s">
        <v>121</v>
      </c>
      <c r="C159" s="221"/>
      <c r="D159" s="221"/>
      <c r="E159" s="221"/>
      <c r="F159" s="221">
        <f>+'Inversiones '!E10-Depreciaciones!F145</f>
        <v>16.2</v>
      </c>
      <c r="G159" s="221">
        <f>+F159-G145</f>
        <v>14.399999999999999</v>
      </c>
      <c r="H159" s="221">
        <f t="shared" ref="H159:N159" si="54">+G159-H145</f>
        <v>12.599999999999998</v>
      </c>
      <c r="I159" s="221">
        <f t="shared" si="54"/>
        <v>10.799999999999997</v>
      </c>
      <c r="J159" s="221">
        <f t="shared" si="54"/>
        <v>8.9999999999999964</v>
      </c>
      <c r="K159" s="221">
        <f t="shared" si="54"/>
        <v>7.1999999999999966</v>
      </c>
      <c r="L159" s="221">
        <f t="shared" si="54"/>
        <v>5.3999999999999968</v>
      </c>
      <c r="M159" s="221">
        <f t="shared" si="54"/>
        <v>3.599999999999997</v>
      </c>
      <c r="N159" s="221">
        <f t="shared" si="54"/>
        <v>1.7999999999999969</v>
      </c>
    </row>
    <row r="160" spans="2:14" s="109" customFormat="1">
      <c r="B160" s="222" t="s">
        <v>122</v>
      </c>
      <c r="C160" s="222"/>
      <c r="D160" s="222"/>
      <c r="E160" s="222"/>
      <c r="F160" s="222"/>
      <c r="G160" s="222">
        <f>+'Inversiones '!F10-Depreciaciones!G146</f>
        <v>12.6</v>
      </c>
      <c r="H160" s="222">
        <f>+G160-H146</f>
        <v>11.2</v>
      </c>
      <c r="I160" s="222">
        <f t="shared" ref="I160:N160" si="55">+H160-I146</f>
        <v>9.7999999999999989</v>
      </c>
      <c r="J160" s="222">
        <f t="shared" si="55"/>
        <v>8.3999999999999986</v>
      </c>
      <c r="K160" s="222">
        <f t="shared" si="55"/>
        <v>6.9999999999999982</v>
      </c>
      <c r="L160" s="222">
        <f t="shared" si="55"/>
        <v>5.5999999999999979</v>
      </c>
      <c r="M160" s="222">
        <f t="shared" si="55"/>
        <v>4.1999999999999975</v>
      </c>
      <c r="N160" s="222">
        <f t="shared" si="55"/>
        <v>2.7999999999999972</v>
      </c>
    </row>
    <row r="161" spans="2:14" s="109" customFormat="1">
      <c r="B161" s="219" t="s">
        <v>123</v>
      </c>
      <c r="C161" s="219"/>
      <c r="D161" s="219"/>
      <c r="E161" s="219"/>
      <c r="F161" s="219"/>
      <c r="G161" s="219"/>
      <c r="H161" s="219">
        <f>+'Inversiones '!G10-Depreciaciones!H147</f>
        <v>16.2</v>
      </c>
      <c r="I161" s="219">
        <f>+H161-I147</f>
        <v>14.399999999999999</v>
      </c>
      <c r="J161" s="219">
        <f t="shared" ref="J161:N161" si="56">+I161-J147</f>
        <v>12.599999999999998</v>
      </c>
      <c r="K161" s="219">
        <f t="shared" si="56"/>
        <v>10.799999999999997</v>
      </c>
      <c r="L161" s="219">
        <f t="shared" si="56"/>
        <v>8.9999999999999964</v>
      </c>
      <c r="M161" s="219">
        <f t="shared" si="56"/>
        <v>7.1999999999999966</v>
      </c>
      <c r="N161" s="219">
        <f t="shared" si="56"/>
        <v>5.3999999999999968</v>
      </c>
    </row>
    <row r="162" spans="2:14" s="109" customFormat="1">
      <c r="B162" s="220" t="s">
        <v>124</v>
      </c>
      <c r="C162" s="220"/>
      <c r="D162" s="220"/>
      <c r="E162" s="220"/>
      <c r="F162" s="220"/>
      <c r="G162" s="220"/>
      <c r="H162" s="220"/>
      <c r="I162" s="220">
        <f>+'Inversiones '!H10-Depreciaciones!I148</f>
        <v>929.7</v>
      </c>
      <c r="J162" s="220">
        <f>+I162-J148</f>
        <v>826.40000000000009</v>
      </c>
      <c r="K162" s="220">
        <f>+J162-K148</f>
        <v>723.10000000000014</v>
      </c>
      <c r="L162" s="220">
        <f>+K162-L148</f>
        <v>619.80000000000018</v>
      </c>
      <c r="M162" s="220">
        <f>+L162-M148</f>
        <v>516.50000000000023</v>
      </c>
      <c r="N162" s="220">
        <f>+M162-N148</f>
        <v>413.20000000000022</v>
      </c>
    </row>
    <row r="163" spans="2:14" s="109" customFormat="1">
      <c r="B163" s="221" t="s">
        <v>125</v>
      </c>
      <c r="C163" s="221"/>
      <c r="D163" s="221"/>
      <c r="E163" s="221"/>
      <c r="F163" s="221"/>
      <c r="G163" s="221"/>
      <c r="H163" s="221"/>
      <c r="I163" s="221"/>
      <c r="J163" s="221">
        <f>+'Inversiones '!I10-Depreciaciones!J149</f>
        <v>19.8</v>
      </c>
      <c r="K163" s="221">
        <f>+J163-K149</f>
        <v>17.600000000000001</v>
      </c>
      <c r="L163" s="221">
        <f>+K163-L149</f>
        <v>15.400000000000002</v>
      </c>
      <c r="M163" s="221">
        <f>+L163-M149</f>
        <v>13.200000000000003</v>
      </c>
      <c r="N163" s="221">
        <f>+M163-N149</f>
        <v>11.000000000000004</v>
      </c>
    </row>
    <row r="164" spans="2:14" s="109" customFormat="1">
      <c r="B164" s="222" t="s">
        <v>126</v>
      </c>
      <c r="C164" s="222"/>
      <c r="D164" s="222"/>
      <c r="E164" s="222"/>
      <c r="F164" s="222"/>
      <c r="G164" s="222"/>
      <c r="H164" s="222"/>
      <c r="I164" s="222"/>
      <c r="J164" s="222"/>
      <c r="K164" s="222">
        <f>+'Inversiones '!J10-Depreciaciones!K150</f>
        <v>99.9</v>
      </c>
      <c r="L164" s="222">
        <f>+K164-L150</f>
        <v>88.800000000000011</v>
      </c>
      <c r="M164" s="222">
        <f>+L164-M150</f>
        <v>77.700000000000017</v>
      </c>
      <c r="N164" s="222">
        <f>+M164-N150</f>
        <v>66.600000000000023</v>
      </c>
    </row>
    <row r="165" spans="2:14" s="109" customFormat="1">
      <c r="B165" s="219" t="s">
        <v>127</v>
      </c>
      <c r="C165" s="219"/>
      <c r="D165" s="219"/>
      <c r="E165" s="219"/>
      <c r="F165" s="219"/>
      <c r="G165" s="219"/>
      <c r="H165" s="219"/>
      <c r="I165" s="219"/>
      <c r="J165" s="219"/>
      <c r="K165" s="219"/>
      <c r="L165" s="219">
        <f>+'Inversiones '!K10-Depreciaciones!L151</f>
        <v>120.6</v>
      </c>
      <c r="M165" s="219">
        <f>+L165-M151</f>
        <v>107.19999999999999</v>
      </c>
      <c r="N165" s="219">
        <f>+M165-N151</f>
        <v>93.799999999999983</v>
      </c>
    </row>
    <row r="166" spans="2:14" s="109" customFormat="1">
      <c r="B166" s="220" t="s">
        <v>128</v>
      </c>
      <c r="C166" s="220"/>
      <c r="D166" s="220"/>
      <c r="E166" s="220"/>
      <c r="F166" s="220"/>
      <c r="G166" s="220"/>
      <c r="H166" s="220"/>
      <c r="I166" s="220"/>
      <c r="J166" s="220"/>
      <c r="K166" s="220"/>
      <c r="L166" s="220"/>
      <c r="M166" s="220">
        <f>+'Inversiones '!L10-Depreciaciones!M152</f>
        <v>27.9</v>
      </c>
      <c r="N166" s="220">
        <f>+M166-N152</f>
        <v>24.799999999999997</v>
      </c>
    </row>
    <row r="167" spans="2:14" s="109" customFormat="1">
      <c r="B167" s="219" t="s">
        <v>129</v>
      </c>
      <c r="C167" s="219"/>
      <c r="D167" s="219"/>
      <c r="E167" s="219"/>
      <c r="F167" s="219"/>
      <c r="G167" s="219"/>
      <c r="H167" s="219"/>
      <c r="I167" s="219"/>
      <c r="J167" s="219"/>
      <c r="K167" s="219"/>
      <c r="L167" s="219"/>
      <c r="M167" s="219"/>
      <c r="N167" s="219">
        <f>+'Inversiones '!M10-Depreciaciones!N153</f>
        <v>78.3</v>
      </c>
    </row>
    <row r="168" spans="2:14" s="109" customFormat="1">
      <c r="B168" s="112"/>
      <c r="C168" s="105"/>
      <c r="D168" s="105"/>
      <c r="E168" s="105"/>
      <c r="F168" s="105"/>
      <c r="G168" s="105"/>
      <c r="H168" s="105"/>
      <c r="I168" s="105"/>
      <c r="J168" s="105"/>
      <c r="K168" s="105"/>
      <c r="L168" s="105"/>
      <c r="M168" s="105"/>
      <c r="N168" s="111"/>
    </row>
    <row r="169" spans="2:14" s="109" customFormat="1" ht="9.75" thickBot="1">
      <c r="B169" s="42" t="s">
        <v>130</v>
      </c>
      <c r="C169" s="100">
        <f>+'Inversiones '!C10+SUM(Depreciaciones!C157:C167)</f>
        <v>3.4354285714285711</v>
      </c>
      <c r="D169" s="100">
        <f>+'Inversiones '!D10+SUM(Depreciaciones!D157:D167)</f>
        <v>39.085885714285716</v>
      </c>
      <c r="E169" s="100">
        <f>+'Inversiones '!E10+SUM(Depreciaciones!E157:E167)</f>
        <v>53.142942857142856</v>
      </c>
      <c r="F169" s="100">
        <f>+'Inversiones '!F10+SUM(Depreciaciones!F157:F167)</f>
        <v>61.399999999999991</v>
      </c>
      <c r="G169" s="100">
        <f>+'Inversiones '!G10+SUM(Depreciaciones!G157:G167)</f>
        <v>72.25705714285715</v>
      </c>
      <c r="H169" s="100">
        <f>+'Inversiones '!H10+SUM(Depreciaciones!H157:H167)</f>
        <v>1096.3141142857144</v>
      </c>
      <c r="I169" s="100">
        <f>+'Inversiones '!I10+SUM(Depreciaciones!I157:I167)</f>
        <v>1006.0711714285715</v>
      </c>
      <c r="J169" s="100">
        <f>+'Inversiones '!J10+SUM(Depreciaciones!J157:J167)</f>
        <v>1002.6282285714286</v>
      </c>
      <c r="K169" s="100">
        <f>+'Inversiones '!K10+SUM(Depreciaciones!K157:K167)</f>
        <v>1011.0852857142859</v>
      </c>
      <c r="L169" s="100">
        <f>+'Inversiones '!L10+SUM(Depreciaciones!L157:L167)</f>
        <v>903.14234285714303</v>
      </c>
      <c r="M169" s="100">
        <f>+'Inversiones '!M10+SUM(Depreciaciones!M157:M167)</f>
        <v>848.09940000000017</v>
      </c>
      <c r="N169" s="100">
        <f>+'Inversiones '!N10+SUM(Depreciaciones!N157:N167)</f>
        <v>863.70000000000016</v>
      </c>
    </row>
    <row r="170" spans="2:14" ht="9.75" thickTop="1"/>
    <row r="172" spans="2:14">
      <c r="B172" s="107" t="s">
        <v>195</v>
      </c>
      <c r="D172" s="108"/>
    </row>
    <row r="173" spans="2:14" ht="9.75" thickBot="1">
      <c r="B173" s="42" t="s">
        <v>196</v>
      </c>
      <c r="C173" s="42">
        <f>+C156</f>
        <v>2001</v>
      </c>
      <c r="D173" s="42">
        <f t="shared" ref="D173:N173" si="57">+D156</f>
        <v>2002</v>
      </c>
      <c r="E173" s="42">
        <f t="shared" si="57"/>
        <v>2003</v>
      </c>
      <c r="F173" s="42">
        <f t="shared" si="57"/>
        <v>2004</v>
      </c>
      <c r="G173" s="42">
        <f t="shared" si="57"/>
        <v>2005</v>
      </c>
      <c r="H173" s="42">
        <f t="shared" si="57"/>
        <v>2006</v>
      </c>
      <c r="I173" s="42">
        <f t="shared" si="57"/>
        <v>2007</v>
      </c>
      <c r="J173" s="42">
        <f t="shared" si="57"/>
        <v>2008</v>
      </c>
      <c r="K173" s="42">
        <f t="shared" si="57"/>
        <v>2009</v>
      </c>
      <c r="L173" s="42">
        <f t="shared" si="57"/>
        <v>2010</v>
      </c>
      <c r="M173" s="42">
        <f t="shared" si="57"/>
        <v>2011</v>
      </c>
      <c r="N173" s="42">
        <f t="shared" si="57"/>
        <v>2012</v>
      </c>
    </row>
    <row r="174" spans="2:14" ht="9.75" thickTop="1">
      <c r="B174" s="219" t="str">
        <f>+BaseCapital!B50</f>
        <v>Mejoras Aeropuerto</v>
      </c>
      <c r="C174" s="219">
        <f>+BaseCapital!$C$50*Depreciaciones!$H$3*11/12</f>
        <v>1189771.0993398924</v>
      </c>
      <c r="D174" s="219">
        <f>+BaseCapital!$C$50*Depreciaciones!$H$3</f>
        <v>1297932.1083707917</v>
      </c>
      <c r="E174" s="219">
        <f>+BaseCapital!$C$50*Depreciaciones!$H$3</f>
        <v>1297932.1083707917</v>
      </c>
      <c r="F174" s="219">
        <f>+BaseCapital!$C$50*Depreciaciones!$H$3</f>
        <v>1297932.1083707917</v>
      </c>
      <c r="G174" s="219">
        <f>+BaseCapital!$C$50*Depreciaciones!$H$3</f>
        <v>1297932.1083707917</v>
      </c>
      <c r="H174" s="219">
        <f>+BaseCapital!$C$50*Depreciaciones!$H$3</f>
        <v>1297932.1083707917</v>
      </c>
      <c r="I174" s="219">
        <f>+BaseCapital!$C$50*Depreciaciones!$H$3</f>
        <v>1297932.1083707917</v>
      </c>
      <c r="J174" s="219">
        <f>+BaseCapital!$C$50*Depreciaciones!$H$3</f>
        <v>1297932.1083707917</v>
      </c>
      <c r="K174" s="219">
        <f>+BaseCapital!$C$50*Depreciaciones!$H$3</f>
        <v>1297932.1083707917</v>
      </c>
      <c r="L174" s="219">
        <f>+BaseCapital!$C$50*Depreciaciones!$H$3</f>
        <v>1297932.1083707917</v>
      </c>
      <c r="M174" s="219">
        <f>+BaseCapital!$C$50*Depreciaciones!$H$3</f>
        <v>1297932.1083707917</v>
      </c>
      <c r="N174" s="219">
        <f>+BaseCapital!$C$50*Depreciaciones!$H$3</f>
        <v>1297932.1083707917</v>
      </c>
    </row>
    <row r="175" spans="2:14">
      <c r="B175" s="220" t="str">
        <f>+BaseCapital!B56</f>
        <v>Unidades de Transporte</v>
      </c>
      <c r="C175" s="220">
        <f>+BaseCapital!$C$56*Depreciaciones!$D$6*11/12</f>
        <v>76151.401324345032</v>
      </c>
      <c r="D175" s="220">
        <f>+BaseCapital!$C$56*Depreciaciones!$D$6</f>
        <v>83074.255990194579</v>
      </c>
      <c r="E175" s="220">
        <f>+BaseCapital!$C$56*Depreciaciones!$D$6</f>
        <v>83074.255990194579</v>
      </c>
      <c r="F175" s="220">
        <f>+BaseCapital!$C$56*Depreciaciones!$D$6</f>
        <v>83074.255990194579</v>
      </c>
      <c r="G175" s="220">
        <f>+BaseCapital!$C$56*Depreciaciones!$D$6</f>
        <v>83074.255990194579</v>
      </c>
      <c r="H175" s="220"/>
      <c r="I175" s="220"/>
      <c r="J175" s="220"/>
      <c r="K175" s="220"/>
      <c r="L175" s="220"/>
      <c r="M175" s="220"/>
      <c r="N175" s="220"/>
    </row>
    <row r="176" spans="2:14">
      <c r="B176" s="221" t="str">
        <f>+BaseCapital!B57</f>
        <v>Muebles y Enseres</v>
      </c>
      <c r="C176" s="221">
        <f>+BaseCapital!$C$57*Depreciaciones!$D$7*11/12</f>
        <v>36723.026437073735</v>
      </c>
      <c r="D176" s="221">
        <f>+BaseCapital!$C$57*Depreciaciones!$D$7</f>
        <v>40061.483385898624</v>
      </c>
      <c r="E176" s="221">
        <f>+BaseCapital!$C$57*Depreciaciones!$D$7</f>
        <v>40061.483385898624</v>
      </c>
      <c r="F176" s="221">
        <f>+BaseCapital!$C$57*Depreciaciones!$D$7</f>
        <v>40061.483385898624</v>
      </c>
      <c r="G176" s="221">
        <f>+BaseCapital!$C$57*Depreciaciones!$D$7</f>
        <v>40061.483385898624</v>
      </c>
      <c r="H176" s="221">
        <f>+BaseCapital!$C$57*Depreciaciones!$D$7</f>
        <v>40061.483385898624</v>
      </c>
      <c r="I176" s="221">
        <f>+BaseCapital!$C$57*Depreciaciones!$D$7</f>
        <v>40061.483385898624</v>
      </c>
      <c r="J176" s="221">
        <f>+BaseCapital!$C$57*Depreciaciones!$D$7</f>
        <v>40061.483385898624</v>
      </c>
      <c r="K176" s="221">
        <f>+BaseCapital!$C$57*Depreciaciones!$D$7</f>
        <v>40061.483385898624</v>
      </c>
      <c r="L176" s="221">
        <f>+BaseCapital!$C$57*Depreciaciones!$D$7</f>
        <v>40061.483385898624</v>
      </c>
      <c r="M176" s="221"/>
      <c r="N176" s="221"/>
    </row>
    <row r="177" spans="2:14">
      <c r="B177" s="114"/>
      <c r="C177" s="115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</row>
    <row r="178" spans="2:14" ht="9.75" thickBot="1">
      <c r="B178" s="42"/>
      <c r="C178" s="42">
        <f>+C173</f>
        <v>2001</v>
      </c>
      <c r="D178" s="42">
        <f t="shared" ref="D178:N178" si="58">+D173</f>
        <v>2002</v>
      </c>
      <c r="E178" s="42">
        <f t="shared" si="58"/>
        <v>2003</v>
      </c>
      <c r="F178" s="42">
        <f t="shared" si="58"/>
        <v>2004</v>
      </c>
      <c r="G178" s="42">
        <f t="shared" si="58"/>
        <v>2005</v>
      </c>
      <c r="H178" s="42">
        <f t="shared" si="58"/>
        <v>2006</v>
      </c>
      <c r="I178" s="42">
        <f t="shared" si="58"/>
        <v>2007</v>
      </c>
      <c r="J178" s="42">
        <f t="shared" si="58"/>
        <v>2008</v>
      </c>
      <c r="K178" s="42">
        <f t="shared" si="58"/>
        <v>2009</v>
      </c>
      <c r="L178" s="42">
        <f t="shared" si="58"/>
        <v>2010</v>
      </c>
      <c r="M178" s="42">
        <f t="shared" si="58"/>
        <v>2011</v>
      </c>
      <c r="N178" s="42">
        <f t="shared" si="58"/>
        <v>2012</v>
      </c>
    </row>
    <row r="179" spans="2:14" ht="9.75" thickTop="1">
      <c r="B179" s="219" t="str">
        <f>+B174</f>
        <v>Mejoras Aeropuerto</v>
      </c>
      <c r="C179" s="219">
        <f>+BaseCapital!C50-Depreciaciones!C174</f>
        <v>36450260.043413065</v>
      </c>
      <c r="D179" s="219">
        <f>+C179-D174</f>
        <v>35152327.935042277</v>
      </c>
      <c r="E179" s="219">
        <f t="shared" ref="E179:N179" si="59">+D179-E174</f>
        <v>33854395.826671489</v>
      </c>
      <c r="F179" s="219">
        <f t="shared" si="59"/>
        <v>32556463.718300696</v>
      </c>
      <c r="G179" s="219">
        <f t="shared" si="59"/>
        <v>31258531.609929904</v>
      </c>
      <c r="H179" s="219">
        <f t="shared" si="59"/>
        <v>29960599.501559112</v>
      </c>
      <c r="I179" s="219">
        <f t="shared" si="59"/>
        <v>28662667.39318832</v>
      </c>
      <c r="J179" s="219">
        <f t="shared" si="59"/>
        <v>27364735.284817528</v>
      </c>
      <c r="K179" s="219">
        <f t="shared" si="59"/>
        <v>26066803.176446736</v>
      </c>
      <c r="L179" s="219">
        <f t="shared" si="59"/>
        <v>24768871.068075944</v>
      </c>
      <c r="M179" s="219">
        <f t="shared" si="59"/>
        <v>23470938.959705152</v>
      </c>
      <c r="N179" s="219">
        <f t="shared" si="59"/>
        <v>22173006.851334359</v>
      </c>
    </row>
    <row r="180" spans="2:14">
      <c r="B180" s="220" t="str">
        <f t="shared" ref="B180:B181" si="60">+B175</f>
        <v>Unidades de Transporte</v>
      </c>
      <c r="C180" s="220">
        <f>+IF(BaseCapital!C56-Depreciaciones!C175&gt;0,BaseCapital!C56-Depreciaciones!C175,0)</f>
        <v>339219.87862662785</v>
      </c>
      <c r="D180" s="220">
        <f>+IF(C180-D175&gt;0,C180-D175,0)</f>
        <v>256145.62263643328</v>
      </c>
      <c r="E180" s="220">
        <f>+IF(D180-E175&gt;0,D180-E175,0)</f>
        <v>173071.36664623872</v>
      </c>
      <c r="F180" s="220">
        <f>+IF(E180-F175&gt;0,E180-F175,0)</f>
        <v>89997.11065604414</v>
      </c>
      <c r="G180" s="220">
        <f>+IF(F180-G175&gt;0,F180-G175,0)</f>
        <v>6922.8546658495616</v>
      </c>
      <c r="H180" s="220">
        <f>+IF(G180-H175&gt;0,G180-H175,0)</f>
        <v>6922.8546658495616</v>
      </c>
      <c r="I180" s="220">
        <f t="shared" ref="I180:N180" si="61">+IF(H180-I175&gt;0,H180-I175,0)</f>
        <v>6922.8546658495616</v>
      </c>
      <c r="J180" s="220">
        <f t="shared" si="61"/>
        <v>6922.8546658495616</v>
      </c>
      <c r="K180" s="220">
        <f t="shared" si="61"/>
        <v>6922.8546658495616</v>
      </c>
      <c r="L180" s="220">
        <f t="shared" si="61"/>
        <v>6922.8546658495616</v>
      </c>
      <c r="M180" s="220">
        <f t="shared" si="61"/>
        <v>6922.8546658495616</v>
      </c>
      <c r="N180" s="220">
        <f t="shared" si="61"/>
        <v>6922.8546658495616</v>
      </c>
    </row>
    <row r="181" spans="2:14">
      <c r="B181" s="221" t="str">
        <f t="shared" si="60"/>
        <v>Muebles y Enseres</v>
      </c>
      <c r="C181" s="221">
        <f>+IF(BaseCapital!C57-Depreciaciones!C176&gt;0,BaseCapital!C57-Depreciaciones!C176,0)</f>
        <v>363891.8074219125</v>
      </c>
      <c r="D181" s="221">
        <f>+IF(C181-D176&gt;0,C181-D176,0)</f>
        <v>323830.32403601386</v>
      </c>
      <c r="E181" s="221">
        <f t="shared" ref="E181:N181" si="62">+IF(D181-E176&gt;0,D181-E176,0)</f>
        <v>283768.84065011522</v>
      </c>
      <c r="F181" s="221">
        <f t="shared" si="62"/>
        <v>243707.35726421658</v>
      </c>
      <c r="G181" s="221">
        <f t="shared" si="62"/>
        <v>203645.87387831794</v>
      </c>
      <c r="H181" s="221">
        <f t="shared" si="62"/>
        <v>163584.3904924193</v>
      </c>
      <c r="I181" s="221">
        <f t="shared" si="62"/>
        <v>123522.90710652068</v>
      </c>
      <c r="J181" s="221">
        <f t="shared" si="62"/>
        <v>83461.423720622057</v>
      </c>
      <c r="K181" s="221">
        <f t="shared" si="62"/>
        <v>43399.940334723433</v>
      </c>
      <c r="L181" s="221">
        <f t="shared" si="62"/>
        <v>3338.4569488248089</v>
      </c>
      <c r="M181" s="221">
        <f t="shared" si="62"/>
        <v>3338.4569488248089</v>
      </c>
      <c r="N181" s="221">
        <f t="shared" si="62"/>
        <v>3338.4569488248089</v>
      </c>
    </row>
    <row r="182" spans="2:14">
      <c r="B182" s="114"/>
    </row>
  </sheetData>
  <mergeCells count="1">
    <mergeCell ref="Q3:T3"/>
  </mergeCells>
  <hyperlinks>
    <hyperlink ref="P2:S2" location="'Factor X'!A1" display="Go to Factor X"/>
    <hyperlink ref="Q3:T3" location="Indice!D3" display="ÍNDICE"/>
  </hyperlinks>
  <pageMargins left="0.7" right="0.7" top="0.75" bottom="0.75" header="0.3" footer="0.3"/>
  <pageSetup paperSize="9" orientation="portrait" r:id="rId1"/>
  <ignoredErrors>
    <ignoredError sqref="C41 Q41 C73 Q73 C90 Q90 C105 Q105 C122 C137 C154 C169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20">
    <tabColor rgb="FF92D050"/>
  </sheetPr>
  <dimension ref="A1:N21"/>
  <sheetViews>
    <sheetView showGridLines="0" workbookViewId="0">
      <selection sqref="A1:D1"/>
    </sheetView>
  </sheetViews>
  <sheetFormatPr baseColWidth="10" defaultRowHeight="9"/>
  <cols>
    <col min="1" max="1" width="6.28515625" style="92" customWidth="1"/>
    <col min="2" max="2" width="22.140625" style="92" customWidth="1"/>
    <col min="3" max="6" width="9" style="92" bestFit="1" customWidth="1"/>
    <col min="7" max="10" width="10.42578125" style="92" bestFit="1" customWidth="1"/>
    <col min="11" max="14" width="10.7109375" style="92" bestFit="1" customWidth="1"/>
    <col min="15" max="15" width="11.42578125" style="92"/>
    <col min="16" max="19" width="6.5703125" style="92" customWidth="1"/>
    <col min="20" max="16384" width="11.42578125" style="92"/>
  </cols>
  <sheetData>
    <row r="1" spans="1:14" ht="15">
      <c r="A1" s="444" t="s">
        <v>555</v>
      </c>
      <c r="B1" s="444"/>
      <c r="C1" s="444"/>
      <c r="D1" s="444"/>
    </row>
    <row r="4" spans="1:14">
      <c r="B4" s="116" t="str">
        <f>+'Inversiones '!B4</f>
        <v>ACTIVO FIJO - US$ Miles</v>
      </c>
    </row>
    <row r="5" spans="1:14" ht="11.25" customHeight="1" thickBot="1">
      <c r="B5" s="42" t="str">
        <f>+'Inversiones '!B5</f>
        <v>Inversión Anual</v>
      </c>
      <c r="C5" s="42">
        <f>+'Inversiones '!C5</f>
        <v>2001</v>
      </c>
      <c r="D5" s="42">
        <f>+'Inversiones '!D5</f>
        <v>2002</v>
      </c>
      <c r="E5" s="42">
        <f>+'Inversiones '!E5</f>
        <v>2003</v>
      </c>
      <c r="F5" s="42">
        <f>+'Inversiones '!F5</f>
        <v>2004</v>
      </c>
      <c r="G5" s="42">
        <f>+'Inversiones '!G5</f>
        <v>2005</v>
      </c>
      <c r="H5" s="42">
        <f>+'Inversiones '!H5</f>
        <v>2006</v>
      </c>
      <c r="I5" s="42">
        <f>+'Inversiones '!I5</f>
        <v>2007</v>
      </c>
      <c r="J5" s="42">
        <f>+'Inversiones '!J5</f>
        <v>2008</v>
      </c>
      <c r="K5" s="42">
        <f>+'Inversiones '!K5</f>
        <v>2009</v>
      </c>
      <c r="L5" s="42">
        <f>+'Inversiones '!L5</f>
        <v>2010</v>
      </c>
      <c r="M5" s="42">
        <f>+'Inversiones '!M5</f>
        <v>2011</v>
      </c>
      <c r="N5" s="43">
        <f>+'Inversiones '!N5</f>
        <v>2012</v>
      </c>
    </row>
    <row r="6" spans="1:14" ht="11.25" customHeight="1" thickTop="1">
      <c r="B6" s="219" t="str">
        <f>+'Inversiones '!B6</f>
        <v>Equipos de Seguridad y Rescate</v>
      </c>
      <c r="C6" s="219">
        <f>+(('Inversiones '!C6+SUM(Depreciaciones!C29:C40)))*1000</f>
        <v>0</v>
      </c>
      <c r="D6" s="219">
        <f>+('Inversiones '!D6+SUM(Depreciaciones!D29:D40))*1000</f>
        <v>3284000</v>
      </c>
      <c r="E6" s="219">
        <f>+('Inversiones '!E6+SUM(Depreciaciones!E29:E40))*1000</f>
        <v>3014600</v>
      </c>
      <c r="F6" s="219">
        <f>+('Inversiones '!F6+SUM(Depreciaciones!F29:F40))*1000</f>
        <v>2767299.9999999995</v>
      </c>
      <c r="G6" s="219">
        <f>+('Inversiones '!G6+SUM(Depreciaciones!G29:G40))*1000</f>
        <v>2424299.9999999995</v>
      </c>
      <c r="H6" s="219">
        <f>+('Inversiones '!H6+SUM(Depreciaciones!H29:H40))*1000</f>
        <v>2309299.9999999995</v>
      </c>
      <c r="I6" s="219">
        <f>+('Inversiones '!I6+SUM(Depreciaciones!I29:I40))*1000</f>
        <v>1947499.9999999998</v>
      </c>
      <c r="J6" s="219">
        <f>+('Inversiones '!J6+SUM(Depreciaciones!J29:J40))*1000</f>
        <v>1185299.9999999993</v>
      </c>
      <c r="K6" s="219">
        <f>+('Inversiones '!K6+SUM(Depreciaciones!K29:K40))*1000</f>
        <v>978699.9999999993</v>
      </c>
      <c r="L6" s="219">
        <f>+('Inversiones '!L6+SUM(Depreciaciones!L29:L40))*1000</f>
        <v>769099.99999999919</v>
      </c>
      <c r="M6" s="219">
        <f>+('Inversiones '!M6+SUM(Depreciaciones!M29:M40))*1000</f>
        <v>625599.99999999919</v>
      </c>
      <c r="N6" s="219">
        <f>+('Inversiones '!N6+SUM(Depreciaciones!N29:N40))*1000</f>
        <v>261299.99999999916</v>
      </c>
    </row>
    <row r="7" spans="1:14" ht="11.25" customHeight="1">
      <c r="B7" s="220" t="str">
        <f>+'Inversiones '!B7</f>
        <v>Equipos de Computo</v>
      </c>
      <c r="C7" s="220">
        <f>+('Inversiones '!C7+SUM(Depreciaciones!C61:C72))*1000</f>
        <v>381348.57142857142</v>
      </c>
      <c r="D7" s="220">
        <f>+('Inversiones '!D7+SUM(Depreciaciones!D61:D72))*1000</f>
        <v>470331.42857142852</v>
      </c>
      <c r="E7" s="220">
        <f>+('Inversiones '!E7+SUM(Depreciaciones!E61:E72))*1000</f>
        <v>455914.28571428574</v>
      </c>
      <c r="F7" s="220">
        <f>+('Inversiones '!F7+SUM(Depreciaciones!F61:F72))*1000</f>
        <v>550747.14285714284</v>
      </c>
      <c r="G7" s="220">
        <f>+('Inversiones '!G7+SUM(Depreciaciones!G61:G72))*1000</f>
        <v>388580.00000000006</v>
      </c>
      <c r="H7" s="220">
        <f>+('Inversiones '!H7+SUM(Depreciaciones!H61:H72))*1000</f>
        <v>314250</v>
      </c>
      <c r="I7" s="220">
        <f>+('Inversiones '!I7+SUM(Depreciaciones!I61:I72))*1000</f>
        <v>259500</v>
      </c>
      <c r="J7" s="220">
        <f>+('Inversiones '!J7+SUM(Depreciaciones!J61:J72))*1000</f>
        <v>389000</v>
      </c>
      <c r="K7" s="220">
        <f>+('Inversiones '!K7+SUM(Depreciaciones!K61:K72))*1000</f>
        <v>397500</v>
      </c>
      <c r="L7" s="220">
        <f>+('Inversiones '!L7+SUM(Depreciaciones!L61:L72))*1000</f>
        <v>506250</v>
      </c>
      <c r="M7" s="220">
        <f>+('Inversiones '!M7+SUM(Depreciaciones!M61:M72))*1000</f>
        <v>467500</v>
      </c>
      <c r="N7" s="220">
        <f>+('Inversiones '!N7+SUM(Depreciaciones!N61:N72))*1000</f>
        <v>432000</v>
      </c>
    </row>
    <row r="8" spans="1:14" ht="11.25" customHeight="1">
      <c r="B8" s="221" t="str">
        <f>+'Inversiones '!B8</f>
        <v>Equipos Diversos</v>
      </c>
      <c r="C8" s="221">
        <f>+('Inversiones '!C8+SUM(Depreciaciones!C93:C104))*1000</f>
        <v>368204.57142857142</v>
      </c>
      <c r="D8" s="221">
        <f>+('Inversiones '!D8+SUM(Depreciaciones!D93:D104))*1000</f>
        <v>483205.11428571423</v>
      </c>
      <c r="E8" s="221">
        <f>+('Inversiones '!E8+SUM(Depreciaciones!E93:E104))*1000</f>
        <v>574202.55714285711</v>
      </c>
      <c r="F8" s="221">
        <f>+('Inversiones '!F8+SUM(Depreciaciones!F93:F104))*1000</f>
        <v>583899.99999999988</v>
      </c>
      <c r="G8" s="221">
        <f>+('Inversiones '!G8+SUM(Depreciaciones!G93:G104))*1000</f>
        <v>513997.44285714283</v>
      </c>
      <c r="H8" s="221">
        <f>+('Inversiones '!H8+SUM(Depreciaciones!H93:H104))*1000</f>
        <v>1530694.8857142855</v>
      </c>
      <c r="I8" s="221">
        <f>+('Inversiones '!I8+SUM(Depreciaciones!I93:I104))*1000</f>
        <v>1472292.3285714285</v>
      </c>
      <c r="J8" s="221">
        <f>+('Inversiones '!J8+SUM(Depreciaciones!J93:J104))*1000</f>
        <v>1740389.7714285713</v>
      </c>
      <c r="K8" s="221">
        <f>+('Inversiones '!K8+SUM(Depreciaciones!K93:K104))*1000</f>
        <v>1662087.2142857143</v>
      </c>
      <c r="L8" s="221">
        <f>+('Inversiones '!L8+SUM(Depreciaciones!L93:L104))*1000</f>
        <v>1643384.6571428569</v>
      </c>
      <c r="M8" s="221">
        <f>+('Inversiones '!M8+SUM(Depreciaciones!M93:M104))*1000</f>
        <v>1463682.0999999999</v>
      </c>
      <c r="N8" s="221">
        <f>+('Inversiones '!N8+SUM(Depreciaciones!N93:N104))*1000</f>
        <v>2470500</v>
      </c>
    </row>
    <row r="9" spans="1:14" ht="11.25" customHeight="1">
      <c r="B9" s="222" t="str">
        <f>+'Inversiones '!B9</f>
        <v>Unidades de Transporte</v>
      </c>
      <c r="C9" s="222">
        <f>+('Inversiones '!C9+SUM(Depreciaciones!C125:C136))*1000</f>
        <v>285801.14285714284</v>
      </c>
      <c r="D9" s="222">
        <f>+('Inversiones '!D9+SUM(Depreciaciones!D125:D136))*1000</f>
        <v>296564.91428571427</v>
      </c>
      <c r="E9" s="222">
        <f>+('Inversiones '!E9+SUM(Depreciaciones!E125:E136))*1000</f>
        <v>225819.88571428572</v>
      </c>
      <c r="F9" s="222">
        <f>+('Inversiones '!F9+SUM(Depreciaciones!F125:F136))*1000</f>
        <v>220074.85714285713</v>
      </c>
      <c r="G9" s="222">
        <f>+('Inversiones '!G9+SUM(Depreciaciones!G125:G136))*1000</f>
        <v>136329.82857142854</v>
      </c>
      <c r="H9" s="222">
        <f>+('Inversiones '!H9+SUM(Depreciaciones!H125:H136))*1000</f>
        <v>185584.8</v>
      </c>
      <c r="I9" s="222">
        <f>+('Inversiones '!I9+SUM(Depreciaciones!I125:I136))*1000</f>
        <v>217400</v>
      </c>
      <c r="J9" s="222">
        <f>+('Inversiones '!J9+SUM(Depreciaciones!J125:J136))*1000</f>
        <v>176800</v>
      </c>
      <c r="K9" s="222">
        <f>+('Inversiones '!K9+SUM(Depreciaciones!K125:K136))*1000</f>
        <v>121000.00000000001</v>
      </c>
      <c r="L9" s="222">
        <f>+('Inversiones '!L9+SUM(Depreciaciones!L125:L136))*1000</f>
        <v>134400.00000000003</v>
      </c>
      <c r="M9" s="222">
        <f>+('Inversiones '!M9+SUM(Depreciaciones!M125:M136))*1000</f>
        <v>74600</v>
      </c>
      <c r="N9" s="222">
        <f>+('Inversiones '!N9+SUM(Depreciaciones!N125:N136))*1000</f>
        <v>81400</v>
      </c>
    </row>
    <row r="10" spans="1:14" ht="11.25" customHeight="1">
      <c r="B10" s="221" t="str">
        <f>+'Inversiones '!B10</f>
        <v>Muebles y Enseres</v>
      </c>
      <c r="C10" s="221">
        <f>+('Inversiones '!C10+SUM(Depreciaciones!C157:C168))*1000</f>
        <v>3435.4285714285711</v>
      </c>
      <c r="D10" s="221">
        <f>+('Inversiones '!D10+SUM(Depreciaciones!D157:D168))*1000</f>
        <v>39085.885714285716</v>
      </c>
      <c r="E10" s="221">
        <f>+('Inversiones '!E10+SUM(Depreciaciones!E157:E168))*1000</f>
        <v>53142.942857142858</v>
      </c>
      <c r="F10" s="221">
        <f>+('Inversiones '!F10+SUM(Depreciaciones!F157:F168))*1000</f>
        <v>61399.999999999993</v>
      </c>
      <c r="G10" s="221">
        <f>+('Inversiones '!G10+SUM(Depreciaciones!G157:G168))*1000</f>
        <v>72257.057142857157</v>
      </c>
      <c r="H10" s="221">
        <f>+('Inversiones '!H10+SUM(Depreciaciones!H157:H168))*1000</f>
        <v>1096314.1142857145</v>
      </c>
      <c r="I10" s="221">
        <f>+('Inversiones '!I10+SUM(Depreciaciones!I157:I168))*1000</f>
        <v>1006071.1714285715</v>
      </c>
      <c r="J10" s="221">
        <f>+('Inversiones '!J10+SUM(Depreciaciones!J157:J168))*1000</f>
        <v>1002628.2285714286</v>
      </c>
      <c r="K10" s="221">
        <f>+('Inversiones '!K10+SUM(Depreciaciones!K157:K168))*1000</f>
        <v>1011085.2857142859</v>
      </c>
      <c r="L10" s="221">
        <f>+('Inversiones '!L10+SUM(Depreciaciones!L157:L168))*1000</f>
        <v>903142.34285714303</v>
      </c>
      <c r="M10" s="221">
        <f>+('Inversiones '!M10+SUM(Depreciaciones!M157:M168))*1000</f>
        <v>848099.40000000014</v>
      </c>
      <c r="N10" s="221">
        <f>+('Inversiones '!N10+SUM(Depreciaciones!N157:N168))*1000</f>
        <v>863700.00000000012</v>
      </c>
    </row>
    <row r="11" spans="1:14" ht="11.25" customHeight="1">
      <c r="B11" s="225" t="str">
        <f>+'Inversiones '!B11</f>
        <v>Total</v>
      </c>
      <c r="C11" s="225">
        <f>+SUM(C6:C10)</f>
        <v>1038789.7142857142</v>
      </c>
      <c r="D11" s="225">
        <f t="shared" ref="D11:N11" si="0">+SUM(D6:D10)</f>
        <v>4573187.3428571438</v>
      </c>
      <c r="E11" s="225">
        <f t="shared" si="0"/>
        <v>4323679.6714285715</v>
      </c>
      <c r="F11" s="225">
        <f t="shared" si="0"/>
        <v>4183421.9999999995</v>
      </c>
      <c r="G11" s="225">
        <f t="shared" si="0"/>
        <v>3535464.3285714281</v>
      </c>
      <c r="H11" s="225">
        <f t="shared" si="0"/>
        <v>5436143.7999999989</v>
      </c>
      <c r="I11" s="225">
        <f t="shared" si="0"/>
        <v>4902763.5</v>
      </c>
      <c r="J11" s="225">
        <f t="shared" si="0"/>
        <v>4494117.9999999991</v>
      </c>
      <c r="K11" s="225">
        <f t="shared" si="0"/>
        <v>4170372.4999999995</v>
      </c>
      <c r="L11" s="225">
        <f t="shared" si="0"/>
        <v>3956276.9999999991</v>
      </c>
      <c r="M11" s="225">
        <f t="shared" si="0"/>
        <v>3479481.4999999991</v>
      </c>
      <c r="N11" s="225">
        <f t="shared" si="0"/>
        <v>4108899.9999999991</v>
      </c>
    </row>
    <row r="12" spans="1:14" ht="11.25" customHeight="1"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</row>
    <row r="13" spans="1:14" ht="11.25" customHeight="1"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</row>
    <row r="14" spans="1:14" ht="11.25" customHeight="1">
      <c r="B14" s="92" t="s">
        <v>409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</row>
    <row r="15" spans="1:14" ht="11.25" customHeight="1">
      <c r="B15" s="116" t="str">
        <f>+'Inversiones '!B14</f>
        <v>INTANGIBLES - US$ Miles</v>
      </c>
    </row>
    <row r="16" spans="1:14" ht="11.25" customHeight="1" thickBot="1">
      <c r="B16" s="42" t="str">
        <f>+'Inversiones '!B15</f>
        <v>Inversión Anual</v>
      </c>
      <c r="C16" s="42">
        <f>+'Inversiones '!C15</f>
        <v>2001</v>
      </c>
      <c r="D16" s="42">
        <f>+'Inversiones '!D15</f>
        <v>2002</v>
      </c>
      <c r="E16" s="42">
        <f>+'Inversiones '!E15</f>
        <v>2003</v>
      </c>
      <c r="F16" s="42">
        <f>+'Inversiones '!F15</f>
        <v>2004</v>
      </c>
      <c r="G16" s="42">
        <f>+'Inversiones '!G15</f>
        <v>2005</v>
      </c>
      <c r="H16" s="42">
        <f>+'Inversiones '!H15</f>
        <v>2006</v>
      </c>
      <c r="I16" s="42">
        <f>+'Inversiones '!I15</f>
        <v>2007</v>
      </c>
      <c r="J16" s="42">
        <f>+'Inversiones '!J15</f>
        <v>2008</v>
      </c>
      <c r="K16" s="42">
        <f>+'Inversiones '!K15</f>
        <v>2009</v>
      </c>
      <c r="L16" s="42">
        <f>+'Inversiones '!L15</f>
        <v>2010</v>
      </c>
      <c r="M16" s="42">
        <f>+'Inversiones '!M15</f>
        <v>2011</v>
      </c>
      <c r="N16" s="43">
        <f>+'Inversiones '!N15</f>
        <v>2012</v>
      </c>
    </row>
    <row r="17" spans="2:14" ht="11.25" customHeight="1" thickTop="1">
      <c r="B17" s="219" t="str">
        <f>+'Inversiones '!B16</f>
        <v>Mejoras Aeropuerto</v>
      </c>
      <c r="C17" s="219">
        <f>+('Inversiones '!C16+SUM(Depreciaciones!Q29:Q40))*1000</f>
        <v>2684170.2857142859</v>
      </c>
      <c r="D17" s="219">
        <f>+('Inversiones '!D16+SUM(Depreciaciones!R29:R40))*1000</f>
        <v>3852612.6896551726</v>
      </c>
      <c r="E17" s="219">
        <f>+('Inversiones '!E16+SUM(Depreciaciones!S29:S40))*1000</f>
        <v>3948572.3349753697</v>
      </c>
      <c r="F17" s="219">
        <f>+('Inversiones '!F16+SUM(Depreciaciones!T29:T40))*1000</f>
        <v>5195531.9802955678</v>
      </c>
      <c r="G17" s="219">
        <f>+('Inversiones '!G16+SUM(Depreciaciones!U29:U40))*1000</f>
        <v>153165526.10837439</v>
      </c>
      <c r="H17" s="219">
        <f>+('Inversiones '!H16+SUM(Depreciaciones!V29:V40))*1000</f>
        <v>166289485.75369459</v>
      </c>
      <c r="I17" s="219">
        <f>+('Inversiones '!I16+SUM(Depreciaciones!W29:W40))*1000</f>
        <v>165420100.5714286</v>
      </c>
      <c r="J17" s="219">
        <f>+('Inversiones '!J16+SUM(Depreciaciones!X29:X40))*1000</f>
        <v>159541991.25123155</v>
      </c>
      <c r="K17" s="219">
        <f>+('Inversiones '!K16+SUM(Depreciaciones!Y29:Y40))*1000</f>
        <v>207621847.44827592</v>
      </c>
      <c r="L17" s="219">
        <f>+('Inversiones '!L16+SUM(Depreciaciones!Z29:Z40))*1000</f>
        <v>204363772.61083749</v>
      </c>
      <c r="M17" s="219">
        <f>+('Inversiones '!M16+SUM(Depreciaciones!AA29:AA40))*1000</f>
        <v>199249594.32512322</v>
      </c>
      <c r="N17" s="219">
        <f>+('Inversiones '!N16+SUM(Depreciaciones!AB29:AB40))*1000</f>
        <v>220327691.90147784</v>
      </c>
    </row>
    <row r="18" spans="2:14" ht="11.25" customHeight="1">
      <c r="B18" s="220" t="str">
        <f>+'Inversiones '!B17</f>
        <v>Costos Concesion</v>
      </c>
      <c r="C18" s="220">
        <f>+('Inversiones '!C17+SUM(Depreciaciones!Q61:Q72))*1000</f>
        <v>3798388</v>
      </c>
      <c r="D18" s="220">
        <f>+('Inversiones '!D17+SUM(Depreciaciones!R61:R72))*1000</f>
        <v>3996775.0666666664</v>
      </c>
      <c r="E18" s="220">
        <f>+('Inversiones '!E17+SUM(Depreciaciones!S61:S72))*1000</f>
        <v>3810328.8</v>
      </c>
      <c r="F18" s="220">
        <f>+('Inversiones '!F17+SUM(Depreciaciones!T61:T72))*1000</f>
        <v>3721882.5333333332</v>
      </c>
      <c r="G18" s="220">
        <f>+('Inversiones '!G17+SUM(Depreciaciones!U61:U72))*1000</f>
        <v>3584436.2666666666</v>
      </c>
      <c r="H18" s="220">
        <f>+('Inversiones '!H17+SUM(Depreciaciones!V61:V72))*1000</f>
        <v>3447990</v>
      </c>
      <c r="I18" s="220">
        <f>+('Inversiones '!I17+SUM(Depreciaciones!W61:W72))*1000</f>
        <v>3310510.4</v>
      </c>
      <c r="J18" s="220">
        <f>+('Inversiones '!J17+SUM(Depreciaciones!X61:X72))*1000</f>
        <v>3173030.8</v>
      </c>
      <c r="K18" s="220">
        <f>+('Inversiones '!K17+SUM(Depreciaciones!Y61:Y72))*1000</f>
        <v>3035551.2</v>
      </c>
      <c r="L18" s="220">
        <f>+('Inversiones '!L17+SUM(Depreciaciones!Z61:Z72))*1000</f>
        <v>2898071.6</v>
      </c>
      <c r="M18" s="220">
        <f>+('Inversiones '!M17+SUM(Depreciaciones!AA61:AA72))*1000</f>
        <v>2760592</v>
      </c>
      <c r="N18" s="220">
        <f>+('Inversiones '!N17+SUM(Depreciaciones!AB61:AB72))*1000</f>
        <v>2623112.4</v>
      </c>
    </row>
    <row r="19" spans="2:14" ht="11.25" customHeight="1">
      <c r="B19" s="221" t="str">
        <f>+'Inversiones '!B18</f>
        <v>Otros</v>
      </c>
      <c r="C19" s="221">
        <f>+('Inversiones '!C18+SUM(Depreciaciones!Q93:Q104))*1000</f>
        <v>626779.42857142864</v>
      </c>
      <c r="D19" s="221">
        <f>+('Inversiones '!D18+SUM(Depreciaciones!R93:R104))*1000</f>
        <v>585101.48571428575</v>
      </c>
      <c r="E19" s="221">
        <f>+('Inversiones '!E18+SUM(Depreciaciones!S93:S104))*1000</f>
        <v>722323.54285714286</v>
      </c>
      <c r="F19" s="221">
        <f>+('Inversiones '!F18+SUM(Depreciaciones!T93:T104))*1000</f>
        <v>656345.60000000009</v>
      </c>
      <c r="G19" s="221">
        <f>+('Inversiones '!G18+SUM(Depreciaciones!U93:U104))*1000</f>
        <v>980467.65714285732</v>
      </c>
      <c r="H19" s="221">
        <f>+('Inversiones '!H18+SUM(Depreciaciones!V93:V104))*1000</f>
        <v>1430489.7142857143</v>
      </c>
      <c r="I19" s="221">
        <f>+('Inversiones '!I18+SUM(Depreciaciones!W93:W104))*1000</f>
        <v>1244711.7714285715</v>
      </c>
      <c r="J19" s="221">
        <f>+('Inversiones '!J18+SUM(Depreciaciones!X93:X104))*1000</f>
        <v>1341933.8285714285</v>
      </c>
      <c r="K19" s="221">
        <f>+('Inversiones '!K18+SUM(Depreciaciones!Y93:Y104))*1000</f>
        <v>1438855.8857142858</v>
      </c>
      <c r="L19" s="221">
        <f>+('Inversiones '!L18+SUM(Depreciaciones!Z93:Z104))*1000</f>
        <v>1403677.9428571428</v>
      </c>
      <c r="M19" s="221">
        <f>+('Inversiones '!M18+SUM(Depreciaciones!AA93:AA104))*1000</f>
        <v>1284500</v>
      </c>
      <c r="N19" s="221">
        <f>+('Inversiones '!N18+SUM(Depreciaciones!AB93:AB104))*1000</f>
        <v>1717300</v>
      </c>
    </row>
    <row r="20" spans="2:14" ht="11.25" customHeight="1">
      <c r="B20" s="222" t="str">
        <f>+'Inversiones '!B19</f>
        <v>Obras en Curso y DPI</v>
      </c>
      <c r="C20" s="222">
        <v>0</v>
      </c>
      <c r="D20" s="222">
        <v>0</v>
      </c>
      <c r="E20" s="222">
        <v>0</v>
      </c>
      <c r="F20" s="222">
        <v>0</v>
      </c>
      <c r="G20" s="222">
        <v>0</v>
      </c>
      <c r="H20" s="222">
        <v>0</v>
      </c>
      <c r="I20" s="222">
        <v>0</v>
      </c>
      <c r="J20" s="222">
        <v>0</v>
      </c>
      <c r="K20" s="222">
        <v>0</v>
      </c>
      <c r="L20" s="222">
        <v>0</v>
      </c>
      <c r="M20" s="222">
        <v>0</v>
      </c>
      <c r="N20" s="222">
        <v>0</v>
      </c>
    </row>
    <row r="21" spans="2:14" ht="11.25" customHeight="1">
      <c r="B21" s="225" t="str">
        <f>+'Inversiones '!B20</f>
        <v>Total</v>
      </c>
      <c r="C21" s="225">
        <f>+SUM(C17:C20)</f>
        <v>7109337.7142857146</v>
      </c>
      <c r="D21" s="225">
        <f t="shared" ref="D21:N21" si="1">+SUM(D17:D20)</f>
        <v>8434489.2420361247</v>
      </c>
      <c r="E21" s="225">
        <f t="shared" si="1"/>
        <v>8481224.6778325122</v>
      </c>
      <c r="F21" s="225">
        <f t="shared" si="1"/>
        <v>9573760.1136288997</v>
      </c>
      <c r="G21" s="225">
        <f t="shared" si="1"/>
        <v>157730430.03218392</v>
      </c>
      <c r="H21" s="225">
        <f t="shared" si="1"/>
        <v>171167965.4679803</v>
      </c>
      <c r="I21" s="225">
        <f t="shared" si="1"/>
        <v>169975322.74285719</v>
      </c>
      <c r="J21" s="225">
        <f t="shared" si="1"/>
        <v>164056955.879803</v>
      </c>
      <c r="K21" s="225">
        <f t="shared" si="1"/>
        <v>212096254.5339902</v>
      </c>
      <c r="L21" s="225">
        <f t="shared" si="1"/>
        <v>208665522.15369463</v>
      </c>
      <c r="M21" s="225">
        <f t="shared" si="1"/>
        <v>203294686.32512322</v>
      </c>
      <c r="N21" s="225">
        <f t="shared" si="1"/>
        <v>224668104.30147785</v>
      </c>
    </row>
  </sheetData>
  <mergeCells count="1">
    <mergeCell ref="A1:D1"/>
  </mergeCells>
  <hyperlinks>
    <hyperlink ref="A1:D1" location="Indice!D3" display="ÍNDICE"/>
  </hyperlinks>
  <pageMargins left="0.7" right="0.7" top="0.75" bottom="0.75" header="0.3" footer="0.3"/>
  <pageSetup orientation="portrait" r:id="rId1"/>
  <ignoredErrors>
    <ignoredError sqref="C6:C10 C17:C19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39">
    <tabColor rgb="FF92D050"/>
  </sheetPr>
  <dimension ref="A1:Z43"/>
  <sheetViews>
    <sheetView showGridLines="0" workbookViewId="0">
      <selection activeCell="G3" sqref="G3:H3"/>
    </sheetView>
  </sheetViews>
  <sheetFormatPr baseColWidth="10" defaultRowHeight="9"/>
  <cols>
    <col min="1" max="1" width="23.42578125" style="122" customWidth="1"/>
    <col min="2" max="2" width="9.85546875" style="122" customWidth="1"/>
    <col min="3" max="15" width="9.85546875" style="129" customWidth="1"/>
    <col min="16" max="16" width="13.85546875" style="122" customWidth="1"/>
    <col min="17" max="20" width="7.5703125" style="122" customWidth="1"/>
    <col min="21" max="222" width="11.42578125" style="122"/>
    <col min="223" max="223" width="8.85546875" style="122" customWidth="1"/>
    <col min="224" max="224" width="35.7109375" style="122" bestFit="1" customWidth="1"/>
    <col min="225" max="225" width="5" style="122" customWidth="1"/>
    <col min="226" max="228" width="12.85546875" style="122" bestFit="1" customWidth="1"/>
    <col min="229" max="239" width="15.140625" style="122" customWidth="1"/>
    <col min="240" max="240" width="13.85546875" style="122" customWidth="1"/>
    <col min="241" max="241" width="11.42578125" style="122" customWidth="1"/>
    <col min="242" max="242" width="12" style="122" bestFit="1" customWidth="1"/>
    <col min="243" max="243" width="31.7109375" style="122" customWidth="1"/>
    <col min="244" max="244" width="13.85546875" style="122" customWidth="1"/>
    <col min="245" max="245" width="13.42578125" style="122" customWidth="1"/>
    <col min="246" max="249" width="16.140625" style="122" bestFit="1" customWidth="1"/>
    <col min="250" max="253" width="17.42578125" style="122" bestFit="1" customWidth="1"/>
    <col min="254" max="257" width="17.42578125" style="122" customWidth="1"/>
    <col min="258" max="258" width="27.28515625" style="122" customWidth="1"/>
    <col min="259" max="259" width="15.85546875" style="122" bestFit="1" customWidth="1"/>
    <col min="260" max="260" width="12.42578125" style="122" bestFit="1" customWidth="1"/>
    <col min="261" max="271" width="11.42578125" style="122" customWidth="1"/>
    <col min="272" max="272" width="17.140625" style="122" customWidth="1"/>
    <col min="273" max="273" width="11.42578125" style="122" customWidth="1"/>
    <col min="274" max="274" width="34.28515625" style="122" bestFit="1" customWidth="1"/>
    <col min="275" max="478" width="11.42578125" style="122"/>
    <col min="479" max="479" width="8.85546875" style="122" customWidth="1"/>
    <col min="480" max="480" width="35.7109375" style="122" bestFit="1" customWidth="1"/>
    <col min="481" max="481" width="5" style="122" customWidth="1"/>
    <col min="482" max="484" width="12.85546875" style="122" bestFit="1" customWidth="1"/>
    <col min="485" max="495" width="15.140625" style="122" customWidth="1"/>
    <col min="496" max="496" width="13.85546875" style="122" customWidth="1"/>
    <col min="497" max="497" width="11.42578125" style="122" customWidth="1"/>
    <col min="498" max="498" width="12" style="122" bestFit="1" customWidth="1"/>
    <col min="499" max="499" width="31.7109375" style="122" customWidth="1"/>
    <col min="500" max="500" width="13.85546875" style="122" customWidth="1"/>
    <col min="501" max="501" width="13.42578125" style="122" customWidth="1"/>
    <col min="502" max="505" width="16.140625" style="122" bestFit="1" customWidth="1"/>
    <col min="506" max="509" width="17.42578125" style="122" bestFit="1" customWidth="1"/>
    <col min="510" max="513" width="17.42578125" style="122" customWidth="1"/>
    <col min="514" max="514" width="27.28515625" style="122" customWidth="1"/>
    <col min="515" max="515" width="15.85546875" style="122" bestFit="1" customWidth="1"/>
    <col min="516" max="516" width="12.42578125" style="122" bestFit="1" customWidth="1"/>
    <col min="517" max="527" width="11.42578125" style="122" customWidth="1"/>
    <col min="528" max="528" width="17.140625" style="122" customWidth="1"/>
    <col min="529" max="529" width="11.42578125" style="122" customWidth="1"/>
    <col min="530" max="530" width="34.28515625" style="122" bestFit="1" customWidth="1"/>
    <col min="531" max="734" width="11.42578125" style="122"/>
    <col min="735" max="735" width="8.85546875" style="122" customWidth="1"/>
    <col min="736" max="736" width="35.7109375" style="122" bestFit="1" customWidth="1"/>
    <col min="737" max="737" width="5" style="122" customWidth="1"/>
    <col min="738" max="740" width="12.85546875" style="122" bestFit="1" customWidth="1"/>
    <col min="741" max="751" width="15.140625" style="122" customWidth="1"/>
    <col min="752" max="752" width="13.85546875" style="122" customWidth="1"/>
    <col min="753" max="753" width="11.42578125" style="122" customWidth="1"/>
    <col min="754" max="754" width="12" style="122" bestFit="1" customWidth="1"/>
    <col min="755" max="755" width="31.7109375" style="122" customWidth="1"/>
    <col min="756" max="756" width="13.85546875" style="122" customWidth="1"/>
    <col min="757" max="757" width="13.42578125" style="122" customWidth="1"/>
    <col min="758" max="761" width="16.140625" style="122" bestFit="1" customWidth="1"/>
    <col min="762" max="765" width="17.42578125" style="122" bestFit="1" customWidth="1"/>
    <col min="766" max="769" width="17.42578125" style="122" customWidth="1"/>
    <col min="770" max="770" width="27.28515625" style="122" customWidth="1"/>
    <col min="771" max="771" width="15.85546875" style="122" bestFit="1" customWidth="1"/>
    <col min="772" max="772" width="12.42578125" style="122" bestFit="1" customWidth="1"/>
    <col min="773" max="783" width="11.42578125" style="122" customWidth="1"/>
    <col min="784" max="784" width="17.140625" style="122" customWidth="1"/>
    <col min="785" max="785" width="11.42578125" style="122" customWidth="1"/>
    <col min="786" max="786" width="34.28515625" style="122" bestFit="1" customWidth="1"/>
    <col min="787" max="990" width="11.42578125" style="122"/>
    <col min="991" max="991" width="8.85546875" style="122" customWidth="1"/>
    <col min="992" max="992" width="35.7109375" style="122" bestFit="1" customWidth="1"/>
    <col min="993" max="993" width="5" style="122" customWidth="1"/>
    <col min="994" max="996" width="12.85546875" style="122" bestFit="1" customWidth="1"/>
    <col min="997" max="1007" width="15.140625" style="122" customWidth="1"/>
    <col min="1008" max="1008" width="13.85546875" style="122" customWidth="1"/>
    <col min="1009" max="1009" width="11.42578125" style="122" customWidth="1"/>
    <col min="1010" max="1010" width="12" style="122" bestFit="1" customWidth="1"/>
    <col min="1011" max="1011" width="31.7109375" style="122" customWidth="1"/>
    <col min="1012" max="1012" width="13.85546875" style="122" customWidth="1"/>
    <col min="1013" max="1013" width="13.42578125" style="122" customWidth="1"/>
    <col min="1014" max="1017" width="16.140625" style="122" bestFit="1" customWidth="1"/>
    <col min="1018" max="1021" width="17.42578125" style="122" bestFit="1" customWidth="1"/>
    <col min="1022" max="1025" width="17.42578125" style="122" customWidth="1"/>
    <col min="1026" max="1026" width="27.28515625" style="122" customWidth="1"/>
    <col min="1027" max="1027" width="15.85546875" style="122" bestFit="1" customWidth="1"/>
    <col min="1028" max="1028" width="12.42578125" style="122" bestFit="1" customWidth="1"/>
    <col min="1029" max="1039" width="11.42578125" style="122" customWidth="1"/>
    <col min="1040" max="1040" width="17.140625" style="122" customWidth="1"/>
    <col min="1041" max="1041" width="11.42578125" style="122" customWidth="1"/>
    <col min="1042" max="1042" width="34.28515625" style="122" bestFit="1" customWidth="1"/>
    <col min="1043" max="1246" width="11.42578125" style="122"/>
    <col min="1247" max="1247" width="8.85546875" style="122" customWidth="1"/>
    <col min="1248" max="1248" width="35.7109375" style="122" bestFit="1" customWidth="1"/>
    <col min="1249" max="1249" width="5" style="122" customWidth="1"/>
    <col min="1250" max="1252" width="12.85546875" style="122" bestFit="1" customWidth="1"/>
    <col min="1253" max="1263" width="15.140625" style="122" customWidth="1"/>
    <col min="1264" max="1264" width="13.85546875" style="122" customWidth="1"/>
    <col min="1265" max="1265" width="11.42578125" style="122" customWidth="1"/>
    <col min="1266" max="1266" width="12" style="122" bestFit="1" customWidth="1"/>
    <col min="1267" max="1267" width="31.7109375" style="122" customWidth="1"/>
    <col min="1268" max="1268" width="13.85546875" style="122" customWidth="1"/>
    <col min="1269" max="1269" width="13.42578125" style="122" customWidth="1"/>
    <col min="1270" max="1273" width="16.140625" style="122" bestFit="1" customWidth="1"/>
    <col min="1274" max="1277" width="17.42578125" style="122" bestFit="1" customWidth="1"/>
    <col min="1278" max="1281" width="17.42578125" style="122" customWidth="1"/>
    <col min="1282" max="1282" width="27.28515625" style="122" customWidth="1"/>
    <col min="1283" max="1283" width="15.85546875" style="122" bestFit="1" customWidth="1"/>
    <col min="1284" max="1284" width="12.42578125" style="122" bestFit="1" customWidth="1"/>
    <col min="1285" max="1295" width="11.42578125" style="122" customWidth="1"/>
    <col min="1296" max="1296" width="17.140625" style="122" customWidth="1"/>
    <col min="1297" max="1297" width="11.42578125" style="122" customWidth="1"/>
    <col min="1298" max="1298" width="34.28515625" style="122" bestFit="1" customWidth="1"/>
    <col min="1299" max="1502" width="11.42578125" style="122"/>
    <col min="1503" max="1503" width="8.85546875" style="122" customWidth="1"/>
    <col min="1504" max="1504" width="35.7109375" style="122" bestFit="1" customWidth="1"/>
    <col min="1505" max="1505" width="5" style="122" customWidth="1"/>
    <col min="1506" max="1508" width="12.85546875" style="122" bestFit="1" customWidth="1"/>
    <col min="1509" max="1519" width="15.140625" style="122" customWidth="1"/>
    <col min="1520" max="1520" width="13.85546875" style="122" customWidth="1"/>
    <col min="1521" max="1521" width="11.42578125" style="122" customWidth="1"/>
    <col min="1522" max="1522" width="12" style="122" bestFit="1" customWidth="1"/>
    <col min="1523" max="1523" width="31.7109375" style="122" customWidth="1"/>
    <col min="1524" max="1524" width="13.85546875" style="122" customWidth="1"/>
    <col min="1525" max="1525" width="13.42578125" style="122" customWidth="1"/>
    <col min="1526" max="1529" width="16.140625" style="122" bestFit="1" customWidth="1"/>
    <col min="1530" max="1533" width="17.42578125" style="122" bestFit="1" customWidth="1"/>
    <col min="1534" max="1537" width="17.42578125" style="122" customWidth="1"/>
    <col min="1538" max="1538" width="27.28515625" style="122" customWidth="1"/>
    <col min="1539" max="1539" width="15.85546875" style="122" bestFit="1" customWidth="1"/>
    <col min="1540" max="1540" width="12.42578125" style="122" bestFit="1" customWidth="1"/>
    <col min="1541" max="1551" width="11.42578125" style="122" customWidth="1"/>
    <col min="1552" max="1552" width="17.140625" style="122" customWidth="1"/>
    <col min="1553" max="1553" width="11.42578125" style="122" customWidth="1"/>
    <col min="1554" max="1554" width="34.28515625" style="122" bestFit="1" customWidth="1"/>
    <col min="1555" max="1758" width="11.42578125" style="122"/>
    <col min="1759" max="1759" width="8.85546875" style="122" customWidth="1"/>
    <col min="1760" max="1760" width="35.7109375" style="122" bestFit="1" customWidth="1"/>
    <col min="1761" max="1761" width="5" style="122" customWidth="1"/>
    <col min="1762" max="1764" width="12.85546875" style="122" bestFit="1" customWidth="1"/>
    <col min="1765" max="1775" width="15.140625" style="122" customWidth="1"/>
    <col min="1776" max="1776" width="13.85546875" style="122" customWidth="1"/>
    <col min="1777" max="1777" width="11.42578125" style="122" customWidth="1"/>
    <col min="1778" max="1778" width="12" style="122" bestFit="1" customWidth="1"/>
    <col min="1779" max="1779" width="31.7109375" style="122" customWidth="1"/>
    <col min="1780" max="1780" width="13.85546875" style="122" customWidth="1"/>
    <col min="1781" max="1781" width="13.42578125" style="122" customWidth="1"/>
    <col min="1782" max="1785" width="16.140625" style="122" bestFit="1" customWidth="1"/>
    <col min="1786" max="1789" width="17.42578125" style="122" bestFit="1" customWidth="1"/>
    <col min="1790" max="1793" width="17.42578125" style="122" customWidth="1"/>
    <col min="1794" max="1794" width="27.28515625" style="122" customWidth="1"/>
    <col min="1795" max="1795" width="15.85546875" style="122" bestFit="1" customWidth="1"/>
    <col min="1796" max="1796" width="12.42578125" style="122" bestFit="1" customWidth="1"/>
    <col min="1797" max="1807" width="11.42578125" style="122" customWidth="1"/>
    <col min="1808" max="1808" width="17.140625" style="122" customWidth="1"/>
    <col min="1809" max="1809" width="11.42578125" style="122" customWidth="1"/>
    <col min="1810" max="1810" width="34.28515625" style="122" bestFit="1" customWidth="1"/>
    <col min="1811" max="2014" width="11.42578125" style="122"/>
    <col min="2015" max="2015" width="8.85546875" style="122" customWidth="1"/>
    <col min="2016" max="2016" width="35.7109375" style="122" bestFit="1" customWidth="1"/>
    <col min="2017" max="2017" width="5" style="122" customWidth="1"/>
    <col min="2018" max="2020" width="12.85546875" style="122" bestFit="1" customWidth="1"/>
    <col min="2021" max="2031" width="15.140625" style="122" customWidth="1"/>
    <col min="2032" max="2032" width="13.85546875" style="122" customWidth="1"/>
    <col min="2033" max="2033" width="11.42578125" style="122" customWidth="1"/>
    <col min="2034" max="2034" width="12" style="122" bestFit="1" customWidth="1"/>
    <col min="2035" max="2035" width="31.7109375" style="122" customWidth="1"/>
    <col min="2036" max="2036" width="13.85546875" style="122" customWidth="1"/>
    <col min="2037" max="2037" width="13.42578125" style="122" customWidth="1"/>
    <col min="2038" max="2041" width="16.140625" style="122" bestFit="1" customWidth="1"/>
    <col min="2042" max="2045" width="17.42578125" style="122" bestFit="1" customWidth="1"/>
    <col min="2046" max="2049" width="17.42578125" style="122" customWidth="1"/>
    <col min="2050" max="2050" width="27.28515625" style="122" customWidth="1"/>
    <col min="2051" max="2051" width="15.85546875" style="122" bestFit="1" customWidth="1"/>
    <col min="2052" max="2052" width="12.42578125" style="122" bestFit="1" customWidth="1"/>
    <col min="2053" max="2063" width="11.42578125" style="122" customWidth="1"/>
    <col min="2064" max="2064" width="17.140625" style="122" customWidth="1"/>
    <col min="2065" max="2065" width="11.42578125" style="122" customWidth="1"/>
    <col min="2066" max="2066" width="34.28515625" style="122" bestFit="1" customWidth="1"/>
    <col min="2067" max="2270" width="11.42578125" style="122"/>
    <col min="2271" max="2271" width="8.85546875" style="122" customWidth="1"/>
    <col min="2272" max="2272" width="35.7109375" style="122" bestFit="1" customWidth="1"/>
    <col min="2273" max="2273" width="5" style="122" customWidth="1"/>
    <col min="2274" max="2276" width="12.85546875" style="122" bestFit="1" customWidth="1"/>
    <col min="2277" max="2287" width="15.140625" style="122" customWidth="1"/>
    <col min="2288" max="2288" width="13.85546875" style="122" customWidth="1"/>
    <col min="2289" max="2289" width="11.42578125" style="122" customWidth="1"/>
    <col min="2290" max="2290" width="12" style="122" bestFit="1" customWidth="1"/>
    <col min="2291" max="2291" width="31.7109375" style="122" customWidth="1"/>
    <col min="2292" max="2292" width="13.85546875" style="122" customWidth="1"/>
    <col min="2293" max="2293" width="13.42578125" style="122" customWidth="1"/>
    <col min="2294" max="2297" width="16.140625" style="122" bestFit="1" customWidth="1"/>
    <col min="2298" max="2301" width="17.42578125" style="122" bestFit="1" customWidth="1"/>
    <col min="2302" max="2305" width="17.42578125" style="122" customWidth="1"/>
    <col min="2306" max="2306" width="27.28515625" style="122" customWidth="1"/>
    <col min="2307" max="2307" width="15.85546875" style="122" bestFit="1" customWidth="1"/>
    <col min="2308" max="2308" width="12.42578125" style="122" bestFit="1" customWidth="1"/>
    <col min="2309" max="2319" width="11.42578125" style="122" customWidth="1"/>
    <col min="2320" max="2320" width="17.140625" style="122" customWidth="1"/>
    <col min="2321" max="2321" width="11.42578125" style="122" customWidth="1"/>
    <col min="2322" max="2322" width="34.28515625" style="122" bestFit="1" customWidth="1"/>
    <col min="2323" max="2526" width="11.42578125" style="122"/>
    <col min="2527" max="2527" width="8.85546875" style="122" customWidth="1"/>
    <col min="2528" max="2528" width="35.7109375" style="122" bestFit="1" customWidth="1"/>
    <col min="2529" max="2529" width="5" style="122" customWidth="1"/>
    <col min="2530" max="2532" width="12.85546875" style="122" bestFit="1" customWidth="1"/>
    <col min="2533" max="2543" width="15.140625" style="122" customWidth="1"/>
    <col min="2544" max="2544" width="13.85546875" style="122" customWidth="1"/>
    <col min="2545" max="2545" width="11.42578125" style="122" customWidth="1"/>
    <col min="2546" max="2546" width="12" style="122" bestFit="1" customWidth="1"/>
    <col min="2547" max="2547" width="31.7109375" style="122" customWidth="1"/>
    <col min="2548" max="2548" width="13.85546875" style="122" customWidth="1"/>
    <col min="2549" max="2549" width="13.42578125" style="122" customWidth="1"/>
    <col min="2550" max="2553" width="16.140625" style="122" bestFit="1" customWidth="1"/>
    <col min="2554" max="2557" width="17.42578125" style="122" bestFit="1" customWidth="1"/>
    <col min="2558" max="2561" width="17.42578125" style="122" customWidth="1"/>
    <col min="2562" max="2562" width="27.28515625" style="122" customWidth="1"/>
    <col min="2563" max="2563" width="15.85546875" style="122" bestFit="1" customWidth="1"/>
    <col min="2564" max="2564" width="12.42578125" style="122" bestFit="1" customWidth="1"/>
    <col min="2565" max="2575" width="11.42578125" style="122" customWidth="1"/>
    <col min="2576" max="2576" width="17.140625" style="122" customWidth="1"/>
    <col min="2577" max="2577" width="11.42578125" style="122" customWidth="1"/>
    <col min="2578" max="2578" width="34.28515625" style="122" bestFit="1" customWidth="1"/>
    <col min="2579" max="2782" width="11.42578125" style="122"/>
    <col min="2783" max="2783" width="8.85546875" style="122" customWidth="1"/>
    <col min="2784" max="2784" width="35.7109375" style="122" bestFit="1" customWidth="1"/>
    <col min="2785" max="2785" width="5" style="122" customWidth="1"/>
    <col min="2786" max="2788" width="12.85546875" style="122" bestFit="1" customWidth="1"/>
    <col min="2789" max="2799" width="15.140625" style="122" customWidth="1"/>
    <col min="2800" max="2800" width="13.85546875" style="122" customWidth="1"/>
    <col min="2801" max="2801" width="11.42578125" style="122" customWidth="1"/>
    <col min="2802" max="2802" width="12" style="122" bestFit="1" customWidth="1"/>
    <col min="2803" max="2803" width="31.7109375" style="122" customWidth="1"/>
    <col min="2804" max="2804" width="13.85546875" style="122" customWidth="1"/>
    <col min="2805" max="2805" width="13.42578125" style="122" customWidth="1"/>
    <col min="2806" max="2809" width="16.140625" style="122" bestFit="1" customWidth="1"/>
    <col min="2810" max="2813" width="17.42578125" style="122" bestFit="1" customWidth="1"/>
    <col min="2814" max="2817" width="17.42578125" style="122" customWidth="1"/>
    <col min="2818" max="2818" width="27.28515625" style="122" customWidth="1"/>
    <col min="2819" max="2819" width="15.85546875" style="122" bestFit="1" customWidth="1"/>
    <col min="2820" max="2820" width="12.42578125" style="122" bestFit="1" customWidth="1"/>
    <col min="2821" max="2831" width="11.42578125" style="122" customWidth="1"/>
    <col min="2832" max="2832" width="17.140625" style="122" customWidth="1"/>
    <col min="2833" max="2833" width="11.42578125" style="122" customWidth="1"/>
    <col min="2834" max="2834" width="34.28515625" style="122" bestFit="1" customWidth="1"/>
    <col min="2835" max="3038" width="11.42578125" style="122"/>
    <col min="3039" max="3039" width="8.85546875" style="122" customWidth="1"/>
    <col min="3040" max="3040" width="35.7109375" style="122" bestFit="1" customWidth="1"/>
    <col min="3041" max="3041" width="5" style="122" customWidth="1"/>
    <col min="3042" max="3044" width="12.85546875" style="122" bestFit="1" customWidth="1"/>
    <col min="3045" max="3055" width="15.140625" style="122" customWidth="1"/>
    <col min="3056" max="3056" width="13.85546875" style="122" customWidth="1"/>
    <col min="3057" max="3057" width="11.42578125" style="122" customWidth="1"/>
    <col min="3058" max="3058" width="12" style="122" bestFit="1" customWidth="1"/>
    <col min="3059" max="3059" width="31.7109375" style="122" customWidth="1"/>
    <col min="3060" max="3060" width="13.85546875" style="122" customWidth="1"/>
    <col min="3061" max="3061" width="13.42578125" style="122" customWidth="1"/>
    <col min="3062" max="3065" width="16.140625" style="122" bestFit="1" customWidth="1"/>
    <col min="3066" max="3069" width="17.42578125" style="122" bestFit="1" customWidth="1"/>
    <col min="3070" max="3073" width="17.42578125" style="122" customWidth="1"/>
    <col min="3074" max="3074" width="27.28515625" style="122" customWidth="1"/>
    <col min="3075" max="3075" width="15.85546875" style="122" bestFit="1" customWidth="1"/>
    <col min="3076" max="3076" width="12.42578125" style="122" bestFit="1" customWidth="1"/>
    <col min="3077" max="3087" width="11.42578125" style="122" customWidth="1"/>
    <col min="3088" max="3088" width="17.140625" style="122" customWidth="1"/>
    <col min="3089" max="3089" width="11.42578125" style="122" customWidth="1"/>
    <col min="3090" max="3090" width="34.28515625" style="122" bestFit="1" customWidth="1"/>
    <col min="3091" max="3294" width="11.42578125" style="122"/>
    <col min="3295" max="3295" width="8.85546875" style="122" customWidth="1"/>
    <col min="3296" max="3296" width="35.7109375" style="122" bestFit="1" customWidth="1"/>
    <col min="3297" max="3297" width="5" style="122" customWidth="1"/>
    <col min="3298" max="3300" width="12.85546875" style="122" bestFit="1" customWidth="1"/>
    <col min="3301" max="3311" width="15.140625" style="122" customWidth="1"/>
    <col min="3312" max="3312" width="13.85546875" style="122" customWidth="1"/>
    <col min="3313" max="3313" width="11.42578125" style="122" customWidth="1"/>
    <col min="3314" max="3314" width="12" style="122" bestFit="1" customWidth="1"/>
    <col min="3315" max="3315" width="31.7109375" style="122" customWidth="1"/>
    <col min="3316" max="3316" width="13.85546875" style="122" customWidth="1"/>
    <col min="3317" max="3317" width="13.42578125" style="122" customWidth="1"/>
    <col min="3318" max="3321" width="16.140625" style="122" bestFit="1" customWidth="1"/>
    <col min="3322" max="3325" width="17.42578125" style="122" bestFit="1" customWidth="1"/>
    <col min="3326" max="3329" width="17.42578125" style="122" customWidth="1"/>
    <col min="3330" max="3330" width="27.28515625" style="122" customWidth="1"/>
    <col min="3331" max="3331" width="15.85546875" style="122" bestFit="1" customWidth="1"/>
    <col min="3332" max="3332" width="12.42578125" style="122" bestFit="1" customWidth="1"/>
    <col min="3333" max="3343" width="11.42578125" style="122" customWidth="1"/>
    <col min="3344" max="3344" width="17.140625" style="122" customWidth="1"/>
    <col min="3345" max="3345" width="11.42578125" style="122" customWidth="1"/>
    <col min="3346" max="3346" width="34.28515625" style="122" bestFit="1" customWidth="1"/>
    <col min="3347" max="3550" width="11.42578125" style="122"/>
    <col min="3551" max="3551" width="8.85546875" style="122" customWidth="1"/>
    <col min="3552" max="3552" width="35.7109375" style="122" bestFit="1" customWidth="1"/>
    <col min="3553" max="3553" width="5" style="122" customWidth="1"/>
    <col min="3554" max="3556" width="12.85546875" style="122" bestFit="1" customWidth="1"/>
    <col min="3557" max="3567" width="15.140625" style="122" customWidth="1"/>
    <col min="3568" max="3568" width="13.85546875" style="122" customWidth="1"/>
    <col min="3569" max="3569" width="11.42578125" style="122" customWidth="1"/>
    <col min="3570" max="3570" width="12" style="122" bestFit="1" customWidth="1"/>
    <col min="3571" max="3571" width="31.7109375" style="122" customWidth="1"/>
    <col min="3572" max="3572" width="13.85546875" style="122" customWidth="1"/>
    <col min="3573" max="3573" width="13.42578125" style="122" customWidth="1"/>
    <col min="3574" max="3577" width="16.140625" style="122" bestFit="1" customWidth="1"/>
    <col min="3578" max="3581" width="17.42578125" style="122" bestFit="1" customWidth="1"/>
    <col min="3582" max="3585" width="17.42578125" style="122" customWidth="1"/>
    <col min="3586" max="3586" width="27.28515625" style="122" customWidth="1"/>
    <col min="3587" max="3587" width="15.85546875" style="122" bestFit="1" customWidth="1"/>
    <col min="3588" max="3588" width="12.42578125" style="122" bestFit="1" customWidth="1"/>
    <col min="3589" max="3599" width="11.42578125" style="122" customWidth="1"/>
    <col min="3600" max="3600" width="17.140625" style="122" customWidth="1"/>
    <col min="3601" max="3601" width="11.42578125" style="122" customWidth="1"/>
    <col min="3602" max="3602" width="34.28515625" style="122" bestFit="1" customWidth="1"/>
    <col min="3603" max="3806" width="11.42578125" style="122"/>
    <col min="3807" max="3807" width="8.85546875" style="122" customWidth="1"/>
    <col min="3808" max="3808" width="35.7109375" style="122" bestFit="1" customWidth="1"/>
    <col min="3809" max="3809" width="5" style="122" customWidth="1"/>
    <col min="3810" max="3812" width="12.85546875" style="122" bestFit="1" customWidth="1"/>
    <col min="3813" max="3823" width="15.140625" style="122" customWidth="1"/>
    <col min="3824" max="3824" width="13.85546875" style="122" customWidth="1"/>
    <col min="3825" max="3825" width="11.42578125" style="122" customWidth="1"/>
    <col min="3826" max="3826" width="12" style="122" bestFit="1" customWidth="1"/>
    <col min="3827" max="3827" width="31.7109375" style="122" customWidth="1"/>
    <col min="3828" max="3828" width="13.85546875" style="122" customWidth="1"/>
    <col min="3829" max="3829" width="13.42578125" style="122" customWidth="1"/>
    <col min="3830" max="3833" width="16.140625" style="122" bestFit="1" customWidth="1"/>
    <col min="3834" max="3837" width="17.42578125" style="122" bestFit="1" customWidth="1"/>
    <col min="3838" max="3841" width="17.42578125" style="122" customWidth="1"/>
    <col min="3842" max="3842" width="27.28515625" style="122" customWidth="1"/>
    <col min="3843" max="3843" width="15.85546875" style="122" bestFit="1" customWidth="1"/>
    <col min="3844" max="3844" width="12.42578125" style="122" bestFit="1" customWidth="1"/>
    <col min="3845" max="3855" width="11.42578125" style="122" customWidth="1"/>
    <col min="3856" max="3856" width="17.140625" style="122" customWidth="1"/>
    <col min="3857" max="3857" width="11.42578125" style="122" customWidth="1"/>
    <col min="3858" max="3858" width="34.28515625" style="122" bestFit="1" customWidth="1"/>
    <col min="3859" max="4062" width="11.42578125" style="122"/>
    <col min="4063" max="4063" width="8.85546875" style="122" customWidth="1"/>
    <col min="4064" max="4064" width="35.7109375" style="122" bestFit="1" customWidth="1"/>
    <col min="4065" max="4065" width="5" style="122" customWidth="1"/>
    <col min="4066" max="4068" width="12.85546875" style="122" bestFit="1" customWidth="1"/>
    <col min="4069" max="4079" width="15.140625" style="122" customWidth="1"/>
    <col min="4080" max="4080" width="13.85546875" style="122" customWidth="1"/>
    <col min="4081" max="4081" width="11.42578125" style="122" customWidth="1"/>
    <col min="4082" max="4082" width="12" style="122" bestFit="1" customWidth="1"/>
    <col min="4083" max="4083" width="31.7109375" style="122" customWidth="1"/>
    <col min="4084" max="4084" width="13.85546875" style="122" customWidth="1"/>
    <col min="4085" max="4085" width="13.42578125" style="122" customWidth="1"/>
    <col min="4086" max="4089" width="16.140625" style="122" bestFit="1" customWidth="1"/>
    <col min="4090" max="4093" width="17.42578125" style="122" bestFit="1" customWidth="1"/>
    <col min="4094" max="4097" width="17.42578125" style="122" customWidth="1"/>
    <col min="4098" max="4098" width="27.28515625" style="122" customWidth="1"/>
    <col min="4099" max="4099" width="15.85546875" style="122" bestFit="1" customWidth="1"/>
    <col min="4100" max="4100" width="12.42578125" style="122" bestFit="1" customWidth="1"/>
    <col min="4101" max="4111" width="11.42578125" style="122" customWidth="1"/>
    <col min="4112" max="4112" width="17.140625" style="122" customWidth="1"/>
    <col min="4113" max="4113" width="11.42578125" style="122" customWidth="1"/>
    <col min="4114" max="4114" width="34.28515625" style="122" bestFit="1" customWidth="1"/>
    <col min="4115" max="4318" width="11.42578125" style="122"/>
    <col min="4319" max="4319" width="8.85546875" style="122" customWidth="1"/>
    <col min="4320" max="4320" width="35.7109375" style="122" bestFit="1" customWidth="1"/>
    <col min="4321" max="4321" width="5" style="122" customWidth="1"/>
    <col min="4322" max="4324" width="12.85546875" style="122" bestFit="1" customWidth="1"/>
    <col min="4325" max="4335" width="15.140625" style="122" customWidth="1"/>
    <col min="4336" max="4336" width="13.85546875" style="122" customWidth="1"/>
    <col min="4337" max="4337" width="11.42578125" style="122" customWidth="1"/>
    <col min="4338" max="4338" width="12" style="122" bestFit="1" customWidth="1"/>
    <col min="4339" max="4339" width="31.7109375" style="122" customWidth="1"/>
    <col min="4340" max="4340" width="13.85546875" style="122" customWidth="1"/>
    <col min="4341" max="4341" width="13.42578125" style="122" customWidth="1"/>
    <col min="4342" max="4345" width="16.140625" style="122" bestFit="1" customWidth="1"/>
    <col min="4346" max="4349" width="17.42578125" style="122" bestFit="1" customWidth="1"/>
    <col min="4350" max="4353" width="17.42578125" style="122" customWidth="1"/>
    <col min="4354" max="4354" width="27.28515625" style="122" customWidth="1"/>
    <col min="4355" max="4355" width="15.85546875" style="122" bestFit="1" customWidth="1"/>
    <col min="4356" max="4356" width="12.42578125" style="122" bestFit="1" customWidth="1"/>
    <col min="4357" max="4367" width="11.42578125" style="122" customWidth="1"/>
    <col min="4368" max="4368" width="17.140625" style="122" customWidth="1"/>
    <col min="4369" max="4369" width="11.42578125" style="122" customWidth="1"/>
    <col min="4370" max="4370" width="34.28515625" style="122" bestFit="1" customWidth="1"/>
    <col min="4371" max="4574" width="11.42578125" style="122"/>
    <col min="4575" max="4575" width="8.85546875" style="122" customWidth="1"/>
    <col min="4576" max="4576" width="35.7109375" style="122" bestFit="1" customWidth="1"/>
    <col min="4577" max="4577" width="5" style="122" customWidth="1"/>
    <col min="4578" max="4580" width="12.85546875" style="122" bestFit="1" customWidth="1"/>
    <col min="4581" max="4591" width="15.140625" style="122" customWidth="1"/>
    <col min="4592" max="4592" width="13.85546875" style="122" customWidth="1"/>
    <col min="4593" max="4593" width="11.42578125" style="122" customWidth="1"/>
    <col min="4594" max="4594" width="12" style="122" bestFit="1" customWidth="1"/>
    <col min="4595" max="4595" width="31.7109375" style="122" customWidth="1"/>
    <col min="4596" max="4596" width="13.85546875" style="122" customWidth="1"/>
    <col min="4597" max="4597" width="13.42578125" style="122" customWidth="1"/>
    <col min="4598" max="4601" width="16.140625" style="122" bestFit="1" customWidth="1"/>
    <col min="4602" max="4605" width="17.42578125" style="122" bestFit="1" customWidth="1"/>
    <col min="4606" max="4609" width="17.42578125" style="122" customWidth="1"/>
    <col min="4610" max="4610" width="27.28515625" style="122" customWidth="1"/>
    <col min="4611" max="4611" width="15.85546875" style="122" bestFit="1" customWidth="1"/>
    <col min="4612" max="4612" width="12.42578125" style="122" bestFit="1" customWidth="1"/>
    <col min="4613" max="4623" width="11.42578125" style="122" customWidth="1"/>
    <col min="4624" max="4624" width="17.140625" style="122" customWidth="1"/>
    <col min="4625" max="4625" width="11.42578125" style="122" customWidth="1"/>
    <col min="4626" max="4626" width="34.28515625" style="122" bestFit="1" customWidth="1"/>
    <col min="4627" max="4830" width="11.42578125" style="122"/>
    <col min="4831" max="4831" width="8.85546875" style="122" customWidth="1"/>
    <col min="4832" max="4832" width="35.7109375" style="122" bestFit="1" customWidth="1"/>
    <col min="4833" max="4833" width="5" style="122" customWidth="1"/>
    <col min="4834" max="4836" width="12.85546875" style="122" bestFit="1" customWidth="1"/>
    <col min="4837" max="4847" width="15.140625" style="122" customWidth="1"/>
    <col min="4848" max="4848" width="13.85546875" style="122" customWidth="1"/>
    <col min="4849" max="4849" width="11.42578125" style="122" customWidth="1"/>
    <col min="4850" max="4850" width="12" style="122" bestFit="1" customWidth="1"/>
    <col min="4851" max="4851" width="31.7109375" style="122" customWidth="1"/>
    <col min="4852" max="4852" width="13.85546875" style="122" customWidth="1"/>
    <col min="4853" max="4853" width="13.42578125" style="122" customWidth="1"/>
    <col min="4854" max="4857" width="16.140625" style="122" bestFit="1" customWidth="1"/>
    <col min="4858" max="4861" width="17.42578125" style="122" bestFit="1" customWidth="1"/>
    <col min="4862" max="4865" width="17.42578125" style="122" customWidth="1"/>
    <col min="4866" max="4866" width="27.28515625" style="122" customWidth="1"/>
    <col min="4867" max="4867" width="15.85546875" style="122" bestFit="1" customWidth="1"/>
    <col min="4868" max="4868" width="12.42578125" style="122" bestFit="1" customWidth="1"/>
    <col min="4869" max="4879" width="11.42578125" style="122" customWidth="1"/>
    <col min="4880" max="4880" width="17.140625" style="122" customWidth="1"/>
    <col min="4881" max="4881" width="11.42578125" style="122" customWidth="1"/>
    <col min="4882" max="4882" width="34.28515625" style="122" bestFit="1" customWidth="1"/>
    <col min="4883" max="5086" width="11.42578125" style="122"/>
    <col min="5087" max="5087" width="8.85546875" style="122" customWidth="1"/>
    <col min="5088" max="5088" width="35.7109375" style="122" bestFit="1" customWidth="1"/>
    <col min="5089" max="5089" width="5" style="122" customWidth="1"/>
    <col min="5090" max="5092" width="12.85546875" style="122" bestFit="1" customWidth="1"/>
    <col min="5093" max="5103" width="15.140625" style="122" customWidth="1"/>
    <col min="5104" max="5104" width="13.85546875" style="122" customWidth="1"/>
    <col min="5105" max="5105" width="11.42578125" style="122" customWidth="1"/>
    <col min="5106" max="5106" width="12" style="122" bestFit="1" customWidth="1"/>
    <col min="5107" max="5107" width="31.7109375" style="122" customWidth="1"/>
    <col min="5108" max="5108" width="13.85546875" style="122" customWidth="1"/>
    <col min="5109" max="5109" width="13.42578125" style="122" customWidth="1"/>
    <col min="5110" max="5113" width="16.140625" style="122" bestFit="1" customWidth="1"/>
    <col min="5114" max="5117" width="17.42578125" style="122" bestFit="1" customWidth="1"/>
    <col min="5118" max="5121" width="17.42578125" style="122" customWidth="1"/>
    <col min="5122" max="5122" width="27.28515625" style="122" customWidth="1"/>
    <col min="5123" max="5123" width="15.85546875" style="122" bestFit="1" customWidth="1"/>
    <col min="5124" max="5124" width="12.42578125" style="122" bestFit="1" customWidth="1"/>
    <col min="5125" max="5135" width="11.42578125" style="122" customWidth="1"/>
    <col min="5136" max="5136" width="17.140625" style="122" customWidth="1"/>
    <col min="5137" max="5137" width="11.42578125" style="122" customWidth="1"/>
    <col min="5138" max="5138" width="34.28515625" style="122" bestFit="1" customWidth="1"/>
    <col min="5139" max="5342" width="11.42578125" style="122"/>
    <col min="5343" max="5343" width="8.85546875" style="122" customWidth="1"/>
    <col min="5344" max="5344" width="35.7109375" style="122" bestFit="1" customWidth="1"/>
    <col min="5345" max="5345" width="5" style="122" customWidth="1"/>
    <col min="5346" max="5348" width="12.85546875" style="122" bestFit="1" customWidth="1"/>
    <col min="5349" max="5359" width="15.140625" style="122" customWidth="1"/>
    <col min="5360" max="5360" width="13.85546875" style="122" customWidth="1"/>
    <col min="5361" max="5361" width="11.42578125" style="122" customWidth="1"/>
    <col min="5362" max="5362" width="12" style="122" bestFit="1" customWidth="1"/>
    <col min="5363" max="5363" width="31.7109375" style="122" customWidth="1"/>
    <col min="5364" max="5364" width="13.85546875" style="122" customWidth="1"/>
    <col min="5365" max="5365" width="13.42578125" style="122" customWidth="1"/>
    <col min="5366" max="5369" width="16.140625" style="122" bestFit="1" customWidth="1"/>
    <col min="5370" max="5373" width="17.42578125" style="122" bestFit="1" customWidth="1"/>
    <col min="5374" max="5377" width="17.42578125" style="122" customWidth="1"/>
    <col min="5378" max="5378" width="27.28515625" style="122" customWidth="1"/>
    <col min="5379" max="5379" width="15.85546875" style="122" bestFit="1" customWidth="1"/>
    <col min="5380" max="5380" width="12.42578125" style="122" bestFit="1" customWidth="1"/>
    <col min="5381" max="5391" width="11.42578125" style="122" customWidth="1"/>
    <col min="5392" max="5392" width="17.140625" style="122" customWidth="1"/>
    <col min="5393" max="5393" width="11.42578125" style="122" customWidth="1"/>
    <col min="5394" max="5394" width="34.28515625" style="122" bestFit="1" customWidth="1"/>
    <col min="5395" max="5598" width="11.42578125" style="122"/>
    <col min="5599" max="5599" width="8.85546875" style="122" customWidth="1"/>
    <col min="5600" max="5600" width="35.7109375" style="122" bestFit="1" customWidth="1"/>
    <col min="5601" max="5601" width="5" style="122" customWidth="1"/>
    <col min="5602" max="5604" width="12.85546875" style="122" bestFit="1" customWidth="1"/>
    <col min="5605" max="5615" width="15.140625" style="122" customWidth="1"/>
    <col min="5616" max="5616" width="13.85546875" style="122" customWidth="1"/>
    <col min="5617" max="5617" width="11.42578125" style="122" customWidth="1"/>
    <col min="5618" max="5618" width="12" style="122" bestFit="1" customWidth="1"/>
    <col min="5619" max="5619" width="31.7109375" style="122" customWidth="1"/>
    <col min="5620" max="5620" width="13.85546875" style="122" customWidth="1"/>
    <col min="5621" max="5621" width="13.42578125" style="122" customWidth="1"/>
    <col min="5622" max="5625" width="16.140625" style="122" bestFit="1" customWidth="1"/>
    <col min="5626" max="5629" width="17.42578125" style="122" bestFit="1" customWidth="1"/>
    <col min="5630" max="5633" width="17.42578125" style="122" customWidth="1"/>
    <col min="5634" max="5634" width="27.28515625" style="122" customWidth="1"/>
    <col min="5635" max="5635" width="15.85546875" style="122" bestFit="1" customWidth="1"/>
    <col min="5636" max="5636" width="12.42578125" style="122" bestFit="1" customWidth="1"/>
    <col min="5637" max="5647" width="11.42578125" style="122" customWidth="1"/>
    <col min="5648" max="5648" width="17.140625" style="122" customWidth="1"/>
    <col min="5649" max="5649" width="11.42578125" style="122" customWidth="1"/>
    <col min="5650" max="5650" width="34.28515625" style="122" bestFit="1" customWidth="1"/>
    <col min="5651" max="5854" width="11.42578125" style="122"/>
    <col min="5855" max="5855" width="8.85546875" style="122" customWidth="1"/>
    <col min="5856" max="5856" width="35.7109375" style="122" bestFit="1" customWidth="1"/>
    <col min="5857" max="5857" width="5" style="122" customWidth="1"/>
    <col min="5858" max="5860" width="12.85546875" style="122" bestFit="1" customWidth="1"/>
    <col min="5861" max="5871" width="15.140625" style="122" customWidth="1"/>
    <col min="5872" max="5872" width="13.85546875" style="122" customWidth="1"/>
    <col min="5873" max="5873" width="11.42578125" style="122" customWidth="1"/>
    <col min="5874" max="5874" width="12" style="122" bestFit="1" customWidth="1"/>
    <col min="5875" max="5875" width="31.7109375" style="122" customWidth="1"/>
    <col min="5876" max="5876" width="13.85546875" style="122" customWidth="1"/>
    <col min="5877" max="5877" width="13.42578125" style="122" customWidth="1"/>
    <col min="5878" max="5881" width="16.140625" style="122" bestFit="1" customWidth="1"/>
    <col min="5882" max="5885" width="17.42578125" style="122" bestFit="1" customWidth="1"/>
    <col min="5886" max="5889" width="17.42578125" style="122" customWidth="1"/>
    <col min="5890" max="5890" width="27.28515625" style="122" customWidth="1"/>
    <col min="5891" max="5891" width="15.85546875" style="122" bestFit="1" customWidth="1"/>
    <col min="5892" max="5892" width="12.42578125" style="122" bestFit="1" customWidth="1"/>
    <col min="5893" max="5903" width="11.42578125" style="122" customWidth="1"/>
    <col min="5904" max="5904" width="17.140625" style="122" customWidth="1"/>
    <col min="5905" max="5905" width="11.42578125" style="122" customWidth="1"/>
    <col min="5906" max="5906" width="34.28515625" style="122" bestFit="1" customWidth="1"/>
    <col min="5907" max="6110" width="11.42578125" style="122"/>
    <col min="6111" max="6111" width="8.85546875" style="122" customWidth="1"/>
    <col min="6112" max="6112" width="35.7109375" style="122" bestFit="1" customWidth="1"/>
    <col min="6113" max="6113" width="5" style="122" customWidth="1"/>
    <col min="6114" max="6116" width="12.85546875" style="122" bestFit="1" customWidth="1"/>
    <col min="6117" max="6127" width="15.140625" style="122" customWidth="1"/>
    <col min="6128" max="6128" width="13.85546875" style="122" customWidth="1"/>
    <col min="6129" max="6129" width="11.42578125" style="122" customWidth="1"/>
    <col min="6130" max="6130" width="12" style="122" bestFit="1" customWidth="1"/>
    <col min="6131" max="6131" width="31.7109375" style="122" customWidth="1"/>
    <col min="6132" max="6132" width="13.85546875" style="122" customWidth="1"/>
    <col min="6133" max="6133" width="13.42578125" style="122" customWidth="1"/>
    <col min="6134" max="6137" width="16.140625" style="122" bestFit="1" customWidth="1"/>
    <col min="6138" max="6141" width="17.42578125" style="122" bestFit="1" customWidth="1"/>
    <col min="6142" max="6145" width="17.42578125" style="122" customWidth="1"/>
    <col min="6146" max="6146" width="27.28515625" style="122" customWidth="1"/>
    <col min="6147" max="6147" width="15.85546875" style="122" bestFit="1" customWidth="1"/>
    <col min="6148" max="6148" width="12.42578125" style="122" bestFit="1" customWidth="1"/>
    <col min="6149" max="6159" width="11.42578125" style="122" customWidth="1"/>
    <col min="6160" max="6160" width="17.140625" style="122" customWidth="1"/>
    <col min="6161" max="6161" width="11.42578125" style="122" customWidth="1"/>
    <col min="6162" max="6162" width="34.28515625" style="122" bestFit="1" customWidth="1"/>
    <col min="6163" max="6366" width="11.42578125" style="122"/>
    <col min="6367" max="6367" width="8.85546875" style="122" customWidth="1"/>
    <col min="6368" max="6368" width="35.7109375" style="122" bestFit="1" customWidth="1"/>
    <col min="6369" max="6369" width="5" style="122" customWidth="1"/>
    <col min="6370" max="6372" width="12.85546875" style="122" bestFit="1" customWidth="1"/>
    <col min="6373" max="6383" width="15.140625" style="122" customWidth="1"/>
    <col min="6384" max="6384" width="13.85546875" style="122" customWidth="1"/>
    <col min="6385" max="6385" width="11.42578125" style="122" customWidth="1"/>
    <col min="6386" max="6386" width="12" style="122" bestFit="1" customWidth="1"/>
    <col min="6387" max="6387" width="31.7109375" style="122" customWidth="1"/>
    <col min="6388" max="6388" width="13.85546875" style="122" customWidth="1"/>
    <col min="6389" max="6389" width="13.42578125" style="122" customWidth="1"/>
    <col min="6390" max="6393" width="16.140625" style="122" bestFit="1" customWidth="1"/>
    <col min="6394" max="6397" width="17.42578125" style="122" bestFit="1" customWidth="1"/>
    <col min="6398" max="6401" width="17.42578125" style="122" customWidth="1"/>
    <col min="6402" max="6402" width="27.28515625" style="122" customWidth="1"/>
    <col min="6403" max="6403" width="15.85546875" style="122" bestFit="1" customWidth="1"/>
    <col min="6404" max="6404" width="12.42578125" style="122" bestFit="1" customWidth="1"/>
    <col min="6405" max="6415" width="11.42578125" style="122" customWidth="1"/>
    <col min="6416" max="6416" width="17.140625" style="122" customWidth="1"/>
    <col min="6417" max="6417" width="11.42578125" style="122" customWidth="1"/>
    <col min="6418" max="6418" width="34.28515625" style="122" bestFit="1" customWidth="1"/>
    <col min="6419" max="6622" width="11.42578125" style="122"/>
    <col min="6623" max="6623" width="8.85546875" style="122" customWidth="1"/>
    <col min="6624" max="6624" width="35.7109375" style="122" bestFit="1" customWidth="1"/>
    <col min="6625" max="6625" width="5" style="122" customWidth="1"/>
    <col min="6626" max="6628" width="12.85546875" style="122" bestFit="1" customWidth="1"/>
    <col min="6629" max="6639" width="15.140625" style="122" customWidth="1"/>
    <col min="6640" max="6640" width="13.85546875" style="122" customWidth="1"/>
    <col min="6641" max="6641" width="11.42578125" style="122" customWidth="1"/>
    <col min="6642" max="6642" width="12" style="122" bestFit="1" customWidth="1"/>
    <col min="6643" max="6643" width="31.7109375" style="122" customWidth="1"/>
    <col min="6644" max="6644" width="13.85546875" style="122" customWidth="1"/>
    <col min="6645" max="6645" width="13.42578125" style="122" customWidth="1"/>
    <col min="6646" max="6649" width="16.140625" style="122" bestFit="1" customWidth="1"/>
    <col min="6650" max="6653" width="17.42578125" style="122" bestFit="1" customWidth="1"/>
    <col min="6654" max="6657" width="17.42578125" style="122" customWidth="1"/>
    <col min="6658" max="6658" width="27.28515625" style="122" customWidth="1"/>
    <col min="6659" max="6659" width="15.85546875" style="122" bestFit="1" customWidth="1"/>
    <col min="6660" max="6660" width="12.42578125" style="122" bestFit="1" customWidth="1"/>
    <col min="6661" max="6671" width="11.42578125" style="122" customWidth="1"/>
    <col min="6672" max="6672" width="17.140625" style="122" customWidth="1"/>
    <col min="6673" max="6673" width="11.42578125" style="122" customWidth="1"/>
    <col min="6674" max="6674" width="34.28515625" style="122" bestFit="1" customWidth="1"/>
    <col min="6675" max="6878" width="11.42578125" style="122"/>
    <col min="6879" max="6879" width="8.85546875" style="122" customWidth="1"/>
    <col min="6880" max="6880" width="35.7109375" style="122" bestFit="1" customWidth="1"/>
    <col min="6881" max="6881" width="5" style="122" customWidth="1"/>
    <col min="6882" max="6884" width="12.85546875" style="122" bestFit="1" customWidth="1"/>
    <col min="6885" max="6895" width="15.140625" style="122" customWidth="1"/>
    <col min="6896" max="6896" width="13.85546875" style="122" customWidth="1"/>
    <col min="6897" max="6897" width="11.42578125" style="122" customWidth="1"/>
    <col min="6898" max="6898" width="12" style="122" bestFit="1" customWidth="1"/>
    <col min="6899" max="6899" width="31.7109375" style="122" customWidth="1"/>
    <col min="6900" max="6900" width="13.85546875" style="122" customWidth="1"/>
    <col min="6901" max="6901" width="13.42578125" style="122" customWidth="1"/>
    <col min="6902" max="6905" width="16.140625" style="122" bestFit="1" customWidth="1"/>
    <col min="6906" max="6909" width="17.42578125" style="122" bestFit="1" customWidth="1"/>
    <col min="6910" max="6913" width="17.42578125" style="122" customWidth="1"/>
    <col min="6914" max="6914" width="27.28515625" style="122" customWidth="1"/>
    <col min="6915" max="6915" width="15.85546875" style="122" bestFit="1" customWidth="1"/>
    <col min="6916" max="6916" width="12.42578125" style="122" bestFit="1" customWidth="1"/>
    <col min="6917" max="6927" width="11.42578125" style="122" customWidth="1"/>
    <col min="6928" max="6928" width="17.140625" style="122" customWidth="1"/>
    <col min="6929" max="6929" width="11.42578125" style="122" customWidth="1"/>
    <col min="6930" max="6930" width="34.28515625" style="122" bestFit="1" customWidth="1"/>
    <col min="6931" max="7134" width="11.42578125" style="122"/>
    <col min="7135" max="7135" width="8.85546875" style="122" customWidth="1"/>
    <col min="7136" max="7136" width="35.7109375" style="122" bestFit="1" customWidth="1"/>
    <col min="7137" max="7137" width="5" style="122" customWidth="1"/>
    <col min="7138" max="7140" width="12.85546875" style="122" bestFit="1" customWidth="1"/>
    <col min="7141" max="7151" width="15.140625" style="122" customWidth="1"/>
    <col min="7152" max="7152" width="13.85546875" style="122" customWidth="1"/>
    <col min="7153" max="7153" width="11.42578125" style="122" customWidth="1"/>
    <col min="7154" max="7154" width="12" style="122" bestFit="1" customWidth="1"/>
    <col min="7155" max="7155" width="31.7109375" style="122" customWidth="1"/>
    <col min="7156" max="7156" width="13.85546875" style="122" customWidth="1"/>
    <col min="7157" max="7157" width="13.42578125" style="122" customWidth="1"/>
    <col min="7158" max="7161" width="16.140625" style="122" bestFit="1" customWidth="1"/>
    <col min="7162" max="7165" width="17.42578125" style="122" bestFit="1" customWidth="1"/>
    <col min="7166" max="7169" width="17.42578125" style="122" customWidth="1"/>
    <col min="7170" max="7170" width="27.28515625" style="122" customWidth="1"/>
    <col min="7171" max="7171" width="15.85546875" style="122" bestFit="1" customWidth="1"/>
    <col min="7172" max="7172" width="12.42578125" style="122" bestFit="1" customWidth="1"/>
    <col min="7173" max="7183" width="11.42578125" style="122" customWidth="1"/>
    <col min="7184" max="7184" width="17.140625" style="122" customWidth="1"/>
    <col min="7185" max="7185" width="11.42578125" style="122" customWidth="1"/>
    <col min="7186" max="7186" width="34.28515625" style="122" bestFit="1" customWidth="1"/>
    <col min="7187" max="7390" width="11.42578125" style="122"/>
    <col min="7391" max="7391" width="8.85546875" style="122" customWidth="1"/>
    <col min="7392" max="7392" width="35.7109375" style="122" bestFit="1" customWidth="1"/>
    <col min="7393" max="7393" width="5" style="122" customWidth="1"/>
    <col min="7394" max="7396" width="12.85546875" style="122" bestFit="1" customWidth="1"/>
    <col min="7397" max="7407" width="15.140625" style="122" customWidth="1"/>
    <col min="7408" max="7408" width="13.85546875" style="122" customWidth="1"/>
    <col min="7409" max="7409" width="11.42578125" style="122" customWidth="1"/>
    <col min="7410" max="7410" width="12" style="122" bestFit="1" customWidth="1"/>
    <col min="7411" max="7411" width="31.7109375" style="122" customWidth="1"/>
    <col min="7412" max="7412" width="13.85546875" style="122" customWidth="1"/>
    <col min="7413" max="7413" width="13.42578125" style="122" customWidth="1"/>
    <col min="7414" max="7417" width="16.140625" style="122" bestFit="1" customWidth="1"/>
    <col min="7418" max="7421" width="17.42578125" style="122" bestFit="1" customWidth="1"/>
    <col min="7422" max="7425" width="17.42578125" style="122" customWidth="1"/>
    <col min="7426" max="7426" width="27.28515625" style="122" customWidth="1"/>
    <col min="7427" max="7427" width="15.85546875" style="122" bestFit="1" customWidth="1"/>
    <col min="7428" max="7428" width="12.42578125" style="122" bestFit="1" customWidth="1"/>
    <col min="7429" max="7439" width="11.42578125" style="122" customWidth="1"/>
    <col min="7440" max="7440" width="17.140625" style="122" customWidth="1"/>
    <col min="7441" max="7441" width="11.42578125" style="122" customWidth="1"/>
    <col min="7442" max="7442" width="34.28515625" style="122" bestFit="1" customWidth="1"/>
    <col min="7443" max="7646" width="11.42578125" style="122"/>
    <col min="7647" max="7647" width="8.85546875" style="122" customWidth="1"/>
    <col min="7648" max="7648" width="35.7109375" style="122" bestFit="1" customWidth="1"/>
    <col min="7649" max="7649" width="5" style="122" customWidth="1"/>
    <col min="7650" max="7652" width="12.85546875" style="122" bestFit="1" customWidth="1"/>
    <col min="7653" max="7663" width="15.140625" style="122" customWidth="1"/>
    <col min="7664" max="7664" width="13.85546875" style="122" customWidth="1"/>
    <col min="7665" max="7665" width="11.42578125" style="122" customWidth="1"/>
    <col min="7666" max="7666" width="12" style="122" bestFit="1" customWidth="1"/>
    <col min="7667" max="7667" width="31.7109375" style="122" customWidth="1"/>
    <col min="7668" max="7668" width="13.85546875" style="122" customWidth="1"/>
    <col min="7669" max="7669" width="13.42578125" style="122" customWidth="1"/>
    <col min="7670" max="7673" width="16.140625" style="122" bestFit="1" customWidth="1"/>
    <col min="7674" max="7677" width="17.42578125" style="122" bestFit="1" customWidth="1"/>
    <col min="7678" max="7681" width="17.42578125" style="122" customWidth="1"/>
    <col min="7682" max="7682" width="27.28515625" style="122" customWidth="1"/>
    <col min="7683" max="7683" width="15.85546875" style="122" bestFit="1" customWidth="1"/>
    <col min="7684" max="7684" width="12.42578125" style="122" bestFit="1" customWidth="1"/>
    <col min="7685" max="7695" width="11.42578125" style="122" customWidth="1"/>
    <col min="7696" max="7696" width="17.140625" style="122" customWidth="1"/>
    <col min="7697" max="7697" width="11.42578125" style="122" customWidth="1"/>
    <col min="7698" max="7698" width="34.28515625" style="122" bestFit="1" customWidth="1"/>
    <col min="7699" max="7902" width="11.42578125" style="122"/>
    <col min="7903" max="7903" width="8.85546875" style="122" customWidth="1"/>
    <col min="7904" max="7904" width="35.7109375" style="122" bestFit="1" customWidth="1"/>
    <col min="7905" max="7905" width="5" style="122" customWidth="1"/>
    <col min="7906" max="7908" width="12.85546875" style="122" bestFit="1" customWidth="1"/>
    <col min="7909" max="7919" width="15.140625" style="122" customWidth="1"/>
    <col min="7920" max="7920" width="13.85546875" style="122" customWidth="1"/>
    <col min="7921" max="7921" width="11.42578125" style="122" customWidth="1"/>
    <col min="7922" max="7922" width="12" style="122" bestFit="1" customWidth="1"/>
    <col min="7923" max="7923" width="31.7109375" style="122" customWidth="1"/>
    <col min="7924" max="7924" width="13.85546875" style="122" customWidth="1"/>
    <col min="7925" max="7925" width="13.42578125" style="122" customWidth="1"/>
    <col min="7926" max="7929" width="16.140625" style="122" bestFit="1" customWidth="1"/>
    <col min="7930" max="7933" width="17.42578125" style="122" bestFit="1" customWidth="1"/>
    <col min="7934" max="7937" width="17.42578125" style="122" customWidth="1"/>
    <col min="7938" max="7938" width="27.28515625" style="122" customWidth="1"/>
    <col min="7939" max="7939" width="15.85546875" style="122" bestFit="1" customWidth="1"/>
    <col min="7940" max="7940" width="12.42578125" style="122" bestFit="1" customWidth="1"/>
    <col min="7941" max="7951" width="11.42578125" style="122" customWidth="1"/>
    <col min="7952" max="7952" width="17.140625" style="122" customWidth="1"/>
    <col min="7953" max="7953" width="11.42578125" style="122" customWidth="1"/>
    <col min="7954" max="7954" width="34.28515625" style="122" bestFit="1" customWidth="1"/>
    <col min="7955" max="8158" width="11.42578125" style="122"/>
    <col min="8159" max="8159" width="8.85546875" style="122" customWidth="1"/>
    <col min="8160" max="8160" width="35.7109375" style="122" bestFit="1" customWidth="1"/>
    <col min="8161" max="8161" width="5" style="122" customWidth="1"/>
    <col min="8162" max="8164" width="12.85546875" style="122" bestFit="1" customWidth="1"/>
    <col min="8165" max="8175" width="15.140625" style="122" customWidth="1"/>
    <col min="8176" max="8176" width="13.85546875" style="122" customWidth="1"/>
    <col min="8177" max="8177" width="11.42578125" style="122" customWidth="1"/>
    <col min="8178" max="8178" width="12" style="122" bestFit="1" customWidth="1"/>
    <col min="8179" max="8179" width="31.7109375" style="122" customWidth="1"/>
    <col min="8180" max="8180" width="13.85546875" style="122" customWidth="1"/>
    <col min="8181" max="8181" width="13.42578125" style="122" customWidth="1"/>
    <col min="8182" max="8185" width="16.140625" style="122" bestFit="1" customWidth="1"/>
    <col min="8186" max="8189" width="17.42578125" style="122" bestFit="1" customWidth="1"/>
    <col min="8190" max="8193" width="17.42578125" style="122" customWidth="1"/>
    <col min="8194" max="8194" width="27.28515625" style="122" customWidth="1"/>
    <col min="8195" max="8195" width="15.85546875" style="122" bestFit="1" customWidth="1"/>
    <col min="8196" max="8196" width="12.42578125" style="122" bestFit="1" customWidth="1"/>
    <col min="8197" max="8207" width="11.42578125" style="122" customWidth="1"/>
    <col min="8208" max="8208" width="17.140625" style="122" customWidth="1"/>
    <col min="8209" max="8209" width="11.42578125" style="122" customWidth="1"/>
    <col min="8210" max="8210" width="34.28515625" style="122" bestFit="1" customWidth="1"/>
    <col min="8211" max="8414" width="11.42578125" style="122"/>
    <col min="8415" max="8415" width="8.85546875" style="122" customWidth="1"/>
    <col min="8416" max="8416" width="35.7109375" style="122" bestFit="1" customWidth="1"/>
    <col min="8417" max="8417" width="5" style="122" customWidth="1"/>
    <col min="8418" max="8420" width="12.85546875" style="122" bestFit="1" customWidth="1"/>
    <col min="8421" max="8431" width="15.140625" style="122" customWidth="1"/>
    <col min="8432" max="8432" width="13.85546875" style="122" customWidth="1"/>
    <col min="8433" max="8433" width="11.42578125" style="122" customWidth="1"/>
    <col min="8434" max="8434" width="12" style="122" bestFit="1" customWidth="1"/>
    <col min="8435" max="8435" width="31.7109375" style="122" customWidth="1"/>
    <col min="8436" max="8436" width="13.85546875" style="122" customWidth="1"/>
    <col min="8437" max="8437" width="13.42578125" style="122" customWidth="1"/>
    <col min="8438" max="8441" width="16.140625" style="122" bestFit="1" customWidth="1"/>
    <col min="8442" max="8445" width="17.42578125" style="122" bestFit="1" customWidth="1"/>
    <col min="8446" max="8449" width="17.42578125" style="122" customWidth="1"/>
    <col min="8450" max="8450" width="27.28515625" style="122" customWidth="1"/>
    <col min="8451" max="8451" width="15.85546875" style="122" bestFit="1" customWidth="1"/>
    <col min="8452" max="8452" width="12.42578125" style="122" bestFit="1" customWidth="1"/>
    <col min="8453" max="8463" width="11.42578125" style="122" customWidth="1"/>
    <col min="8464" max="8464" width="17.140625" style="122" customWidth="1"/>
    <col min="8465" max="8465" width="11.42578125" style="122" customWidth="1"/>
    <col min="8466" max="8466" width="34.28515625" style="122" bestFit="1" customWidth="1"/>
    <col min="8467" max="8670" width="11.42578125" style="122"/>
    <col min="8671" max="8671" width="8.85546875" style="122" customWidth="1"/>
    <col min="8672" max="8672" width="35.7109375" style="122" bestFit="1" customWidth="1"/>
    <col min="8673" max="8673" width="5" style="122" customWidth="1"/>
    <col min="8674" max="8676" width="12.85546875" style="122" bestFit="1" customWidth="1"/>
    <col min="8677" max="8687" width="15.140625" style="122" customWidth="1"/>
    <col min="8688" max="8688" width="13.85546875" style="122" customWidth="1"/>
    <col min="8689" max="8689" width="11.42578125" style="122" customWidth="1"/>
    <col min="8690" max="8690" width="12" style="122" bestFit="1" customWidth="1"/>
    <col min="8691" max="8691" width="31.7109375" style="122" customWidth="1"/>
    <col min="8692" max="8692" width="13.85546875" style="122" customWidth="1"/>
    <col min="8693" max="8693" width="13.42578125" style="122" customWidth="1"/>
    <col min="8694" max="8697" width="16.140625" style="122" bestFit="1" customWidth="1"/>
    <col min="8698" max="8701" width="17.42578125" style="122" bestFit="1" customWidth="1"/>
    <col min="8702" max="8705" width="17.42578125" style="122" customWidth="1"/>
    <col min="8706" max="8706" width="27.28515625" style="122" customWidth="1"/>
    <col min="8707" max="8707" width="15.85546875" style="122" bestFit="1" customWidth="1"/>
    <col min="8708" max="8708" width="12.42578125" style="122" bestFit="1" customWidth="1"/>
    <col min="8709" max="8719" width="11.42578125" style="122" customWidth="1"/>
    <col min="8720" max="8720" width="17.140625" style="122" customWidth="1"/>
    <col min="8721" max="8721" width="11.42578125" style="122" customWidth="1"/>
    <col min="8722" max="8722" width="34.28515625" style="122" bestFit="1" customWidth="1"/>
    <col min="8723" max="8926" width="11.42578125" style="122"/>
    <col min="8927" max="8927" width="8.85546875" style="122" customWidth="1"/>
    <col min="8928" max="8928" width="35.7109375" style="122" bestFit="1" customWidth="1"/>
    <col min="8929" max="8929" width="5" style="122" customWidth="1"/>
    <col min="8930" max="8932" width="12.85546875" style="122" bestFit="1" customWidth="1"/>
    <col min="8933" max="8943" width="15.140625" style="122" customWidth="1"/>
    <col min="8944" max="8944" width="13.85546875" style="122" customWidth="1"/>
    <col min="8945" max="8945" width="11.42578125" style="122" customWidth="1"/>
    <col min="8946" max="8946" width="12" style="122" bestFit="1" customWidth="1"/>
    <col min="8947" max="8947" width="31.7109375" style="122" customWidth="1"/>
    <col min="8948" max="8948" width="13.85546875" style="122" customWidth="1"/>
    <col min="8949" max="8949" width="13.42578125" style="122" customWidth="1"/>
    <col min="8950" max="8953" width="16.140625" style="122" bestFit="1" customWidth="1"/>
    <col min="8954" max="8957" width="17.42578125" style="122" bestFit="1" customWidth="1"/>
    <col min="8958" max="8961" width="17.42578125" style="122" customWidth="1"/>
    <col min="8962" max="8962" width="27.28515625" style="122" customWidth="1"/>
    <col min="8963" max="8963" width="15.85546875" style="122" bestFit="1" customWidth="1"/>
    <col min="8964" max="8964" width="12.42578125" style="122" bestFit="1" customWidth="1"/>
    <col min="8965" max="8975" width="11.42578125" style="122" customWidth="1"/>
    <col min="8976" max="8976" width="17.140625" style="122" customWidth="1"/>
    <col min="8977" max="8977" width="11.42578125" style="122" customWidth="1"/>
    <col min="8978" max="8978" width="34.28515625" style="122" bestFit="1" customWidth="1"/>
    <col min="8979" max="9182" width="11.42578125" style="122"/>
    <col min="9183" max="9183" width="8.85546875" style="122" customWidth="1"/>
    <col min="9184" max="9184" width="35.7109375" style="122" bestFit="1" customWidth="1"/>
    <col min="9185" max="9185" width="5" style="122" customWidth="1"/>
    <col min="9186" max="9188" width="12.85546875" style="122" bestFit="1" customWidth="1"/>
    <col min="9189" max="9199" width="15.140625" style="122" customWidth="1"/>
    <col min="9200" max="9200" width="13.85546875" style="122" customWidth="1"/>
    <col min="9201" max="9201" width="11.42578125" style="122" customWidth="1"/>
    <col min="9202" max="9202" width="12" style="122" bestFit="1" customWidth="1"/>
    <col min="9203" max="9203" width="31.7109375" style="122" customWidth="1"/>
    <col min="9204" max="9204" width="13.85546875" style="122" customWidth="1"/>
    <col min="9205" max="9205" width="13.42578125" style="122" customWidth="1"/>
    <col min="9206" max="9209" width="16.140625" style="122" bestFit="1" customWidth="1"/>
    <col min="9210" max="9213" width="17.42578125" style="122" bestFit="1" customWidth="1"/>
    <col min="9214" max="9217" width="17.42578125" style="122" customWidth="1"/>
    <col min="9218" max="9218" width="27.28515625" style="122" customWidth="1"/>
    <col min="9219" max="9219" width="15.85546875" style="122" bestFit="1" customWidth="1"/>
    <col min="9220" max="9220" width="12.42578125" style="122" bestFit="1" customWidth="1"/>
    <col min="9221" max="9231" width="11.42578125" style="122" customWidth="1"/>
    <col min="9232" max="9232" width="17.140625" style="122" customWidth="1"/>
    <col min="9233" max="9233" width="11.42578125" style="122" customWidth="1"/>
    <col min="9234" max="9234" width="34.28515625" style="122" bestFit="1" customWidth="1"/>
    <col min="9235" max="9438" width="11.42578125" style="122"/>
    <col min="9439" max="9439" width="8.85546875" style="122" customWidth="1"/>
    <col min="9440" max="9440" width="35.7109375" style="122" bestFit="1" customWidth="1"/>
    <col min="9441" max="9441" width="5" style="122" customWidth="1"/>
    <col min="9442" max="9444" width="12.85546875" style="122" bestFit="1" customWidth="1"/>
    <col min="9445" max="9455" width="15.140625" style="122" customWidth="1"/>
    <col min="9456" max="9456" width="13.85546875" style="122" customWidth="1"/>
    <col min="9457" max="9457" width="11.42578125" style="122" customWidth="1"/>
    <col min="9458" max="9458" width="12" style="122" bestFit="1" customWidth="1"/>
    <col min="9459" max="9459" width="31.7109375" style="122" customWidth="1"/>
    <col min="9460" max="9460" width="13.85546875" style="122" customWidth="1"/>
    <col min="9461" max="9461" width="13.42578125" style="122" customWidth="1"/>
    <col min="9462" max="9465" width="16.140625" style="122" bestFit="1" customWidth="1"/>
    <col min="9466" max="9469" width="17.42578125" style="122" bestFit="1" customWidth="1"/>
    <col min="9470" max="9473" width="17.42578125" style="122" customWidth="1"/>
    <col min="9474" max="9474" width="27.28515625" style="122" customWidth="1"/>
    <col min="9475" max="9475" width="15.85546875" style="122" bestFit="1" customWidth="1"/>
    <col min="9476" max="9476" width="12.42578125" style="122" bestFit="1" customWidth="1"/>
    <col min="9477" max="9487" width="11.42578125" style="122" customWidth="1"/>
    <col min="9488" max="9488" width="17.140625" style="122" customWidth="1"/>
    <col min="9489" max="9489" width="11.42578125" style="122" customWidth="1"/>
    <col min="9490" max="9490" width="34.28515625" style="122" bestFit="1" customWidth="1"/>
    <col min="9491" max="9694" width="11.42578125" style="122"/>
    <col min="9695" max="9695" width="8.85546875" style="122" customWidth="1"/>
    <col min="9696" max="9696" width="35.7109375" style="122" bestFit="1" customWidth="1"/>
    <col min="9697" max="9697" width="5" style="122" customWidth="1"/>
    <col min="9698" max="9700" width="12.85546875" style="122" bestFit="1" customWidth="1"/>
    <col min="9701" max="9711" width="15.140625" style="122" customWidth="1"/>
    <col min="9712" max="9712" width="13.85546875" style="122" customWidth="1"/>
    <col min="9713" max="9713" width="11.42578125" style="122" customWidth="1"/>
    <col min="9714" max="9714" width="12" style="122" bestFit="1" customWidth="1"/>
    <col min="9715" max="9715" width="31.7109375" style="122" customWidth="1"/>
    <col min="9716" max="9716" width="13.85546875" style="122" customWidth="1"/>
    <col min="9717" max="9717" width="13.42578125" style="122" customWidth="1"/>
    <col min="9718" max="9721" width="16.140625" style="122" bestFit="1" customWidth="1"/>
    <col min="9722" max="9725" width="17.42578125" style="122" bestFit="1" customWidth="1"/>
    <col min="9726" max="9729" width="17.42578125" style="122" customWidth="1"/>
    <col min="9730" max="9730" width="27.28515625" style="122" customWidth="1"/>
    <col min="9731" max="9731" width="15.85546875" style="122" bestFit="1" customWidth="1"/>
    <col min="9732" max="9732" width="12.42578125" style="122" bestFit="1" customWidth="1"/>
    <col min="9733" max="9743" width="11.42578125" style="122" customWidth="1"/>
    <col min="9744" max="9744" width="17.140625" style="122" customWidth="1"/>
    <col min="9745" max="9745" width="11.42578125" style="122" customWidth="1"/>
    <col min="9746" max="9746" width="34.28515625" style="122" bestFit="1" customWidth="1"/>
    <col min="9747" max="9950" width="11.42578125" style="122"/>
    <col min="9951" max="9951" width="8.85546875" style="122" customWidth="1"/>
    <col min="9952" max="9952" width="35.7109375" style="122" bestFit="1" customWidth="1"/>
    <col min="9953" max="9953" width="5" style="122" customWidth="1"/>
    <col min="9954" max="9956" width="12.85546875" style="122" bestFit="1" customWidth="1"/>
    <col min="9957" max="9967" width="15.140625" style="122" customWidth="1"/>
    <col min="9968" max="9968" width="13.85546875" style="122" customWidth="1"/>
    <col min="9969" max="9969" width="11.42578125" style="122" customWidth="1"/>
    <col min="9970" max="9970" width="12" style="122" bestFit="1" customWidth="1"/>
    <col min="9971" max="9971" width="31.7109375" style="122" customWidth="1"/>
    <col min="9972" max="9972" width="13.85546875" style="122" customWidth="1"/>
    <col min="9973" max="9973" width="13.42578125" style="122" customWidth="1"/>
    <col min="9974" max="9977" width="16.140625" style="122" bestFit="1" customWidth="1"/>
    <col min="9978" max="9981" width="17.42578125" style="122" bestFit="1" customWidth="1"/>
    <col min="9982" max="9985" width="17.42578125" style="122" customWidth="1"/>
    <col min="9986" max="9986" width="27.28515625" style="122" customWidth="1"/>
    <col min="9987" max="9987" width="15.85546875" style="122" bestFit="1" customWidth="1"/>
    <col min="9988" max="9988" width="12.42578125" style="122" bestFit="1" customWidth="1"/>
    <col min="9989" max="9999" width="11.42578125" style="122" customWidth="1"/>
    <col min="10000" max="10000" width="17.140625" style="122" customWidth="1"/>
    <col min="10001" max="10001" width="11.42578125" style="122" customWidth="1"/>
    <col min="10002" max="10002" width="34.28515625" style="122" bestFit="1" customWidth="1"/>
    <col min="10003" max="10206" width="11.42578125" style="122"/>
    <col min="10207" max="10207" width="8.85546875" style="122" customWidth="1"/>
    <col min="10208" max="10208" width="35.7109375" style="122" bestFit="1" customWidth="1"/>
    <col min="10209" max="10209" width="5" style="122" customWidth="1"/>
    <col min="10210" max="10212" width="12.85546875" style="122" bestFit="1" customWidth="1"/>
    <col min="10213" max="10223" width="15.140625" style="122" customWidth="1"/>
    <col min="10224" max="10224" width="13.85546875" style="122" customWidth="1"/>
    <col min="10225" max="10225" width="11.42578125" style="122" customWidth="1"/>
    <col min="10226" max="10226" width="12" style="122" bestFit="1" customWidth="1"/>
    <col min="10227" max="10227" width="31.7109375" style="122" customWidth="1"/>
    <col min="10228" max="10228" width="13.85546875" style="122" customWidth="1"/>
    <col min="10229" max="10229" width="13.42578125" style="122" customWidth="1"/>
    <col min="10230" max="10233" width="16.140625" style="122" bestFit="1" customWidth="1"/>
    <col min="10234" max="10237" width="17.42578125" style="122" bestFit="1" customWidth="1"/>
    <col min="10238" max="10241" width="17.42578125" style="122" customWidth="1"/>
    <col min="10242" max="10242" width="27.28515625" style="122" customWidth="1"/>
    <col min="10243" max="10243" width="15.85546875" style="122" bestFit="1" customWidth="1"/>
    <col min="10244" max="10244" width="12.42578125" style="122" bestFit="1" customWidth="1"/>
    <col min="10245" max="10255" width="11.42578125" style="122" customWidth="1"/>
    <col min="10256" max="10256" width="17.140625" style="122" customWidth="1"/>
    <col min="10257" max="10257" width="11.42578125" style="122" customWidth="1"/>
    <col min="10258" max="10258" width="34.28515625" style="122" bestFit="1" customWidth="1"/>
    <col min="10259" max="10462" width="11.42578125" style="122"/>
    <col min="10463" max="10463" width="8.85546875" style="122" customWidth="1"/>
    <col min="10464" max="10464" width="35.7109375" style="122" bestFit="1" customWidth="1"/>
    <col min="10465" max="10465" width="5" style="122" customWidth="1"/>
    <col min="10466" max="10468" width="12.85546875" style="122" bestFit="1" customWidth="1"/>
    <col min="10469" max="10479" width="15.140625" style="122" customWidth="1"/>
    <col min="10480" max="10480" width="13.85546875" style="122" customWidth="1"/>
    <col min="10481" max="10481" width="11.42578125" style="122" customWidth="1"/>
    <col min="10482" max="10482" width="12" style="122" bestFit="1" customWidth="1"/>
    <col min="10483" max="10483" width="31.7109375" style="122" customWidth="1"/>
    <col min="10484" max="10484" width="13.85546875" style="122" customWidth="1"/>
    <col min="10485" max="10485" width="13.42578125" style="122" customWidth="1"/>
    <col min="10486" max="10489" width="16.140625" style="122" bestFit="1" customWidth="1"/>
    <col min="10490" max="10493" width="17.42578125" style="122" bestFit="1" customWidth="1"/>
    <col min="10494" max="10497" width="17.42578125" style="122" customWidth="1"/>
    <col min="10498" max="10498" width="27.28515625" style="122" customWidth="1"/>
    <col min="10499" max="10499" width="15.85546875" style="122" bestFit="1" customWidth="1"/>
    <col min="10500" max="10500" width="12.42578125" style="122" bestFit="1" customWidth="1"/>
    <col min="10501" max="10511" width="11.42578125" style="122" customWidth="1"/>
    <col min="10512" max="10512" width="17.140625" style="122" customWidth="1"/>
    <col min="10513" max="10513" width="11.42578125" style="122" customWidth="1"/>
    <col min="10514" max="10514" width="34.28515625" style="122" bestFit="1" customWidth="1"/>
    <col min="10515" max="10718" width="11.42578125" style="122"/>
    <col min="10719" max="10719" width="8.85546875" style="122" customWidth="1"/>
    <col min="10720" max="10720" width="35.7109375" style="122" bestFit="1" customWidth="1"/>
    <col min="10721" max="10721" width="5" style="122" customWidth="1"/>
    <col min="10722" max="10724" width="12.85546875" style="122" bestFit="1" customWidth="1"/>
    <col min="10725" max="10735" width="15.140625" style="122" customWidth="1"/>
    <col min="10736" max="10736" width="13.85546875" style="122" customWidth="1"/>
    <col min="10737" max="10737" width="11.42578125" style="122" customWidth="1"/>
    <col min="10738" max="10738" width="12" style="122" bestFit="1" customWidth="1"/>
    <col min="10739" max="10739" width="31.7109375" style="122" customWidth="1"/>
    <col min="10740" max="10740" width="13.85546875" style="122" customWidth="1"/>
    <col min="10741" max="10741" width="13.42578125" style="122" customWidth="1"/>
    <col min="10742" max="10745" width="16.140625" style="122" bestFit="1" customWidth="1"/>
    <col min="10746" max="10749" width="17.42578125" style="122" bestFit="1" customWidth="1"/>
    <col min="10750" max="10753" width="17.42578125" style="122" customWidth="1"/>
    <col min="10754" max="10754" width="27.28515625" style="122" customWidth="1"/>
    <col min="10755" max="10755" width="15.85546875" style="122" bestFit="1" customWidth="1"/>
    <col min="10756" max="10756" width="12.42578125" style="122" bestFit="1" customWidth="1"/>
    <col min="10757" max="10767" width="11.42578125" style="122" customWidth="1"/>
    <col min="10768" max="10768" width="17.140625" style="122" customWidth="1"/>
    <col min="10769" max="10769" width="11.42578125" style="122" customWidth="1"/>
    <col min="10770" max="10770" width="34.28515625" style="122" bestFit="1" customWidth="1"/>
    <col min="10771" max="10974" width="11.42578125" style="122"/>
    <col min="10975" max="10975" width="8.85546875" style="122" customWidth="1"/>
    <col min="10976" max="10976" width="35.7109375" style="122" bestFit="1" customWidth="1"/>
    <col min="10977" max="10977" width="5" style="122" customWidth="1"/>
    <col min="10978" max="10980" width="12.85546875" style="122" bestFit="1" customWidth="1"/>
    <col min="10981" max="10991" width="15.140625" style="122" customWidth="1"/>
    <col min="10992" max="10992" width="13.85546875" style="122" customWidth="1"/>
    <col min="10993" max="10993" width="11.42578125" style="122" customWidth="1"/>
    <col min="10994" max="10994" width="12" style="122" bestFit="1" customWidth="1"/>
    <col min="10995" max="10995" width="31.7109375" style="122" customWidth="1"/>
    <col min="10996" max="10996" width="13.85546875" style="122" customWidth="1"/>
    <col min="10997" max="10997" width="13.42578125" style="122" customWidth="1"/>
    <col min="10998" max="11001" width="16.140625" style="122" bestFit="1" customWidth="1"/>
    <col min="11002" max="11005" width="17.42578125" style="122" bestFit="1" customWidth="1"/>
    <col min="11006" max="11009" width="17.42578125" style="122" customWidth="1"/>
    <col min="11010" max="11010" width="27.28515625" style="122" customWidth="1"/>
    <col min="11011" max="11011" width="15.85546875" style="122" bestFit="1" customWidth="1"/>
    <col min="11012" max="11012" width="12.42578125" style="122" bestFit="1" customWidth="1"/>
    <col min="11013" max="11023" width="11.42578125" style="122" customWidth="1"/>
    <col min="11024" max="11024" width="17.140625" style="122" customWidth="1"/>
    <col min="11025" max="11025" width="11.42578125" style="122" customWidth="1"/>
    <col min="11026" max="11026" width="34.28515625" style="122" bestFit="1" customWidth="1"/>
    <col min="11027" max="11230" width="11.42578125" style="122"/>
    <col min="11231" max="11231" width="8.85546875" style="122" customWidth="1"/>
    <col min="11232" max="11232" width="35.7109375" style="122" bestFit="1" customWidth="1"/>
    <col min="11233" max="11233" width="5" style="122" customWidth="1"/>
    <col min="11234" max="11236" width="12.85546875" style="122" bestFit="1" customWidth="1"/>
    <col min="11237" max="11247" width="15.140625" style="122" customWidth="1"/>
    <col min="11248" max="11248" width="13.85546875" style="122" customWidth="1"/>
    <col min="11249" max="11249" width="11.42578125" style="122" customWidth="1"/>
    <col min="11250" max="11250" width="12" style="122" bestFit="1" customWidth="1"/>
    <col min="11251" max="11251" width="31.7109375" style="122" customWidth="1"/>
    <col min="11252" max="11252" width="13.85546875" style="122" customWidth="1"/>
    <col min="11253" max="11253" width="13.42578125" style="122" customWidth="1"/>
    <col min="11254" max="11257" width="16.140625" style="122" bestFit="1" customWidth="1"/>
    <col min="11258" max="11261" width="17.42578125" style="122" bestFit="1" customWidth="1"/>
    <col min="11262" max="11265" width="17.42578125" style="122" customWidth="1"/>
    <col min="11266" max="11266" width="27.28515625" style="122" customWidth="1"/>
    <col min="11267" max="11267" width="15.85546875" style="122" bestFit="1" customWidth="1"/>
    <col min="11268" max="11268" width="12.42578125" style="122" bestFit="1" customWidth="1"/>
    <col min="11269" max="11279" width="11.42578125" style="122" customWidth="1"/>
    <col min="11280" max="11280" width="17.140625" style="122" customWidth="1"/>
    <col min="11281" max="11281" width="11.42578125" style="122" customWidth="1"/>
    <col min="11282" max="11282" width="34.28515625" style="122" bestFit="1" customWidth="1"/>
    <col min="11283" max="11486" width="11.42578125" style="122"/>
    <col min="11487" max="11487" width="8.85546875" style="122" customWidth="1"/>
    <col min="11488" max="11488" width="35.7109375" style="122" bestFit="1" customWidth="1"/>
    <col min="11489" max="11489" width="5" style="122" customWidth="1"/>
    <col min="11490" max="11492" width="12.85546875" style="122" bestFit="1" customWidth="1"/>
    <col min="11493" max="11503" width="15.140625" style="122" customWidth="1"/>
    <col min="11504" max="11504" width="13.85546875" style="122" customWidth="1"/>
    <col min="11505" max="11505" width="11.42578125" style="122" customWidth="1"/>
    <col min="11506" max="11506" width="12" style="122" bestFit="1" customWidth="1"/>
    <col min="11507" max="11507" width="31.7109375" style="122" customWidth="1"/>
    <col min="11508" max="11508" width="13.85546875" style="122" customWidth="1"/>
    <col min="11509" max="11509" width="13.42578125" style="122" customWidth="1"/>
    <col min="11510" max="11513" width="16.140625" style="122" bestFit="1" customWidth="1"/>
    <col min="11514" max="11517" width="17.42578125" style="122" bestFit="1" customWidth="1"/>
    <col min="11518" max="11521" width="17.42578125" style="122" customWidth="1"/>
    <col min="11522" max="11522" width="27.28515625" style="122" customWidth="1"/>
    <col min="11523" max="11523" width="15.85546875" style="122" bestFit="1" customWidth="1"/>
    <col min="11524" max="11524" width="12.42578125" style="122" bestFit="1" customWidth="1"/>
    <col min="11525" max="11535" width="11.42578125" style="122" customWidth="1"/>
    <col min="11536" max="11536" width="17.140625" style="122" customWidth="1"/>
    <col min="11537" max="11537" width="11.42578125" style="122" customWidth="1"/>
    <col min="11538" max="11538" width="34.28515625" style="122" bestFit="1" customWidth="1"/>
    <col min="11539" max="11742" width="11.42578125" style="122"/>
    <col min="11743" max="11743" width="8.85546875" style="122" customWidth="1"/>
    <col min="11744" max="11744" width="35.7109375" style="122" bestFit="1" customWidth="1"/>
    <col min="11745" max="11745" width="5" style="122" customWidth="1"/>
    <col min="11746" max="11748" width="12.85546875" style="122" bestFit="1" customWidth="1"/>
    <col min="11749" max="11759" width="15.140625" style="122" customWidth="1"/>
    <col min="11760" max="11760" width="13.85546875" style="122" customWidth="1"/>
    <col min="11761" max="11761" width="11.42578125" style="122" customWidth="1"/>
    <col min="11762" max="11762" width="12" style="122" bestFit="1" customWidth="1"/>
    <col min="11763" max="11763" width="31.7109375" style="122" customWidth="1"/>
    <col min="11764" max="11764" width="13.85546875" style="122" customWidth="1"/>
    <col min="11765" max="11765" width="13.42578125" style="122" customWidth="1"/>
    <col min="11766" max="11769" width="16.140625" style="122" bestFit="1" customWidth="1"/>
    <col min="11770" max="11773" width="17.42578125" style="122" bestFit="1" customWidth="1"/>
    <col min="11774" max="11777" width="17.42578125" style="122" customWidth="1"/>
    <col min="11778" max="11778" width="27.28515625" style="122" customWidth="1"/>
    <col min="11779" max="11779" width="15.85546875" style="122" bestFit="1" customWidth="1"/>
    <col min="11780" max="11780" width="12.42578125" style="122" bestFit="1" customWidth="1"/>
    <col min="11781" max="11791" width="11.42578125" style="122" customWidth="1"/>
    <col min="11792" max="11792" width="17.140625" style="122" customWidth="1"/>
    <col min="11793" max="11793" width="11.42578125" style="122" customWidth="1"/>
    <col min="11794" max="11794" width="34.28515625" style="122" bestFit="1" customWidth="1"/>
    <col min="11795" max="11998" width="11.42578125" style="122"/>
    <col min="11999" max="11999" width="8.85546875" style="122" customWidth="1"/>
    <col min="12000" max="12000" width="35.7109375" style="122" bestFit="1" customWidth="1"/>
    <col min="12001" max="12001" width="5" style="122" customWidth="1"/>
    <col min="12002" max="12004" width="12.85546875" style="122" bestFit="1" customWidth="1"/>
    <col min="12005" max="12015" width="15.140625" style="122" customWidth="1"/>
    <col min="12016" max="12016" width="13.85546875" style="122" customWidth="1"/>
    <col min="12017" max="12017" width="11.42578125" style="122" customWidth="1"/>
    <col min="12018" max="12018" width="12" style="122" bestFit="1" customWidth="1"/>
    <col min="12019" max="12019" width="31.7109375" style="122" customWidth="1"/>
    <col min="12020" max="12020" width="13.85546875" style="122" customWidth="1"/>
    <col min="12021" max="12021" width="13.42578125" style="122" customWidth="1"/>
    <col min="12022" max="12025" width="16.140625" style="122" bestFit="1" customWidth="1"/>
    <col min="12026" max="12029" width="17.42578125" style="122" bestFit="1" customWidth="1"/>
    <col min="12030" max="12033" width="17.42578125" style="122" customWidth="1"/>
    <col min="12034" max="12034" width="27.28515625" style="122" customWidth="1"/>
    <col min="12035" max="12035" width="15.85546875" style="122" bestFit="1" customWidth="1"/>
    <col min="12036" max="12036" width="12.42578125" style="122" bestFit="1" customWidth="1"/>
    <col min="12037" max="12047" width="11.42578125" style="122" customWidth="1"/>
    <col min="12048" max="12048" width="17.140625" style="122" customWidth="1"/>
    <col min="12049" max="12049" width="11.42578125" style="122" customWidth="1"/>
    <col min="12050" max="12050" width="34.28515625" style="122" bestFit="1" customWidth="1"/>
    <col min="12051" max="12254" width="11.42578125" style="122"/>
    <col min="12255" max="12255" width="8.85546875" style="122" customWidth="1"/>
    <col min="12256" max="12256" width="35.7109375" style="122" bestFit="1" customWidth="1"/>
    <col min="12257" max="12257" width="5" style="122" customWidth="1"/>
    <col min="12258" max="12260" width="12.85546875" style="122" bestFit="1" customWidth="1"/>
    <col min="12261" max="12271" width="15.140625" style="122" customWidth="1"/>
    <col min="12272" max="12272" width="13.85546875" style="122" customWidth="1"/>
    <col min="12273" max="12273" width="11.42578125" style="122" customWidth="1"/>
    <col min="12274" max="12274" width="12" style="122" bestFit="1" customWidth="1"/>
    <col min="12275" max="12275" width="31.7109375" style="122" customWidth="1"/>
    <col min="12276" max="12276" width="13.85546875" style="122" customWidth="1"/>
    <col min="12277" max="12277" width="13.42578125" style="122" customWidth="1"/>
    <col min="12278" max="12281" width="16.140625" style="122" bestFit="1" customWidth="1"/>
    <col min="12282" max="12285" width="17.42578125" style="122" bestFit="1" customWidth="1"/>
    <col min="12286" max="12289" width="17.42578125" style="122" customWidth="1"/>
    <col min="12290" max="12290" width="27.28515625" style="122" customWidth="1"/>
    <col min="12291" max="12291" width="15.85546875" style="122" bestFit="1" customWidth="1"/>
    <col min="12292" max="12292" width="12.42578125" style="122" bestFit="1" customWidth="1"/>
    <col min="12293" max="12303" width="11.42578125" style="122" customWidth="1"/>
    <col min="12304" max="12304" width="17.140625" style="122" customWidth="1"/>
    <col min="12305" max="12305" width="11.42578125" style="122" customWidth="1"/>
    <col min="12306" max="12306" width="34.28515625" style="122" bestFit="1" customWidth="1"/>
    <col min="12307" max="12510" width="11.42578125" style="122"/>
    <col min="12511" max="12511" width="8.85546875" style="122" customWidth="1"/>
    <col min="12512" max="12512" width="35.7109375" style="122" bestFit="1" customWidth="1"/>
    <col min="12513" max="12513" width="5" style="122" customWidth="1"/>
    <col min="12514" max="12516" width="12.85546875" style="122" bestFit="1" customWidth="1"/>
    <col min="12517" max="12527" width="15.140625" style="122" customWidth="1"/>
    <col min="12528" max="12528" width="13.85546875" style="122" customWidth="1"/>
    <col min="12529" max="12529" width="11.42578125" style="122" customWidth="1"/>
    <col min="12530" max="12530" width="12" style="122" bestFit="1" customWidth="1"/>
    <col min="12531" max="12531" width="31.7109375" style="122" customWidth="1"/>
    <col min="12532" max="12532" width="13.85546875" style="122" customWidth="1"/>
    <col min="12533" max="12533" width="13.42578125" style="122" customWidth="1"/>
    <col min="12534" max="12537" width="16.140625" style="122" bestFit="1" customWidth="1"/>
    <col min="12538" max="12541" width="17.42578125" style="122" bestFit="1" customWidth="1"/>
    <col min="12542" max="12545" width="17.42578125" style="122" customWidth="1"/>
    <col min="12546" max="12546" width="27.28515625" style="122" customWidth="1"/>
    <col min="12547" max="12547" width="15.85546875" style="122" bestFit="1" customWidth="1"/>
    <col min="12548" max="12548" width="12.42578125" style="122" bestFit="1" customWidth="1"/>
    <col min="12549" max="12559" width="11.42578125" style="122" customWidth="1"/>
    <col min="12560" max="12560" width="17.140625" style="122" customWidth="1"/>
    <col min="12561" max="12561" width="11.42578125" style="122" customWidth="1"/>
    <col min="12562" max="12562" width="34.28515625" style="122" bestFit="1" customWidth="1"/>
    <col min="12563" max="12766" width="11.42578125" style="122"/>
    <col min="12767" max="12767" width="8.85546875" style="122" customWidth="1"/>
    <col min="12768" max="12768" width="35.7109375" style="122" bestFit="1" customWidth="1"/>
    <col min="12769" max="12769" width="5" style="122" customWidth="1"/>
    <col min="12770" max="12772" width="12.85546875" style="122" bestFit="1" customWidth="1"/>
    <col min="12773" max="12783" width="15.140625" style="122" customWidth="1"/>
    <col min="12784" max="12784" width="13.85546875" style="122" customWidth="1"/>
    <col min="12785" max="12785" width="11.42578125" style="122" customWidth="1"/>
    <col min="12786" max="12786" width="12" style="122" bestFit="1" customWidth="1"/>
    <col min="12787" max="12787" width="31.7109375" style="122" customWidth="1"/>
    <col min="12788" max="12788" width="13.85546875" style="122" customWidth="1"/>
    <col min="12789" max="12789" width="13.42578125" style="122" customWidth="1"/>
    <col min="12790" max="12793" width="16.140625" style="122" bestFit="1" customWidth="1"/>
    <col min="12794" max="12797" width="17.42578125" style="122" bestFit="1" customWidth="1"/>
    <col min="12798" max="12801" width="17.42578125" style="122" customWidth="1"/>
    <col min="12802" max="12802" width="27.28515625" style="122" customWidth="1"/>
    <col min="12803" max="12803" width="15.85546875" style="122" bestFit="1" customWidth="1"/>
    <col min="12804" max="12804" width="12.42578125" style="122" bestFit="1" customWidth="1"/>
    <col min="12805" max="12815" width="11.42578125" style="122" customWidth="1"/>
    <col min="12816" max="12816" width="17.140625" style="122" customWidth="1"/>
    <col min="12817" max="12817" width="11.42578125" style="122" customWidth="1"/>
    <col min="12818" max="12818" width="34.28515625" style="122" bestFit="1" customWidth="1"/>
    <col min="12819" max="13022" width="11.42578125" style="122"/>
    <col min="13023" max="13023" width="8.85546875" style="122" customWidth="1"/>
    <col min="13024" max="13024" width="35.7109375" style="122" bestFit="1" customWidth="1"/>
    <col min="13025" max="13025" width="5" style="122" customWidth="1"/>
    <col min="13026" max="13028" width="12.85546875" style="122" bestFit="1" customWidth="1"/>
    <col min="13029" max="13039" width="15.140625" style="122" customWidth="1"/>
    <col min="13040" max="13040" width="13.85546875" style="122" customWidth="1"/>
    <col min="13041" max="13041" width="11.42578125" style="122" customWidth="1"/>
    <col min="13042" max="13042" width="12" style="122" bestFit="1" customWidth="1"/>
    <col min="13043" max="13043" width="31.7109375" style="122" customWidth="1"/>
    <col min="13044" max="13044" width="13.85546875" style="122" customWidth="1"/>
    <col min="13045" max="13045" width="13.42578125" style="122" customWidth="1"/>
    <col min="13046" max="13049" width="16.140625" style="122" bestFit="1" customWidth="1"/>
    <col min="13050" max="13053" width="17.42578125" style="122" bestFit="1" customWidth="1"/>
    <col min="13054" max="13057" width="17.42578125" style="122" customWidth="1"/>
    <col min="13058" max="13058" width="27.28515625" style="122" customWidth="1"/>
    <col min="13059" max="13059" width="15.85546875" style="122" bestFit="1" customWidth="1"/>
    <col min="13060" max="13060" width="12.42578125" style="122" bestFit="1" customWidth="1"/>
    <col min="13061" max="13071" width="11.42578125" style="122" customWidth="1"/>
    <col min="13072" max="13072" width="17.140625" style="122" customWidth="1"/>
    <col min="13073" max="13073" width="11.42578125" style="122" customWidth="1"/>
    <col min="13074" max="13074" width="34.28515625" style="122" bestFit="1" customWidth="1"/>
    <col min="13075" max="13278" width="11.42578125" style="122"/>
    <col min="13279" max="13279" width="8.85546875" style="122" customWidth="1"/>
    <col min="13280" max="13280" width="35.7109375" style="122" bestFit="1" customWidth="1"/>
    <col min="13281" max="13281" width="5" style="122" customWidth="1"/>
    <col min="13282" max="13284" width="12.85546875" style="122" bestFit="1" customWidth="1"/>
    <col min="13285" max="13295" width="15.140625" style="122" customWidth="1"/>
    <col min="13296" max="13296" width="13.85546875" style="122" customWidth="1"/>
    <col min="13297" max="13297" width="11.42578125" style="122" customWidth="1"/>
    <col min="13298" max="13298" width="12" style="122" bestFit="1" customWidth="1"/>
    <col min="13299" max="13299" width="31.7109375" style="122" customWidth="1"/>
    <col min="13300" max="13300" width="13.85546875" style="122" customWidth="1"/>
    <col min="13301" max="13301" width="13.42578125" style="122" customWidth="1"/>
    <col min="13302" max="13305" width="16.140625" style="122" bestFit="1" customWidth="1"/>
    <col min="13306" max="13309" width="17.42578125" style="122" bestFit="1" customWidth="1"/>
    <col min="13310" max="13313" width="17.42578125" style="122" customWidth="1"/>
    <col min="13314" max="13314" width="27.28515625" style="122" customWidth="1"/>
    <col min="13315" max="13315" width="15.85546875" style="122" bestFit="1" customWidth="1"/>
    <col min="13316" max="13316" width="12.42578125" style="122" bestFit="1" customWidth="1"/>
    <col min="13317" max="13327" width="11.42578125" style="122" customWidth="1"/>
    <col min="13328" max="13328" width="17.140625" style="122" customWidth="1"/>
    <col min="13329" max="13329" width="11.42578125" style="122" customWidth="1"/>
    <col min="13330" max="13330" width="34.28515625" style="122" bestFit="1" customWidth="1"/>
    <col min="13331" max="13534" width="11.42578125" style="122"/>
    <col min="13535" max="13535" width="8.85546875" style="122" customWidth="1"/>
    <col min="13536" max="13536" width="35.7109375" style="122" bestFit="1" customWidth="1"/>
    <col min="13537" max="13537" width="5" style="122" customWidth="1"/>
    <col min="13538" max="13540" width="12.85546875" style="122" bestFit="1" customWidth="1"/>
    <col min="13541" max="13551" width="15.140625" style="122" customWidth="1"/>
    <col min="13552" max="13552" width="13.85546875" style="122" customWidth="1"/>
    <col min="13553" max="13553" width="11.42578125" style="122" customWidth="1"/>
    <col min="13554" max="13554" width="12" style="122" bestFit="1" customWidth="1"/>
    <col min="13555" max="13555" width="31.7109375" style="122" customWidth="1"/>
    <col min="13556" max="13556" width="13.85546875" style="122" customWidth="1"/>
    <col min="13557" max="13557" width="13.42578125" style="122" customWidth="1"/>
    <col min="13558" max="13561" width="16.140625" style="122" bestFit="1" customWidth="1"/>
    <col min="13562" max="13565" width="17.42578125" style="122" bestFit="1" customWidth="1"/>
    <col min="13566" max="13569" width="17.42578125" style="122" customWidth="1"/>
    <col min="13570" max="13570" width="27.28515625" style="122" customWidth="1"/>
    <col min="13571" max="13571" width="15.85546875" style="122" bestFit="1" customWidth="1"/>
    <col min="13572" max="13572" width="12.42578125" style="122" bestFit="1" customWidth="1"/>
    <col min="13573" max="13583" width="11.42578125" style="122" customWidth="1"/>
    <col min="13584" max="13584" width="17.140625" style="122" customWidth="1"/>
    <col min="13585" max="13585" width="11.42578125" style="122" customWidth="1"/>
    <col min="13586" max="13586" width="34.28515625" style="122" bestFit="1" customWidth="1"/>
    <col min="13587" max="13790" width="11.42578125" style="122"/>
    <col min="13791" max="13791" width="8.85546875" style="122" customWidth="1"/>
    <col min="13792" max="13792" width="35.7109375" style="122" bestFit="1" customWidth="1"/>
    <col min="13793" max="13793" width="5" style="122" customWidth="1"/>
    <col min="13794" max="13796" width="12.85546875" style="122" bestFit="1" customWidth="1"/>
    <col min="13797" max="13807" width="15.140625" style="122" customWidth="1"/>
    <col min="13808" max="13808" width="13.85546875" style="122" customWidth="1"/>
    <col min="13809" max="13809" width="11.42578125" style="122" customWidth="1"/>
    <col min="13810" max="13810" width="12" style="122" bestFit="1" customWidth="1"/>
    <col min="13811" max="13811" width="31.7109375" style="122" customWidth="1"/>
    <col min="13812" max="13812" width="13.85546875" style="122" customWidth="1"/>
    <col min="13813" max="13813" width="13.42578125" style="122" customWidth="1"/>
    <col min="13814" max="13817" width="16.140625" style="122" bestFit="1" customWidth="1"/>
    <col min="13818" max="13821" width="17.42578125" style="122" bestFit="1" customWidth="1"/>
    <col min="13822" max="13825" width="17.42578125" style="122" customWidth="1"/>
    <col min="13826" max="13826" width="27.28515625" style="122" customWidth="1"/>
    <col min="13827" max="13827" width="15.85546875" style="122" bestFit="1" customWidth="1"/>
    <col min="13828" max="13828" width="12.42578125" style="122" bestFit="1" customWidth="1"/>
    <col min="13829" max="13839" width="11.42578125" style="122" customWidth="1"/>
    <col min="13840" max="13840" width="17.140625" style="122" customWidth="1"/>
    <col min="13841" max="13841" width="11.42578125" style="122" customWidth="1"/>
    <col min="13842" max="13842" width="34.28515625" style="122" bestFit="1" customWidth="1"/>
    <col min="13843" max="14046" width="11.42578125" style="122"/>
    <col min="14047" max="14047" width="8.85546875" style="122" customWidth="1"/>
    <col min="14048" max="14048" width="35.7109375" style="122" bestFit="1" customWidth="1"/>
    <col min="14049" max="14049" width="5" style="122" customWidth="1"/>
    <col min="14050" max="14052" width="12.85546875" style="122" bestFit="1" customWidth="1"/>
    <col min="14053" max="14063" width="15.140625" style="122" customWidth="1"/>
    <col min="14064" max="14064" width="13.85546875" style="122" customWidth="1"/>
    <col min="14065" max="14065" width="11.42578125" style="122" customWidth="1"/>
    <col min="14066" max="14066" width="12" style="122" bestFit="1" customWidth="1"/>
    <col min="14067" max="14067" width="31.7109375" style="122" customWidth="1"/>
    <col min="14068" max="14068" width="13.85546875" style="122" customWidth="1"/>
    <col min="14069" max="14069" width="13.42578125" style="122" customWidth="1"/>
    <col min="14070" max="14073" width="16.140625" style="122" bestFit="1" customWidth="1"/>
    <col min="14074" max="14077" width="17.42578125" style="122" bestFit="1" customWidth="1"/>
    <col min="14078" max="14081" width="17.42578125" style="122" customWidth="1"/>
    <col min="14082" max="14082" width="27.28515625" style="122" customWidth="1"/>
    <col min="14083" max="14083" width="15.85546875" style="122" bestFit="1" customWidth="1"/>
    <col min="14084" max="14084" width="12.42578125" style="122" bestFit="1" customWidth="1"/>
    <col min="14085" max="14095" width="11.42578125" style="122" customWidth="1"/>
    <col min="14096" max="14096" width="17.140625" style="122" customWidth="1"/>
    <col min="14097" max="14097" width="11.42578125" style="122" customWidth="1"/>
    <col min="14098" max="14098" width="34.28515625" style="122" bestFit="1" customWidth="1"/>
    <col min="14099" max="14302" width="11.42578125" style="122"/>
    <col min="14303" max="14303" width="8.85546875" style="122" customWidth="1"/>
    <col min="14304" max="14304" width="35.7109375" style="122" bestFit="1" customWidth="1"/>
    <col min="14305" max="14305" width="5" style="122" customWidth="1"/>
    <col min="14306" max="14308" width="12.85546875" style="122" bestFit="1" customWidth="1"/>
    <col min="14309" max="14319" width="15.140625" style="122" customWidth="1"/>
    <col min="14320" max="14320" width="13.85546875" style="122" customWidth="1"/>
    <col min="14321" max="14321" width="11.42578125" style="122" customWidth="1"/>
    <col min="14322" max="14322" width="12" style="122" bestFit="1" customWidth="1"/>
    <col min="14323" max="14323" width="31.7109375" style="122" customWidth="1"/>
    <col min="14324" max="14324" width="13.85546875" style="122" customWidth="1"/>
    <col min="14325" max="14325" width="13.42578125" style="122" customWidth="1"/>
    <col min="14326" max="14329" width="16.140625" style="122" bestFit="1" customWidth="1"/>
    <col min="14330" max="14333" width="17.42578125" style="122" bestFit="1" customWidth="1"/>
    <col min="14334" max="14337" width="17.42578125" style="122" customWidth="1"/>
    <col min="14338" max="14338" width="27.28515625" style="122" customWidth="1"/>
    <col min="14339" max="14339" width="15.85546875" style="122" bestFit="1" customWidth="1"/>
    <col min="14340" max="14340" width="12.42578125" style="122" bestFit="1" customWidth="1"/>
    <col min="14341" max="14351" width="11.42578125" style="122" customWidth="1"/>
    <col min="14352" max="14352" width="17.140625" style="122" customWidth="1"/>
    <col min="14353" max="14353" width="11.42578125" style="122" customWidth="1"/>
    <col min="14354" max="14354" width="34.28515625" style="122" bestFit="1" customWidth="1"/>
    <col min="14355" max="14558" width="11.42578125" style="122"/>
    <col min="14559" max="14559" width="8.85546875" style="122" customWidth="1"/>
    <col min="14560" max="14560" width="35.7109375" style="122" bestFit="1" customWidth="1"/>
    <col min="14561" max="14561" width="5" style="122" customWidth="1"/>
    <col min="14562" max="14564" width="12.85546875" style="122" bestFit="1" customWidth="1"/>
    <col min="14565" max="14575" width="15.140625" style="122" customWidth="1"/>
    <col min="14576" max="14576" width="13.85546875" style="122" customWidth="1"/>
    <col min="14577" max="14577" width="11.42578125" style="122" customWidth="1"/>
    <col min="14578" max="14578" width="12" style="122" bestFit="1" customWidth="1"/>
    <col min="14579" max="14579" width="31.7109375" style="122" customWidth="1"/>
    <col min="14580" max="14580" width="13.85546875" style="122" customWidth="1"/>
    <col min="14581" max="14581" width="13.42578125" style="122" customWidth="1"/>
    <col min="14582" max="14585" width="16.140625" style="122" bestFit="1" customWidth="1"/>
    <col min="14586" max="14589" width="17.42578125" style="122" bestFit="1" customWidth="1"/>
    <col min="14590" max="14593" width="17.42578125" style="122" customWidth="1"/>
    <col min="14594" max="14594" width="27.28515625" style="122" customWidth="1"/>
    <col min="14595" max="14595" width="15.85546875" style="122" bestFit="1" customWidth="1"/>
    <col min="14596" max="14596" width="12.42578125" style="122" bestFit="1" customWidth="1"/>
    <col min="14597" max="14607" width="11.42578125" style="122" customWidth="1"/>
    <col min="14608" max="14608" width="17.140625" style="122" customWidth="1"/>
    <col min="14609" max="14609" width="11.42578125" style="122" customWidth="1"/>
    <col min="14610" max="14610" width="34.28515625" style="122" bestFit="1" customWidth="1"/>
    <col min="14611" max="14814" width="11.42578125" style="122"/>
    <col min="14815" max="14815" width="8.85546875" style="122" customWidth="1"/>
    <col min="14816" max="14816" width="35.7109375" style="122" bestFit="1" customWidth="1"/>
    <col min="14817" max="14817" width="5" style="122" customWidth="1"/>
    <col min="14818" max="14820" width="12.85546875" style="122" bestFit="1" customWidth="1"/>
    <col min="14821" max="14831" width="15.140625" style="122" customWidth="1"/>
    <col min="14832" max="14832" width="13.85546875" style="122" customWidth="1"/>
    <col min="14833" max="14833" width="11.42578125" style="122" customWidth="1"/>
    <col min="14834" max="14834" width="12" style="122" bestFit="1" customWidth="1"/>
    <col min="14835" max="14835" width="31.7109375" style="122" customWidth="1"/>
    <col min="14836" max="14836" width="13.85546875" style="122" customWidth="1"/>
    <col min="14837" max="14837" width="13.42578125" style="122" customWidth="1"/>
    <col min="14838" max="14841" width="16.140625" style="122" bestFit="1" customWidth="1"/>
    <col min="14842" max="14845" width="17.42578125" style="122" bestFit="1" customWidth="1"/>
    <col min="14846" max="14849" width="17.42578125" style="122" customWidth="1"/>
    <col min="14850" max="14850" width="27.28515625" style="122" customWidth="1"/>
    <col min="14851" max="14851" width="15.85546875" style="122" bestFit="1" customWidth="1"/>
    <col min="14852" max="14852" width="12.42578125" style="122" bestFit="1" customWidth="1"/>
    <col min="14853" max="14863" width="11.42578125" style="122" customWidth="1"/>
    <col min="14864" max="14864" width="17.140625" style="122" customWidth="1"/>
    <col min="14865" max="14865" width="11.42578125" style="122" customWidth="1"/>
    <col min="14866" max="14866" width="34.28515625" style="122" bestFit="1" customWidth="1"/>
    <col min="14867" max="15070" width="11.42578125" style="122"/>
    <col min="15071" max="15071" width="8.85546875" style="122" customWidth="1"/>
    <col min="15072" max="15072" width="35.7109375" style="122" bestFit="1" customWidth="1"/>
    <col min="15073" max="15073" width="5" style="122" customWidth="1"/>
    <col min="15074" max="15076" width="12.85546875" style="122" bestFit="1" customWidth="1"/>
    <col min="15077" max="15087" width="15.140625" style="122" customWidth="1"/>
    <col min="15088" max="15088" width="13.85546875" style="122" customWidth="1"/>
    <col min="15089" max="15089" width="11.42578125" style="122" customWidth="1"/>
    <col min="15090" max="15090" width="12" style="122" bestFit="1" customWidth="1"/>
    <col min="15091" max="15091" width="31.7109375" style="122" customWidth="1"/>
    <col min="15092" max="15092" width="13.85546875" style="122" customWidth="1"/>
    <col min="15093" max="15093" width="13.42578125" style="122" customWidth="1"/>
    <col min="15094" max="15097" width="16.140625" style="122" bestFit="1" customWidth="1"/>
    <col min="15098" max="15101" width="17.42578125" style="122" bestFit="1" customWidth="1"/>
    <col min="15102" max="15105" width="17.42578125" style="122" customWidth="1"/>
    <col min="15106" max="15106" width="27.28515625" style="122" customWidth="1"/>
    <col min="15107" max="15107" width="15.85546875" style="122" bestFit="1" customWidth="1"/>
    <col min="15108" max="15108" width="12.42578125" style="122" bestFit="1" customWidth="1"/>
    <col min="15109" max="15119" width="11.42578125" style="122" customWidth="1"/>
    <col min="15120" max="15120" width="17.140625" style="122" customWidth="1"/>
    <col min="15121" max="15121" width="11.42578125" style="122" customWidth="1"/>
    <col min="15122" max="15122" width="34.28515625" style="122" bestFit="1" customWidth="1"/>
    <col min="15123" max="15326" width="11.42578125" style="122"/>
    <col min="15327" max="15327" width="8.85546875" style="122" customWidth="1"/>
    <col min="15328" max="15328" width="35.7109375" style="122" bestFit="1" customWidth="1"/>
    <col min="15329" max="15329" width="5" style="122" customWidth="1"/>
    <col min="15330" max="15332" width="12.85546875" style="122" bestFit="1" customWidth="1"/>
    <col min="15333" max="15343" width="15.140625" style="122" customWidth="1"/>
    <col min="15344" max="15344" width="13.85546875" style="122" customWidth="1"/>
    <col min="15345" max="15345" width="11.42578125" style="122" customWidth="1"/>
    <col min="15346" max="15346" width="12" style="122" bestFit="1" customWidth="1"/>
    <col min="15347" max="15347" width="31.7109375" style="122" customWidth="1"/>
    <col min="15348" max="15348" width="13.85546875" style="122" customWidth="1"/>
    <col min="15349" max="15349" width="13.42578125" style="122" customWidth="1"/>
    <col min="15350" max="15353" width="16.140625" style="122" bestFit="1" customWidth="1"/>
    <col min="15354" max="15357" width="17.42578125" style="122" bestFit="1" customWidth="1"/>
    <col min="15358" max="15361" width="17.42578125" style="122" customWidth="1"/>
    <col min="15362" max="15362" width="27.28515625" style="122" customWidth="1"/>
    <col min="15363" max="15363" width="15.85546875" style="122" bestFit="1" customWidth="1"/>
    <col min="15364" max="15364" width="12.42578125" style="122" bestFit="1" customWidth="1"/>
    <col min="15365" max="15375" width="11.42578125" style="122" customWidth="1"/>
    <col min="15376" max="15376" width="17.140625" style="122" customWidth="1"/>
    <col min="15377" max="15377" width="11.42578125" style="122" customWidth="1"/>
    <col min="15378" max="15378" width="34.28515625" style="122" bestFit="1" customWidth="1"/>
    <col min="15379" max="15582" width="11.42578125" style="122"/>
    <col min="15583" max="15583" width="8.85546875" style="122" customWidth="1"/>
    <col min="15584" max="15584" width="35.7109375" style="122" bestFit="1" customWidth="1"/>
    <col min="15585" max="15585" width="5" style="122" customWidth="1"/>
    <col min="15586" max="15588" width="12.85546875" style="122" bestFit="1" customWidth="1"/>
    <col min="15589" max="15599" width="15.140625" style="122" customWidth="1"/>
    <col min="15600" max="15600" width="13.85546875" style="122" customWidth="1"/>
    <col min="15601" max="15601" width="11.42578125" style="122" customWidth="1"/>
    <col min="15602" max="15602" width="12" style="122" bestFit="1" customWidth="1"/>
    <col min="15603" max="15603" width="31.7109375" style="122" customWidth="1"/>
    <col min="15604" max="15604" width="13.85546875" style="122" customWidth="1"/>
    <col min="15605" max="15605" width="13.42578125" style="122" customWidth="1"/>
    <col min="15606" max="15609" width="16.140625" style="122" bestFit="1" customWidth="1"/>
    <col min="15610" max="15613" width="17.42578125" style="122" bestFit="1" customWidth="1"/>
    <col min="15614" max="15617" width="17.42578125" style="122" customWidth="1"/>
    <col min="15618" max="15618" width="27.28515625" style="122" customWidth="1"/>
    <col min="15619" max="15619" width="15.85546875" style="122" bestFit="1" customWidth="1"/>
    <col min="15620" max="15620" width="12.42578125" style="122" bestFit="1" customWidth="1"/>
    <col min="15621" max="15631" width="11.42578125" style="122" customWidth="1"/>
    <col min="15632" max="15632" width="17.140625" style="122" customWidth="1"/>
    <col min="15633" max="15633" width="11.42578125" style="122" customWidth="1"/>
    <col min="15634" max="15634" width="34.28515625" style="122" bestFit="1" customWidth="1"/>
    <col min="15635" max="15838" width="11.42578125" style="122"/>
    <col min="15839" max="15839" width="8.85546875" style="122" customWidth="1"/>
    <col min="15840" max="15840" width="35.7109375" style="122" bestFit="1" customWidth="1"/>
    <col min="15841" max="15841" width="5" style="122" customWidth="1"/>
    <col min="15842" max="15844" width="12.85546875" style="122" bestFit="1" customWidth="1"/>
    <col min="15845" max="15855" width="15.140625" style="122" customWidth="1"/>
    <col min="15856" max="15856" width="13.85546875" style="122" customWidth="1"/>
    <col min="15857" max="15857" width="11.42578125" style="122" customWidth="1"/>
    <col min="15858" max="15858" width="12" style="122" bestFit="1" customWidth="1"/>
    <col min="15859" max="15859" width="31.7109375" style="122" customWidth="1"/>
    <col min="15860" max="15860" width="13.85546875" style="122" customWidth="1"/>
    <col min="15861" max="15861" width="13.42578125" style="122" customWidth="1"/>
    <col min="15862" max="15865" width="16.140625" style="122" bestFit="1" customWidth="1"/>
    <col min="15866" max="15869" width="17.42578125" style="122" bestFit="1" customWidth="1"/>
    <col min="15870" max="15873" width="17.42578125" style="122" customWidth="1"/>
    <col min="15874" max="15874" width="27.28515625" style="122" customWidth="1"/>
    <col min="15875" max="15875" width="15.85546875" style="122" bestFit="1" customWidth="1"/>
    <col min="15876" max="15876" width="12.42578125" style="122" bestFit="1" customWidth="1"/>
    <col min="15877" max="15887" width="11.42578125" style="122" customWidth="1"/>
    <col min="15888" max="15888" width="17.140625" style="122" customWidth="1"/>
    <col min="15889" max="15889" width="11.42578125" style="122" customWidth="1"/>
    <col min="15890" max="15890" width="34.28515625" style="122" bestFit="1" customWidth="1"/>
    <col min="15891" max="16094" width="11.42578125" style="122"/>
    <col min="16095" max="16095" width="8.85546875" style="122" customWidth="1"/>
    <col min="16096" max="16096" width="35.7109375" style="122" bestFit="1" customWidth="1"/>
    <col min="16097" max="16097" width="5" style="122" customWidth="1"/>
    <col min="16098" max="16100" width="12.85546875" style="122" bestFit="1" customWidth="1"/>
    <col min="16101" max="16111" width="15.140625" style="122" customWidth="1"/>
    <col min="16112" max="16112" width="13.85546875" style="122" customWidth="1"/>
    <col min="16113" max="16113" width="11.42578125" style="122" customWidth="1"/>
    <col min="16114" max="16114" width="12" style="122" bestFit="1" customWidth="1"/>
    <col min="16115" max="16115" width="31.7109375" style="122" customWidth="1"/>
    <col min="16116" max="16116" width="13.85546875" style="122" customWidth="1"/>
    <col min="16117" max="16117" width="13.42578125" style="122" customWidth="1"/>
    <col min="16118" max="16121" width="16.140625" style="122" bestFit="1" customWidth="1"/>
    <col min="16122" max="16125" width="17.42578125" style="122" bestFit="1" customWidth="1"/>
    <col min="16126" max="16129" width="17.42578125" style="122" customWidth="1"/>
    <col min="16130" max="16130" width="27.28515625" style="122" customWidth="1"/>
    <col min="16131" max="16131" width="15.85546875" style="122" bestFit="1" customWidth="1"/>
    <col min="16132" max="16132" width="12.42578125" style="122" bestFit="1" customWidth="1"/>
    <col min="16133" max="16143" width="11.42578125" style="122" customWidth="1"/>
    <col min="16144" max="16144" width="17.140625" style="122" customWidth="1"/>
    <col min="16145" max="16145" width="11.42578125" style="122" customWidth="1"/>
    <col min="16146" max="16146" width="34.28515625" style="122" bestFit="1" customWidth="1"/>
    <col min="16147" max="16384" width="11.42578125" style="122"/>
  </cols>
  <sheetData>
    <row r="1" spans="1:18" ht="15">
      <c r="A1" s="120"/>
      <c r="B1" s="120"/>
      <c r="C1" s="121"/>
      <c r="D1" s="121"/>
      <c r="E1" s="444" t="s">
        <v>555</v>
      </c>
      <c r="F1" s="444"/>
      <c r="G1" s="444"/>
      <c r="H1" s="444"/>
      <c r="I1" s="121"/>
      <c r="J1" s="121"/>
      <c r="K1" s="121"/>
      <c r="L1" s="121"/>
      <c r="M1" s="121"/>
      <c r="N1" s="121"/>
      <c r="O1" s="121"/>
    </row>
    <row r="2" spans="1:18">
      <c r="A2" s="123" t="str">
        <f>IF(F2=1,"Inicio de Periodo",IF(F2=2,"Fin de Periodo",""))</f>
        <v/>
      </c>
      <c r="B2" s="120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8" ht="21.75" customHeight="1" thickBot="1">
      <c r="A3" s="88" t="s">
        <v>533</v>
      </c>
      <c r="B3" s="88">
        <v>2000</v>
      </c>
      <c r="C3" s="88">
        <v>2001</v>
      </c>
      <c r="D3" s="88">
        <v>2002</v>
      </c>
      <c r="E3" s="88">
        <v>2003</v>
      </c>
      <c r="F3" s="88">
        <v>2004</v>
      </c>
      <c r="G3" s="49" t="s">
        <v>469</v>
      </c>
      <c r="H3" s="88">
        <v>2005</v>
      </c>
      <c r="I3" s="88">
        <v>2006</v>
      </c>
      <c r="J3" s="88">
        <v>2007</v>
      </c>
      <c r="K3" s="88">
        <v>2008</v>
      </c>
      <c r="L3" s="88">
        <v>2009</v>
      </c>
      <c r="M3" s="88">
        <v>2010</v>
      </c>
      <c r="N3" s="88">
        <v>2011</v>
      </c>
      <c r="O3" s="88">
        <v>2012</v>
      </c>
    </row>
    <row r="4" spans="1:18" ht="16.5" customHeight="1" thickTop="1">
      <c r="A4" s="229" t="s">
        <v>36</v>
      </c>
      <c r="B4" s="219">
        <f>+BaseCapital!C50</f>
        <v>37640031.14275296</v>
      </c>
      <c r="C4" s="219">
        <f>+'ValorContableInversiones  '!C17+ValorContableBaseCapital!C5</f>
        <v>39134430.329127349</v>
      </c>
      <c r="D4" s="219">
        <f>+'ValorContableInversiones  '!D17+ValorContableBaseCapital!D5</f>
        <v>39004940.624697447</v>
      </c>
      <c r="E4" s="219">
        <f>+'ValorContableInversiones  '!E17+ValorContableBaseCapital!E5</f>
        <v>37802968.161646858</v>
      </c>
      <c r="F4" s="219">
        <f>+'ValorContableInversiones  '!F17+ValorContableBaseCapital!F5</f>
        <v>37751995.698596261</v>
      </c>
      <c r="G4" s="219">
        <f>+'ValorContableInversiones  '!G17+ValorContableBaseCapital!G5-'Inversiones '!G26</f>
        <v>178628497.30943811</v>
      </c>
      <c r="H4" s="219">
        <f>+'ValorContableInversiones  '!G17+ValorContableBaseCapital!G5</f>
        <v>184424057.71830428</v>
      </c>
      <c r="I4" s="219">
        <f>+'ValorContableInversiones  '!H17+ValorContableBaseCapital!H5</f>
        <v>196250085.2552537</v>
      </c>
      <c r="J4" s="219">
        <f>+'ValorContableInversiones  '!I17+ValorContableBaseCapital!I5</f>
        <v>194082767.96461692</v>
      </c>
      <c r="K4" s="219">
        <f>+'ValorContableInversiones  '!J17+ValorContableBaseCapital!J5</f>
        <v>186906726.53604907</v>
      </c>
      <c r="L4" s="219">
        <f>+'ValorContableInversiones  '!K17+ValorContableBaseCapital!K5</f>
        <v>233688650.62472266</v>
      </c>
      <c r="M4" s="219">
        <f>+'ValorContableInversiones  '!L17+ValorContableBaseCapital!L5</f>
        <v>229132643.67891344</v>
      </c>
      <c r="N4" s="219">
        <f>+'ValorContableInversiones  '!M17+ValorContableBaseCapital!M5</f>
        <v>222720533.28482836</v>
      </c>
      <c r="O4" s="219">
        <f>+'ValorContableInversiones  '!N17+ValorContableBaseCapital!N5</f>
        <v>242500698.75281221</v>
      </c>
      <c r="P4" s="125"/>
    </row>
    <row r="5" spans="1:18" ht="16.5" customHeight="1">
      <c r="A5" s="230" t="s">
        <v>532</v>
      </c>
      <c r="B5" s="230">
        <v>0</v>
      </c>
      <c r="C5" s="220">
        <f>+'ValorContableInversiones  '!C18</f>
        <v>3798388</v>
      </c>
      <c r="D5" s="220">
        <f>+'ValorContableInversiones  '!D18</f>
        <v>3996775.0666666664</v>
      </c>
      <c r="E5" s="220">
        <f>+'ValorContableInversiones  '!E18</f>
        <v>3810328.8</v>
      </c>
      <c r="F5" s="220">
        <f>+'ValorContableInversiones  '!F18</f>
        <v>3721882.5333333332</v>
      </c>
      <c r="G5" s="220">
        <f>+'ValorContableInversiones  '!G18</f>
        <v>3584436.2666666666</v>
      </c>
      <c r="H5" s="220">
        <f>+'ValorContableInversiones  '!G18</f>
        <v>3584436.2666666666</v>
      </c>
      <c r="I5" s="220">
        <f>+'ValorContableInversiones  '!H18</f>
        <v>3447990</v>
      </c>
      <c r="J5" s="220">
        <f>+'ValorContableInversiones  '!I18</f>
        <v>3310510.4</v>
      </c>
      <c r="K5" s="220">
        <f>+'ValorContableInversiones  '!J18</f>
        <v>3173030.8</v>
      </c>
      <c r="L5" s="220">
        <f>+'ValorContableInversiones  '!K18</f>
        <v>3035551.2</v>
      </c>
      <c r="M5" s="220">
        <f>+'ValorContableInversiones  '!L18</f>
        <v>2898071.6</v>
      </c>
      <c r="N5" s="220">
        <f>+'ValorContableInversiones  '!M18</f>
        <v>2760592</v>
      </c>
      <c r="O5" s="220">
        <f>+'ValorContableInversiones  '!N18</f>
        <v>2623112.4</v>
      </c>
      <c r="P5" s="125"/>
    </row>
    <row r="6" spans="1:18" ht="16.5" customHeight="1">
      <c r="A6" s="231" t="s">
        <v>38</v>
      </c>
      <c r="B6" s="231">
        <v>0</v>
      </c>
      <c r="C6" s="221">
        <f>+'ValorContableInversiones  '!C19</f>
        <v>626779.42857142864</v>
      </c>
      <c r="D6" s="221">
        <f>+'ValorContableInversiones  '!D19</f>
        <v>585101.48571428575</v>
      </c>
      <c r="E6" s="221">
        <f>+'ValorContableInversiones  '!E19</f>
        <v>722323.54285714286</v>
      </c>
      <c r="F6" s="221">
        <f>+'ValorContableInversiones  '!F19</f>
        <v>656345.60000000009</v>
      </c>
      <c r="G6" s="221">
        <f>+'ValorContableInversiones  '!G19</f>
        <v>980467.65714285732</v>
      </c>
      <c r="H6" s="221">
        <f>+'ValorContableInversiones  '!G19</f>
        <v>980467.65714285732</v>
      </c>
      <c r="I6" s="221">
        <f>+'ValorContableInversiones  '!H19</f>
        <v>1430489.7142857143</v>
      </c>
      <c r="J6" s="221">
        <f>+'ValorContableInversiones  '!I19</f>
        <v>1244711.7714285715</v>
      </c>
      <c r="K6" s="221">
        <f>+'ValorContableInversiones  '!J19</f>
        <v>1341933.8285714285</v>
      </c>
      <c r="L6" s="221">
        <f>+'ValorContableInversiones  '!K19</f>
        <v>1438855.8857142858</v>
      </c>
      <c r="M6" s="221">
        <f>+'ValorContableInversiones  '!L19</f>
        <v>1403677.9428571428</v>
      </c>
      <c r="N6" s="221">
        <f>+'ValorContableInversiones  '!M19</f>
        <v>1284500</v>
      </c>
      <c r="O6" s="221">
        <f>+'ValorContableInversiones  '!N19</f>
        <v>1717300</v>
      </c>
      <c r="P6" s="125"/>
    </row>
    <row r="7" spans="1:18" ht="16.5" customHeight="1">
      <c r="A7" s="232" t="s">
        <v>135</v>
      </c>
      <c r="B7" s="232">
        <v>0</v>
      </c>
      <c r="C7" s="222">
        <f>+'ValorContableInversiones  '!C6</f>
        <v>0</v>
      </c>
      <c r="D7" s="222">
        <f>+'ValorContableInversiones  '!D6</f>
        <v>3284000</v>
      </c>
      <c r="E7" s="222">
        <f>+'ValorContableInversiones  '!E6</f>
        <v>3014600</v>
      </c>
      <c r="F7" s="222">
        <f>+'ValorContableInversiones  '!F6</f>
        <v>2767299.9999999995</v>
      </c>
      <c r="G7" s="222">
        <f>+'ValorContableInversiones  '!G6</f>
        <v>2424299.9999999995</v>
      </c>
      <c r="H7" s="222">
        <f>+'ValorContableInversiones  '!G6</f>
        <v>2424299.9999999995</v>
      </c>
      <c r="I7" s="222">
        <f>+'ValorContableInversiones  '!H6</f>
        <v>2309299.9999999995</v>
      </c>
      <c r="J7" s="222">
        <f>+'ValorContableInversiones  '!I6</f>
        <v>1947499.9999999998</v>
      </c>
      <c r="K7" s="222">
        <f>+'ValorContableInversiones  '!J6</f>
        <v>1185299.9999999993</v>
      </c>
      <c r="L7" s="222">
        <f>+'ValorContableInversiones  '!K6</f>
        <v>978699.9999999993</v>
      </c>
      <c r="M7" s="222">
        <f>+'ValorContableInversiones  '!L6</f>
        <v>769099.99999999919</v>
      </c>
      <c r="N7" s="222">
        <f>+'ValorContableInversiones  '!M6</f>
        <v>625599.99999999919</v>
      </c>
      <c r="O7" s="222">
        <f>+'ValorContableInversiones  '!N6</f>
        <v>261299.99999999916</v>
      </c>
      <c r="P7" s="125"/>
    </row>
    <row r="8" spans="1:18" ht="16.5" customHeight="1">
      <c r="A8" s="219" t="s">
        <v>136</v>
      </c>
      <c r="B8" s="219">
        <v>0</v>
      </c>
      <c r="C8" s="219">
        <f>+'ValorContableInversiones  '!C7</f>
        <v>381348.57142857142</v>
      </c>
      <c r="D8" s="219">
        <f>+'ValorContableInversiones  '!D7</f>
        <v>470331.42857142852</v>
      </c>
      <c r="E8" s="219">
        <f>+'ValorContableInversiones  '!E7</f>
        <v>455914.28571428574</v>
      </c>
      <c r="F8" s="219">
        <f>+'ValorContableInversiones  '!F7</f>
        <v>550747.14285714284</v>
      </c>
      <c r="G8" s="219">
        <f>+'ValorContableInversiones  '!G7</f>
        <v>388580.00000000006</v>
      </c>
      <c r="H8" s="219">
        <f>+'ValorContableInversiones  '!G7</f>
        <v>388580.00000000006</v>
      </c>
      <c r="I8" s="219">
        <f>+'ValorContableInversiones  '!H7</f>
        <v>314250</v>
      </c>
      <c r="J8" s="219">
        <f>+'ValorContableInversiones  '!I7</f>
        <v>259500</v>
      </c>
      <c r="K8" s="219">
        <f>+'ValorContableInversiones  '!J7</f>
        <v>389000</v>
      </c>
      <c r="L8" s="219">
        <f>+'ValorContableInversiones  '!K7</f>
        <v>397500</v>
      </c>
      <c r="M8" s="219">
        <f>+'ValorContableInversiones  '!L7</f>
        <v>506250</v>
      </c>
      <c r="N8" s="219">
        <f>+'ValorContableInversiones  '!M7</f>
        <v>467500</v>
      </c>
      <c r="O8" s="219">
        <f>+'ValorContableInversiones  '!N7</f>
        <v>432000</v>
      </c>
      <c r="P8" s="125"/>
    </row>
    <row r="9" spans="1:18" ht="16.5" customHeight="1">
      <c r="A9" s="220" t="s">
        <v>137</v>
      </c>
      <c r="B9" s="220">
        <v>0</v>
      </c>
      <c r="C9" s="220">
        <f>+'ValorContableInversiones  '!C8</f>
        <v>368204.57142857142</v>
      </c>
      <c r="D9" s="220">
        <f>+'ValorContableInversiones  '!D8</f>
        <v>483205.11428571423</v>
      </c>
      <c r="E9" s="220">
        <f>+'ValorContableInversiones  '!E8</f>
        <v>574202.55714285711</v>
      </c>
      <c r="F9" s="220">
        <f>+'ValorContableInversiones  '!F8</f>
        <v>583899.99999999988</v>
      </c>
      <c r="G9" s="220">
        <f>+'ValorContableInversiones  '!G8</f>
        <v>513997.44285714283</v>
      </c>
      <c r="H9" s="220">
        <f>+'ValorContableInversiones  '!G8</f>
        <v>513997.44285714283</v>
      </c>
      <c r="I9" s="388">
        <f>+'ValorContableInversiones  '!H8</f>
        <v>1530694.8857142855</v>
      </c>
      <c r="J9" s="220">
        <f>+'ValorContableInversiones  '!I8</f>
        <v>1472292.3285714285</v>
      </c>
      <c r="K9" s="220">
        <f>+'ValorContableInversiones  '!J8</f>
        <v>1740389.7714285713</v>
      </c>
      <c r="L9" s="220">
        <f>+'ValorContableInversiones  '!K8</f>
        <v>1662087.2142857143</v>
      </c>
      <c r="M9" s="220">
        <f>+'ValorContableInversiones  '!L8</f>
        <v>1643384.6571428569</v>
      </c>
      <c r="N9" s="220">
        <f>+'ValorContableInversiones  '!M8</f>
        <v>1463682.0999999999</v>
      </c>
      <c r="O9" s="220">
        <f>+'ValorContableInversiones  '!N8</f>
        <v>2470500</v>
      </c>
      <c r="P9" s="125"/>
    </row>
    <row r="10" spans="1:18" ht="16.5" customHeight="1">
      <c r="A10" s="219" t="s">
        <v>138</v>
      </c>
      <c r="B10" s="219">
        <f>+BaseCapital!C56</f>
        <v>415371.27995097288</v>
      </c>
      <c r="C10" s="219">
        <f>+'ValorContableInversiones  '!C9+ValorContableBaseCapital!C6</f>
        <v>625021.02148377069</v>
      </c>
      <c r="D10" s="219">
        <f>+'ValorContableInversiones  '!D9+ValorContableBaseCapital!D6</f>
        <v>552710.5369221475</v>
      </c>
      <c r="E10" s="219">
        <f>+'ValorContableInversiones  '!E9+ValorContableBaseCapital!E6</f>
        <v>398891.25236052444</v>
      </c>
      <c r="F10" s="219">
        <f>+'ValorContableInversiones  '!F9+ValorContableBaseCapital!F6</f>
        <v>310071.96779890126</v>
      </c>
      <c r="G10" s="219">
        <f>+'ValorContableInversiones  '!G9+ValorContableBaseCapital!G6</f>
        <v>143252.68323727811</v>
      </c>
      <c r="H10" s="219">
        <f>+'ValorContableInversiones  '!G9+ValorContableBaseCapital!G6</f>
        <v>143252.68323727811</v>
      </c>
      <c r="I10" s="219">
        <f>+'ValorContableInversiones  '!H9+ValorContableBaseCapital!H6</f>
        <v>192507.65466584955</v>
      </c>
      <c r="J10" s="219">
        <f>+'ValorContableInversiones  '!I9+ValorContableBaseCapital!I6</f>
        <v>224322.85466584956</v>
      </c>
      <c r="K10" s="219">
        <f>+'ValorContableInversiones  '!J9+ValorContableBaseCapital!J6</f>
        <v>183722.85466584956</v>
      </c>
      <c r="L10" s="219">
        <f>+'ValorContableInversiones  '!K9+ValorContableBaseCapital!K6</f>
        <v>127922.85466584958</v>
      </c>
      <c r="M10" s="219">
        <f>+'ValorContableInversiones  '!L9+ValorContableBaseCapital!L6</f>
        <v>141322.85466584959</v>
      </c>
      <c r="N10" s="219">
        <f>+'ValorContableInversiones  '!M9+ValorContableBaseCapital!M6</f>
        <v>81522.854665849562</v>
      </c>
      <c r="O10" s="219">
        <f>+'ValorContableInversiones  '!N9+ValorContableBaseCapital!N6</f>
        <v>88322.854665849562</v>
      </c>
      <c r="P10" s="125"/>
    </row>
    <row r="11" spans="1:18" ht="16.5" customHeight="1">
      <c r="A11" s="220" t="s">
        <v>33</v>
      </c>
      <c r="B11" s="220">
        <f>+BaseCapital!C57</f>
        <v>400614.83385898621</v>
      </c>
      <c r="C11" s="220">
        <f>+'ValorContableInversiones  '!C10+ValorContableBaseCapital!C7</f>
        <v>367327.23599334108</v>
      </c>
      <c r="D11" s="220">
        <f>+'ValorContableInversiones  '!D10+ValorContableBaseCapital!D7</f>
        <v>362916.20975029957</v>
      </c>
      <c r="E11" s="220">
        <f>+'ValorContableInversiones  '!E10+ValorContableBaseCapital!E7</f>
        <v>336911.78350725805</v>
      </c>
      <c r="F11" s="220">
        <f>+'ValorContableInversiones  '!F10+ValorContableBaseCapital!F7</f>
        <v>305107.35726421658</v>
      </c>
      <c r="G11" s="220">
        <f>+'ValorContableInversiones  '!G10+ValorContableBaseCapital!G7</f>
        <v>275902.93102117511</v>
      </c>
      <c r="H11" s="220">
        <f>+'ValorContableInversiones  '!G10+ValorContableBaseCapital!G7</f>
        <v>275902.93102117511</v>
      </c>
      <c r="I11" s="220">
        <f>+'ValorContableInversiones  '!H10+ValorContableBaseCapital!H7</f>
        <v>1259898.5047781337</v>
      </c>
      <c r="J11" s="220">
        <f>+'ValorContableInversiones  '!I10+ValorContableBaseCapital!I7</f>
        <v>1129594.0785350921</v>
      </c>
      <c r="K11" s="220">
        <f>+'ValorContableInversiones  '!J10+ValorContableBaseCapital!J7</f>
        <v>1086089.6522920507</v>
      </c>
      <c r="L11" s="220">
        <f>+'ValorContableInversiones  '!K10+ValorContableBaseCapital!K7</f>
        <v>1054485.2260490092</v>
      </c>
      <c r="M11" s="220">
        <f>+'ValorContableInversiones  '!L10+ValorContableBaseCapital!L7</f>
        <v>906480.79980596784</v>
      </c>
      <c r="N11" s="220">
        <f>+'ValorContableInversiones  '!M10+ValorContableBaseCapital!M7</f>
        <v>851437.85694882495</v>
      </c>
      <c r="O11" s="220">
        <f>+'ValorContableInversiones  '!N10+ValorContableBaseCapital!N7</f>
        <v>867038.45694882493</v>
      </c>
      <c r="P11" s="125"/>
    </row>
    <row r="12" spans="1:18" ht="16.5" customHeight="1" thickBot="1">
      <c r="A12" s="88" t="s">
        <v>139</v>
      </c>
      <c r="B12" s="88">
        <f t="shared" ref="B12:O12" si="0">SUM(B4:B11)</f>
        <v>38456017.256562926</v>
      </c>
      <c r="C12" s="88">
        <f t="shared" si="0"/>
        <v>45301499.158033036</v>
      </c>
      <c r="D12" s="88">
        <f t="shared" si="0"/>
        <v>48739980.466607988</v>
      </c>
      <c r="E12" s="88">
        <f t="shared" si="0"/>
        <v>47116140.383228913</v>
      </c>
      <c r="F12" s="88">
        <f t="shared" si="0"/>
        <v>46647350.299849853</v>
      </c>
      <c r="G12" s="88">
        <f t="shared" si="0"/>
        <v>186939434.29036325</v>
      </c>
      <c r="H12" s="88">
        <f t="shared" si="0"/>
        <v>192734994.69922942</v>
      </c>
      <c r="I12" s="88">
        <f t="shared" si="0"/>
        <v>206735216.0146977</v>
      </c>
      <c r="J12" s="88">
        <f t="shared" si="0"/>
        <v>203671199.39781788</v>
      </c>
      <c r="K12" s="88">
        <f t="shared" si="0"/>
        <v>196006193.44300699</v>
      </c>
      <c r="L12" s="88">
        <f t="shared" si="0"/>
        <v>242383753.00543749</v>
      </c>
      <c r="M12" s="88">
        <f t="shared" si="0"/>
        <v>237400931.53338525</v>
      </c>
      <c r="N12" s="88">
        <f t="shared" si="0"/>
        <v>230255368.09644303</v>
      </c>
      <c r="O12" s="88">
        <f t="shared" si="0"/>
        <v>250960272.46442688</v>
      </c>
      <c r="P12" s="125"/>
    </row>
    <row r="13" spans="1:18" ht="16.5" customHeight="1" thickTop="1">
      <c r="A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</row>
    <row r="14" spans="1:18" ht="16.5" customHeight="1">
      <c r="A14" s="345"/>
      <c r="B14" s="126"/>
      <c r="C14" s="127"/>
      <c r="D14" s="127"/>
      <c r="E14" s="127"/>
      <c r="F14" s="127"/>
      <c r="G14" s="127"/>
      <c r="H14" s="333"/>
      <c r="I14" s="127"/>
      <c r="J14" s="127"/>
      <c r="K14" s="127"/>
      <c r="L14" s="127"/>
      <c r="M14" s="127"/>
      <c r="N14" s="127"/>
      <c r="O14" s="127"/>
      <c r="P14" s="126"/>
      <c r="Q14" s="126"/>
      <c r="R14" s="126"/>
    </row>
    <row r="15" spans="1:18" ht="16.5" customHeight="1">
      <c r="A15" s="129"/>
      <c r="B15" s="129"/>
      <c r="K15" s="126"/>
      <c r="L15" s="126"/>
      <c r="M15" s="126"/>
      <c r="N15" s="126"/>
      <c r="O15" s="126"/>
      <c r="P15" s="126"/>
      <c r="Q15" s="126"/>
      <c r="R15" s="126"/>
    </row>
    <row r="16" spans="1:18" ht="16.5" customHeight="1">
      <c r="A16" s="129"/>
      <c r="B16" s="129"/>
      <c r="K16" s="154"/>
      <c r="L16" s="154"/>
      <c r="M16" s="154"/>
      <c r="N16" s="154"/>
      <c r="O16" s="154"/>
      <c r="P16" s="154"/>
    </row>
    <row r="17" spans="1:26">
      <c r="A17" s="129"/>
      <c r="B17" s="129"/>
      <c r="K17" s="154"/>
      <c r="L17" s="154"/>
      <c r="M17" s="154"/>
      <c r="N17" s="154"/>
      <c r="O17" s="154"/>
      <c r="P17" s="154"/>
      <c r="Q17" s="128"/>
      <c r="R17" s="128"/>
    </row>
    <row r="18" spans="1:26" s="129" customFormat="1">
      <c r="K18" s="130"/>
      <c r="L18" s="130"/>
      <c r="M18" s="130"/>
      <c r="N18" s="130"/>
      <c r="O18" s="130"/>
      <c r="S18" s="122"/>
      <c r="T18" s="122"/>
      <c r="U18" s="122"/>
      <c r="V18" s="122"/>
      <c r="W18" s="122"/>
      <c r="X18" s="122"/>
      <c r="Y18" s="122"/>
      <c r="Z18" s="122"/>
    </row>
    <row r="19" spans="1:26">
      <c r="A19" s="129"/>
      <c r="B19" s="129"/>
      <c r="K19" s="155"/>
      <c r="L19" s="155"/>
      <c r="M19" s="155"/>
      <c r="N19" s="155"/>
      <c r="O19" s="155"/>
      <c r="P19" s="134"/>
      <c r="Q19" s="134"/>
      <c r="R19" s="134"/>
      <c r="S19" s="134"/>
    </row>
    <row r="20" spans="1:26">
      <c r="A20" s="129"/>
      <c r="B20" s="129"/>
      <c r="K20" s="155"/>
      <c r="L20" s="155"/>
      <c r="M20" s="155"/>
      <c r="N20" s="155"/>
      <c r="O20" s="155"/>
      <c r="P20" s="134"/>
      <c r="Q20" s="134"/>
      <c r="R20" s="134"/>
      <c r="S20" s="134"/>
    </row>
    <row r="21" spans="1:26">
      <c r="A21" s="129"/>
      <c r="B21" s="129"/>
      <c r="K21" s="155"/>
      <c r="L21" s="155"/>
      <c r="M21" s="155"/>
      <c r="N21" s="155"/>
      <c r="O21" s="155"/>
      <c r="P21" s="134"/>
      <c r="Q21" s="134"/>
      <c r="R21" s="134"/>
      <c r="S21" s="134"/>
    </row>
    <row r="22" spans="1:26">
      <c r="A22" s="129"/>
      <c r="B22" s="129"/>
      <c r="K22" s="154"/>
      <c r="L22" s="154"/>
      <c r="M22" s="154"/>
      <c r="N22" s="154"/>
      <c r="O22" s="154"/>
      <c r="P22" s="134"/>
      <c r="Q22" s="134"/>
      <c r="R22" s="134"/>
      <c r="S22" s="134"/>
    </row>
    <row r="23" spans="1:26">
      <c r="A23" s="129"/>
      <c r="B23" s="129"/>
      <c r="K23" s="154"/>
      <c r="L23" s="154"/>
      <c r="M23" s="154"/>
      <c r="N23" s="154"/>
      <c r="O23" s="154"/>
      <c r="P23" s="134"/>
      <c r="Q23" s="134"/>
      <c r="R23" s="134"/>
      <c r="S23" s="134"/>
    </row>
    <row r="24" spans="1:26">
      <c r="A24" s="129"/>
      <c r="B24" s="129"/>
      <c r="K24" s="154"/>
      <c r="L24" s="154"/>
      <c r="M24" s="154"/>
      <c r="N24" s="154"/>
      <c r="O24" s="154"/>
      <c r="P24" s="134"/>
      <c r="Q24" s="134"/>
      <c r="R24" s="134"/>
      <c r="S24" s="134"/>
    </row>
    <row r="25" spans="1:26">
      <c r="A25" s="129"/>
      <c r="B25" s="129"/>
      <c r="K25" s="154"/>
      <c r="L25" s="154"/>
      <c r="M25" s="154"/>
      <c r="N25" s="154"/>
      <c r="O25" s="154"/>
      <c r="P25" s="134"/>
      <c r="Q25" s="134"/>
      <c r="R25" s="134"/>
      <c r="S25" s="134"/>
    </row>
    <row r="26" spans="1:26">
      <c r="A26" s="129"/>
      <c r="B26" s="129"/>
      <c r="K26" s="154"/>
      <c r="L26" s="154"/>
      <c r="M26" s="154"/>
      <c r="N26" s="154"/>
      <c r="O26" s="154"/>
      <c r="P26" s="134"/>
      <c r="Q26" s="134"/>
      <c r="R26" s="134"/>
      <c r="S26" s="134"/>
    </row>
    <row r="27" spans="1:26">
      <c r="A27" s="129"/>
      <c r="B27" s="129"/>
      <c r="K27" s="154"/>
      <c r="L27" s="154"/>
      <c r="M27" s="154"/>
      <c r="N27" s="154"/>
      <c r="O27" s="154"/>
      <c r="P27" s="134"/>
      <c r="Q27" s="134"/>
      <c r="R27" s="134"/>
      <c r="S27" s="134"/>
    </row>
    <row r="28" spans="1:26">
      <c r="A28" s="129"/>
      <c r="B28" s="129"/>
    </row>
    <row r="29" spans="1:26">
      <c r="A29" s="129"/>
      <c r="B29" s="129"/>
    </row>
    <row r="30" spans="1:26">
      <c r="A30" s="129"/>
      <c r="B30" s="129"/>
    </row>
    <row r="31" spans="1:26">
      <c r="A31" s="129"/>
      <c r="B31" s="129"/>
    </row>
    <row r="32" spans="1:26">
      <c r="A32" s="129"/>
      <c r="B32" s="129"/>
    </row>
    <row r="33" spans="1:2">
      <c r="A33" s="129"/>
      <c r="B33" s="129"/>
    </row>
    <row r="34" spans="1:2">
      <c r="A34" s="129"/>
      <c r="B34" s="129"/>
    </row>
    <row r="35" spans="1:2">
      <c r="A35" s="129"/>
      <c r="B35" s="129"/>
    </row>
    <row r="36" spans="1:2">
      <c r="A36" s="129"/>
      <c r="B36" s="129"/>
    </row>
    <row r="37" spans="1:2">
      <c r="A37" s="129"/>
      <c r="B37" s="129"/>
    </row>
    <row r="38" spans="1:2">
      <c r="A38" s="129"/>
      <c r="B38" s="129"/>
    </row>
    <row r="39" spans="1:2">
      <c r="A39" s="129"/>
      <c r="B39" s="129"/>
    </row>
    <row r="40" spans="1:2">
      <c r="A40" s="129"/>
      <c r="B40" s="129"/>
    </row>
    <row r="41" spans="1:2">
      <c r="A41" s="129"/>
      <c r="B41" s="129"/>
    </row>
    <row r="42" spans="1:2">
      <c r="A42" s="129"/>
      <c r="B42" s="129"/>
    </row>
    <row r="43" spans="1:2">
      <c r="A43" s="129"/>
      <c r="B43" s="129"/>
    </row>
  </sheetData>
  <mergeCells count="1">
    <mergeCell ref="E1:H1"/>
  </mergeCells>
  <hyperlinks>
    <hyperlink ref="E1:H1" location="Indice!D3" display="ÍNDICE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/>
  <dimension ref="A1:G29"/>
  <sheetViews>
    <sheetView showGridLines="0" workbookViewId="0">
      <selection activeCell="D30" sqref="D30"/>
    </sheetView>
  </sheetViews>
  <sheetFormatPr baseColWidth="10" defaultRowHeight="12.75"/>
  <cols>
    <col min="1" max="1" width="2.85546875" style="380" customWidth="1"/>
    <col min="2" max="2" width="12.5703125" style="162" customWidth="1"/>
    <col min="3" max="3" width="16.42578125" style="162" customWidth="1"/>
    <col min="4" max="4" width="30" style="162" customWidth="1"/>
    <col min="5" max="5" width="16.42578125" style="162" customWidth="1"/>
    <col min="6" max="6" width="30" style="162" bestFit="1" customWidth="1"/>
    <col min="7" max="7" width="52.140625" style="91" bestFit="1" customWidth="1"/>
    <col min="8" max="198" width="11.42578125" style="162"/>
    <col min="199" max="199" width="1.85546875" style="162" customWidth="1"/>
    <col min="200" max="200" width="3.28515625" style="162" customWidth="1"/>
    <col min="201" max="201" width="32.85546875" style="162" customWidth="1"/>
    <col min="202" max="204" width="21.140625" style="162" customWidth="1"/>
    <col min="205" max="205" width="2.5703125" style="162" customWidth="1"/>
    <col min="206" max="206" width="7.42578125" style="162" customWidth="1"/>
    <col min="207" max="209" width="0" style="162" hidden="1" customWidth="1"/>
    <col min="210" max="210" width="4.140625" style="162" customWidth="1"/>
    <col min="211" max="211" width="12.5703125" style="162" customWidth="1"/>
    <col min="212" max="212" width="8.28515625" style="162" customWidth="1"/>
    <col min="213" max="224" width="7.7109375" style="162" bestFit="1" customWidth="1"/>
    <col min="225" max="225" width="9.28515625" style="162" bestFit="1" customWidth="1"/>
    <col min="226" max="229" width="11.42578125" style="162" customWidth="1"/>
    <col min="230" max="230" width="15.28515625" style="162" customWidth="1"/>
    <col min="231" max="231" width="7.42578125" style="162" customWidth="1"/>
    <col min="232" max="232" width="21.5703125" style="162" customWidth="1"/>
    <col min="233" max="454" width="11.42578125" style="162"/>
    <col min="455" max="455" width="1.85546875" style="162" customWidth="1"/>
    <col min="456" max="456" width="3.28515625" style="162" customWidth="1"/>
    <col min="457" max="457" width="32.85546875" style="162" customWidth="1"/>
    <col min="458" max="460" width="21.140625" style="162" customWidth="1"/>
    <col min="461" max="461" width="2.5703125" style="162" customWidth="1"/>
    <col min="462" max="462" width="7.42578125" style="162" customWidth="1"/>
    <col min="463" max="465" width="0" style="162" hidden="1" customWidth="1"/>
    <col min="466" max="466" width="4.140625" style="162" customWidth="1"/>
    <col min="467" max="467" width="12.5703125" style="162" customWidth="1"/>
    <col min="468" max="468" width="8.28515625" style="162" customWidth="1"/>
    <col min="469" max="480" width="7.7109375" style="162" bestFit="1" customWidth="1"/>
    <col min="481" max="481" width="9.28515625" style="162" bestFit="1" customWidth="1"/>
    <col min="482" max="485" width="11.42578125" style="162" customWidth="1"/>
    <col min="486" max="486" width="15.28515625" style="162" customWidth="1"/>
    <col min="487" max="487" width="7.42578125" style="162" customWidth="1"/>
    <col min="488" max="488" width="21.5703125" style="162" customWidth="1"/>
    <col min="489" max="710" width="11.42578125" style="162"/>
    <col min="711" max="711" width="1.85546875" style="162" customWidth="1"/>
    <col min="712" max="712" width="3.28515625" style="162" customWidth="1"/>
    <col min="713" max="713" width="32.85546875" style="162" customWidth="1"/>
    <col min="714" max="716" width="21.140625" style="162" customWidth="1"/>
    <col min="717" max="717" width="2.5703125" style="162" customWidth="1"/>
    <col min="718" max="718" width="7.42578125" style="162" customWidth="1"/>
    <col min="719" max="721" width="0" style="162" hidden="1" customWidth="1"/>
    <col min="722" max="722" width="4.140625" style="162" customWidth="1"/>
    <col min="723" max="723" width="12.5703125" style="162" customWidth="1"/>
    <col min="724" max="724" width="8.28515625" style="162" customWidth="1"/>
    <col min="725" max="736" width="7.7109375" style="162" bestFit="1" customWidth="1"/>
    <col min="737" max="737" width="9.28515625" style="162" bestFit="1" customWidth="1"/>
    <col min="738" max="741" width="11.42578125" style="162" customWidth="1"/>
    <col min="742" max="742" width="15.28515625" style="162" customWidth="1"/>
    <col min="743" max="743" width="7.42578125" style="162" customWidth="1"/>
    <col min="744" max="744" width="21.5703125" style="162" customWidth="1"/>
    <col min="745" max="966" width="11.42578125" style="162"/>
    <col min="967" max="967" width="1.85546875" style="162" customWidth="1"/>
    <col min="968" max="968" width="3.28515625" style="162" customWidth="1"/>
    <col min="969" max="969" width="32.85546875" style="162" customWidth="1"/>
    <col min="970" max="972" width="21.140625" style="162" customWidth="1"/>
    <col min="973" max="973" width="2.5703125" style="162" customWidth="1"/>
    <col min="974" max="974" width="7.42578125" style="162" customWidth="1"/>
    <col min="975" max="977" width="0" style="162" hidden="1" customWidth="1"/>
    <col min="978" max="978" width="4.140625" style="162" customWidth="1"/>
    <col min="979" max="979" width="12.5703125" style="162" customWidth="1"/>
    <col min="980" max="980" width="8.28515625" style="162" customWidth="1"/>
    <col min="981" max="992" width="7.7109375" style="162" bestFit="1" customWidth="1"/>
    <col min="993" max="993" width="9.28515625" style="162" bestFit="1" customWidth="1"/>
    <col min="994" max="997" width="11.42578125" style="162" customWidth="1"/>
    <col min="998" max="998" width="15.28515625" style="162" customWidth="1"/>
    <col min="999" max="999" width="7.42578125" style="162" customWidth="1"/>
    <col min="1000" max="1000" width="21.5703125" style="162" customWidth="1"/>
    <col min="1001" max="1222" width="11.42578125" style="162"/>
    <col min="1223" max="1223" width="1.85546875" style="162" customWidth="1"/>
    <col min="1224" max="1224" width="3.28515625" style="162" customWidth="1"/>
    <col min="1225" max="1225" width="32.85546875" style="162" customWidth="1"/>
    <col min="1226" max="1228" width="21.140625" style="162" customWidth="1"/>
    <col min="1229" max="1229" width="2.5703125" style="162" customWidth="1"/>
    <col min="1230" max="1230" width="7.42578125" style="162" customWidth="1"/>
    <col min="1231" max="1233" width="0" style="162" hidden="1" customWidth="1"/>
    <col min="1234" max="1234" width="4.140625" style="162" customWidth="1"/>
    <col min="1235" max="1235" width="12.5703125" style="162" customWidth="1"/>
    <col min="1236" max="1236" width="8.28515625" style="162" customWidth="1"/>
    <col min="1237" max="1248" width="7.7109375" style="162" bestFit="1" customWidth="1"/>
    <col min="1249" max="1249" width="9.28515625" style="162" bestFit="1" customWidth="1"/>
    <col min="1250" max="1253" width="11.42578125" style="162" customWidth="1"/>
    <col min="1254" max="1254" width="15.28515625" style="162" customWidth="1"/>
    <col min="1255" max="1255" width="7.42578125" style="162" customWidth="1"/>
    <col min="1256" max="1256" width="21.5703125" style="162" customWidth="1"/>
    <col min="1257" max="1478" width="11.42578125" style="162"/>
    <col min="1479" max="1479" width="1.85546875" style="162" customWidth="1"/>
    <col min="1480" max="1480" width="3.28515625" style="162" customWidth="1"/>
    <col min="1481" max="1481" width="32.85546875" style="162" customWidth="1"/>
    <col min="1482" max="1484" width="21.140625" style="162" customWidth="1"/>
    <col min="1485" max="1485" width="2.5703125" style="162" customWidth="1"/>
    <col min="1486" max="1486" width="7.42578125" style="162" customWidth="1"/>
    <col min="1487" max="1489" width="0" style="162" hidden="1" customWidth="1"/>
    <col min="1490" max="1490" width="4.140625" style="162" customWidth="1"/>
    <col min="1491" max="1491" width="12.5703125" style="162" customWidth="1"/>
    <col min="1492" max="1492" width="8.28515625" style="162" customWidth="1"/>
    <col min="1493" max="1504" width="7.7109375" style="162" bestFit="1" customWidth="1"/>
    <col min="1505" max="1505" width="9.28515625" style="162" bestFit="1" customWidth="1"/>
    <col min="1506" max="1509" width="11.42578125" style="162" customWidth="1"/>
    <col min="1510" max="1510" width="15.28515625" style="162" customWidth="1"/>
    <col min="1511" max="1511" width="7.42578125" style="162" customWidth="1"/>
    <col min="1512" max="1512" width="21.5703125" style="162" customWidth="1"/>
    <col min="1513" max="1734" width="11.42578125" style="162"/>
    <col min="1735" max="1735" width="1.85546875" style="162" customWidth="1"/>
    <col min="1736" max="1736" width="3.28515625" style="162" customWidth="1"/>
    <col min="1737" max="1737" width="32.85546875" style="162" customWidth="1"/>
    <col min="1738" max="1740" width="21.140625" style="162" customWidth="1"/>
    <col min="1741" max="1741" width="2.5703125" style="162" customWidth="1"/>
    <col min="1742" max="1742" width="7.42578125" style="162" customWidth="1"/>
    <col min="1743" max="1745" width="0" style="162" hidden="1" customWidth="1"/>
    <col min="1746" max="1746" width="4.140625" style="162" customWidth="1"/>
    <col min="1747" max="1747" width="12.5703125" style="162" customWidth="1"/>
    <col min="1748" max="1748" width="8.28515625" style="162" customWidth="1"/>
    <col min="1749" max="1760" width="7.7109375" style="162" bestFit="1" customWidth="1"/>
    <col min="1761" max="1761" width="9.28515625" style="162" bestFit="1" customWidth="1"/>
    <col min="1762" max="1765" width="11.42578125" style="162" customWidth="1"/>
    <col min="1766" max="1766" width="15.28515625" style="162" customWidth="1"/>
    <col min="1767" max="1767" width="7.42578125" style="162" customWidth="1"/>
    <col min="1768" max="1768" width="21.5703125" style="162" customWidth="1"/>
    <col min="1769" max="1990" width="11.42578125" style="162"/>
    <col min="1991" max="1991" width="1.85546875" style="162" customWidth="1"/>
    <col min="1992" max="1992" width="3.28515625" style="162" customWidth="1"/>
    <col min="1993" max="1993" width="32.85546875" style="162" customWidth="1"/>
    <col min="1994" max="1996" width="21.140625" style="162" customWidth="1"/>
    <col min="1997" max="1997" width="2.5703125" style="162" customWidth="1"/>
    <col min="1998" max="1998" width="7.42578125" style="162" customWidth="1"/>
    <col min="1999" max="2001" width="0" style="162" hidden="1" customWidth="1"/>
    <col min="2002" max="2002" width="4.140625" style="162" customWidth="1"/>
    <col min="2003" max="2003" width="12.5703125" style="162" customWidth="1"/>
    <col min="2004" max="2004" width="8.28515625" style="162" customWidth="1"/>
    <col min="2005" max="2016" width="7.7109375" style="162" bestFit="1" customWidth="1"/>
    <col min="2017" max="2017" width="9.28515625" style="162" bestFit="1" customWidth="1"/>
    <col min="2018" max="2021" width="11.42578125" style="162" customWidth="1"/>
    <col min="2022" max="2022" width="15.28515625" style="162" customWidth="1"/>
    <col min="2023" max="2023" width="7.42578125" style="162" customWidth="1"/>
    <col min="2024" max="2024" width="21.5703125" style="162" customWidth="1"/>
    <col min="2025" max="2246" width="11.42578125" style="162"/>
    <col min="2247" max="2247" width="1.85546875" style="162" customWidth="1"/>
    <col min="2248" max="2248" width="3.28515625" style="162" customWidth="1"/>
    <col min="2249" max="2249" width="32.85546875" style="162" customWidth="1"/>
    <col min="2250" max="2252" width="21.140625" style="162" customWidth="1"/>
    <col min="2253" max="2253" width="2.5703125" style="162" customWidth="1"/>
    <col min="2254" max="2254" width="7.42578125" style="162" customWidth="1"/>
    <col min="2255" max="2257" width="0" style="162" hidden="1" customWidth="1"/>
    <col min="2258" max="2258" width="4.140625" style="162" customWidth="1"/>
    <col min="2259" max="2259" width="12.5703125" style="162" customWidth="1"/>
    <col min="2260" max="2260" width="8.28515625" style="162" customWidth="1"/>
    <col min="2261" max="2272" width="7.7109375" style="162" bestFit="1" customWidth="1"/>
    <col min="2273" max="2273" width="9.28515625" style="162" bestFit="1" customWidth="1"/>
    <col min="2274" max="2277" width="11.42578125" style="162" customWidth="1"/>
    <col min="2278" max="2278" width="15.28515625" style="162" customWidth="1"/>
    <col min="2279" max="2279" width="7.42578125" style="162" customWidth="1"/>
    <col min="2280" max="2280" width="21.5703125" style="162" customWidth="1"/>
    <col min="2281" max="2502" width="11.42578125" style="162"/>
    <col min="2503" max="2503" width="1.85546875" style="162" customWidth="1"/>
    <col min="2504" max="2504" width="3.28515625" style="162" customWidth="1"/>
    <col min="2505" max="2505" width="32.85546875" style="162" customWidth="1"/>
    <col min="2506" max="2508" width="21.140625" style="162" customWidth="1"/>
    <col min="2509" max="2509" width="2.5703125" style="162" customWidth="1"/>
    <col min="2510" max="2510" width="7.42578125" style="162" customWidth="1"/>
    <col min="2511" max="2513" width="0" style="162" hidden="1" customWidth="1"/>
    <col min="2514" max="2514" width="4.140625" style="162" customWidth="1"/>
    <col min="2515" max="2515" width="12.5703125" style="162" customWidth="1"/>
    <col min="2516" max="2516" width="8.28515625" style="162" customWidth="1"/>
    <col min="2517" max="2528" width="7.7109375" style="162" bestFit="1" customWidth="1"/>
    <col min="2529" max="2529" width="9.28515625" style="162" bestFit="1" customWidth="1"/>
    <col min="2530" max="2533" width="11.42578125" style="162" customWidth="1"/>
    <col min="2534" max="2534" width="15.28515625" style="162" customWidth="1"/>
    <col min="2535" max="2535" width="7.42578125" style="162" customWidth="1"/>
    <col min="2536" max="2536" width="21.5703125" style="162" customWidth="1"/>
    <col min="2537" max="2758" width="11.42578125" style="162"/>
    <col min="2759" max="2759" width="1.85546875" style="162" customWidth="1"/>
    <col min="2760" max="2760" width="3.28515625" style="162" customWidth="1"/>
    <col min="2761" max="2761" width="32.85546875" style="162" customWidth="1"/>
    <col min="2762" max="2764" width="21.140625" style="162" customWidth="1"/>
    <col min="2765" max="2765" width="2.5703125" style="162" customWidth="1"/>
    <col min="2766" max="2766" width="7.42578125" style="162" customWidth="1"/>
    <col min="2767" max="2769" width="0" style="162" hidden="1" customWidth="1"/>
    <col min="2770" max="2770" width="4.140625" style="162" customWidth="1"/>
    <col min="2771" max="2771" width="12.5703125" style="162" customWidth="1"/>
    <col min="2772" max="2772" width="8.28515625" style="162" customWidth="1"/>
    <col min="2773" max="2784" width="7.7109375" style="162" bestFit="1" customWidth="1"/>
    <col min="2785" max="2785" width="9.28515625" style="162" bestFit="1" customWidth="1"/>
    <col min="2786" max="2789" width="11.42578125" style="162" customWidth="1"/>
    <col min="2790" max="2790" width="15.28515625" style="162" customWidth="1"/>
    <col min="2791" max="2791" width="7.42578125" style="162" customWidth="1"/>
    <col min="2792" max="2792" width="21.5703125" style="162" customWidth="1"/>
    <col min="2793" max="3014" width="11.42578125" style="162"/>
    <col min="3015" max="3015" width="1.85546875" style="162" customWidth="1"/>
    <col min="3016" max="3016" width="3.28515625" style="162" customWidth="1"/>
    <col min="3017" max="3017" width="32.85546875" style="162" customWidth="1"/>
    <col min="3018" max="3020" width="21.140625" style="162" customWidth="1"/>
    <col min="3021" max="3021" width="2.5703125" style="162" customWidth="1"/>
    <col min="3022" max="3022" width="7.42578125" style="162" customWidth="1"/>
    <col min="3023" max="3025" width="0" style="162" hidden="1" customWidth="1"/>
    <col min="3026" max="3026" width="4.140625" style="162" customWidth="1"/>
    <col min="3027" max="3027" width="12.5703125" style="162" customWidth="1"/>
    <col min="3028" max="3028" width="8.28515625" style="162" customWidth="1"/>
    <col min="3029" max="3040" width="7.7109375" style="162" bestFit="1" customWidth="1"/>
    <col min="3041" max="3041" width="9.28515625" style="162" bestFit="1" customWidth="1"/>
    <col min="3042" max="3045" width="11.42578125" style="162" customWidth="1"/>
    <col min="3046" max="3046" width="15.28515625" style="162" customWidth="1"/>
    <col min="3047" max="3047" width="7.42578125" style="162" customWidth="1"/>
    <col min="3048" max="3048" width="21.5703125" style="162" customWidth="1"/>
    <col min="3049" max="3270" width="11.42578125" style="162"/>
    <col min="3271" max="3271" width="1.85546875" style="162" customWidth="1"/>
    <col min="3272" max="3272" width="3.28515625" style="162" customWidth="1"/>
    <col min="3273" max="3273" width="32.85546875" style="162" customWidth="1"/>
    <col min="3274" max="3276" width="21.140625" style="162" customWidth="1"/>
    <col min="3277" max="3277" width="2.5703125" style="162" customWidth="1"/>
    <col min="3278" max="3278" width="7.42578125" style="162" customWidth="1"/>
    <col min="3279" max="3281" width="0" style="162" hidden="1" customWidth="1"/>
    <col min="3282" max="3282" width="4.140625" style="162" customWidth="1"/>
    <col min="3283" max="3283" width="12.5703125" style="162" customWidth="1"/>
    <col min="3284" max="3284" width="8.28515625" style="162" customWidth="1"/>
    <col min="3285" max="3296" width="7.7109375" style="162" bestFit="1" customWidth="1"/>
    <col min="3297" max="3297" width="9.28515625" style="162" bestFit="1" customWidth="1"/>
    <col min="3298" max="3301" width="11.42578125" style="162" customWidth="1"/>
    <col min="3302" max="3302" width="15.28515625" style="162" customWidth="1"/>
    <col min="3303" max="3303" width="7.42578125" style="162" customWidth="1"/>
    <col min="3304" max="3304" width="21.5703125" style="162" customWidth="1"/>
    <col min="3305" max="3526" width="11.42578125" style="162"/>
    <col min="3527" max="3527" width="1.85546875" style="162" customWidth="1"/>
    <col min="3528" max="3528" width="3.28515625" style="162" customWidth="1"/>
    <col min="3529" max="3529" width="32.85546875" style="162" customWidth="1"/>
    <col min="3530" max="3532" width="21.140625" style="162" customWidth="1"/>
    <col min="3533" max="3533" width="2.5703125" style="162" customWidth="1"/>
    <col min="3534" max="3534" width="7.42578125" style="162" customWidth="1"/>
    <col min="3535" max="3537" width="0" style="162" hidden="1" customWidth="1"/>
    <col min="3538" max="3538" width="4.140625" style="162" customWidth="1"/>
    <col min="3539" max="3539" width="12.5703125" style="162" customWidth="1"/>
    <col min="3540" max="3540" width="8.28515625" style="162" customWidth="1"/>
    <col min="3541" max="3552" width="7.7109375" style="162" bestFit="1" customWidth="1"/>
    <col min="3553" max="3553" width="9.28515625" style="162" bestFit="1" customWidth="1"/>
    <col min="3554" max="3557" width="11.42578125" style="162" customWidth="1"/>
    <col min="3558" max="3558" width="15.28515625" style="162" customWidth="1"/>
    <col min="3559" max="3559" width="7.42578125" style="162" customWidth="1"/>
    <col min="3560" max="3560" width="21.5703125" style="162" customWidth="1"/>
    <col min="3561" max="3782" width="11.42578125" style="162"/>
    <col min="3783" max="3783" width="1.85546875" style="162" customWidth="1"/>
    <col min="3784" max="3784" width="3.28515625" style="162" customWidth="1"/>
    <col min="3785" max="3785" width="32.85546875" style="162" customWidth="1"/>
    <col min="3786" max="3788" width="21.140625" style="162" customWidth="1"/>
    <col min="3789" max="3789" width="2.5703125" style="162" customWidth="1"/>
    <col min="3790" max="3790" width="7.42578125" style="162" customWidth="1"/>
    <col min="3791" max="3793" width="0" style="162" hidden="1" customWidth="1"/>
    <col min="3794" max="3794" width="4.140625" style="162" customWidth="1"/>
    <col min="3795" max="3795" width="12.5703125" style="162" customWidth="1"/>
    <col min="3796" max="3796" width="8.28515625" style="162" customWidth="1"/>
    <col min="3797" max="3808" width="7.7109375" style="162" bestFit="1" customWidth="1"/>
    <col min="3809" max="3809" width="9.28515625" style="162" bestFit="1" customWidth="1"/>
    <col min="3810" max="3813" width="11.42578125" style="162" customWidth="1"/>
    <col min="3814" max="3814" width="15.28515625" style="162" customWidth="1"/>
    <col min="3815" max="3815" width="7.42578125" style="162" customWidth="1"/>
    <col min="3816" max="3816" width="21.5703125" style="162" customWidth="1"/>
    <col min="3817" max="4038" width="11.42578125" style="162"/>
    <col min="4039" max="4039" width="1.85546875" style="162" customWidth="1"/>
    <col min="4040" max="4040" width="3.28515625" style="162" customWidth="1"/>
    <col min="4041" max="4041" width="32.85546875" style="162" customWidth="1"/>
    <col min="4042" max="4044" width="21.140625" style="162" customWidth="1"/>
    <col min="4045" max="4045" width="2.5703125" style="162" customWidth="1"/>
    <col min="4046" max="4046" width="7.42578125" style="162" customWidth="1"/>
    <col min="4047" max="4049" width="0" style="162" hidden="1" customWidth="1"/>
    <col min="4050" max="4050" width="4.140625" style="162" customWidth="1"/>
    <col min="4051" max="4051" width="12.5703125" style="162" customWidth="1"/>
    <col min="4052" max="4052" width="8.28515625" style="162" customWidth="1"/>
    <col min="4053" max="4064" width="7.7109375" style="162" bestFit="1" customWidth="1"/>
    <col min="4065" max="4065" width="9.28515625" style="162" bestFit="1" customWidth="1"/>
    <col min="4066" max="4069" width="11.42578125" style="162" customWidth="1"/>
    <col min="4070" max="4070" width="15.28515625" style="162" customWidth="1"/>
    <col min="4071" max="4071" width="7.42578125" style="162" customWidth="1"/>
    <col min="4072" max="4072" width="21.5703125" style="162" customWidth="1"/>
    <col min="4073" max="4294" width="11.42578125" style="162"/>
    <col min="4295" max="4295" width="1.85546875" style="162" customWidth="1"/>
    <col min="4296" max="4296" width="3.28515625" style="162" customWidth="1"/>
    <col min="4297" max="4297" width="32.85546875" style="162" customWidth="1"/>
    <col min="4298" max="4300" width="21.140625" style="162" customWidth="1"/>
    <col min="4301" max="4301" width="2.5703125" style="162" customWidth="1"/>
    <col min="4302" max="4302" width="7.42578125" style="162" customWidth="1"/>
    <col min="4303" max="4305" width="0" style="162" hidden="1" customWidth="1"/>
    <col min="4306" max="4306" width="4.140625" style="162" customWidth="1"/>
    <col min="4307" max="4307" width="12.5703125" style="162" customWidth="1"/>
    <col min="4308" max="4308" width="8.28515625" style="162" customWidth="1"/>
    <col min="4309" max="4320" width="7.7109375" style="162" bestFit="1" customWidth="1"/>
    <col min="4321" max="4321" width="9.28515625" style="162" bestFit="1" customWidth="1"/>
    <col min="4322" max="4325" width="11.42578125" style="162" customWidth="1"/>
    <col min="4326" max="4326" width="15.28515625" style="162" customWidth="1"/>
    <col min="4327" max="4327" width="7.42578125" style="162" customWidth="1"/>
    <col min="4328" max="4328" width="21.5703125" style="162" customWidth="1"/>
    <col min="4329" max="4550" width="11.42578125" style="162"/>
    <col min="4551" max="4551" width="1.85546875" style="162" customWidth="1"/>
    <col min="4552" max="4552" width="3.28515625" style="162" customWidth="1"/>
    <col min="4553" max="4553" width="32.85546875" style="162" customWidth="1"/>
    <col min="4554" max="4556" width="21.140625" style="162" customWidth="1"/>
    <col min="4557" max="4557" width="2.5703125" style="162" customWidth="1"/>
    <col min="4558" max="4558" width="7.42578125" style="162" customWidth="1"/>
    <col min="4559" max="4561" width="0" style="162" hidden="1" customWidth="1"/>
    <col min="4562" max="4562" width="4.140625" style="162" customWidth="1"/>
    <col min="4563" max="4563" width="12.5703125" style="162" customWidth="1"/>
    <col min="4564" max="4564" width="8.28515625" style="162" customWidth="1"/>
    <col min="4565" max="4576" width="7.7109375" style="162" bestFit="1" customWidth="1"/>
    <col min="4577" max="4577" width="9.28515625" style="162" bestFit="1" customWidth="1"/>
    <col min="4578" max="4581" width="11.42578125" style="162" customWidth="1"/>
    <col min="4582" max="4582" width="15.28515625" style="162" customWidth="1"/>
    <col min="4583" max="4583" width="7.42578125" style="162" customWidth="1"/>
    <col min="4584" max="4584" width="21.5703125" style="162" customWidth="1"/>
    <col min="4585" max="4806" width="11.42578125" style="162"/>
    <col min="4807" max="4807" width="1.85546875" style="162" customWidth="1"/>
    <col min="4808" max="4808" width="3.28515625" style="162" customWidth="1"/>
    <col min="4809" max="4809" width="32.85546875" style="162" customWidth="1"/>
    <col min="4810" max="4812" width="21.140625" style="162" customWidth="1"/>
    <col min="4813" max="4813" width="2.5703125" style="162" customWidth="1"/>
    <col min="4814" max="4814" width="7.42578125" style="162" customWidth="1"/>
    <col min="4815" max="4817" width="0" style="162" hidden="1" customWidth="1"/>
    <col min="4818" max="4818" width="4.140625" style="162" customWidth="1"/>
    <col min="4819" max="4819" width="12.5703125" style="162" customWidth="1"/>
    <col min="4820" max="4820" width="8.28515625" style="162" customWidth="1"/>
    <col min="4821" max="4832" width="7.7109375" style="162" bestFit="1" customWidth="1"/>
    <col min="4833" max="4833" width="9.28515625" style="162" bestFit="1" customWidth="1"/>
    <col min="4834" max="4837" width="11.42578125" style="162" customWidth="1"/>
    <col min="4838" max="4838" width="15.28515625" style="162" customWidth="1"/>
    <col min="4839" max="4839" width="7.42578125" style="162" customWidth="1"/>
    <col min="4840" max="4840" width="21.5703125" style="162" customWidth="1"/>
    <col min="4841" max="5062" width="11.42578125" style="162"/>
    <col min="5063" max="5063" width="1.85546875" style="162" customWidth="1"/>
    <col min="5064" max="5064" width="3.28515625" style="162" customWidth="1"/>
    <col min="5065" max="5065" width="32.85546875" style="162" customWidth="1"/>
    <col min="5066" max="5068" width="21.140625" style="162" customWidth="1"/>
    <col min="5069" max="5069" width="2.5703125" style="162" customWidth="1"/>
    <col min="5070" max="5070" width="7.42578125" style="162" customWidth="1"/>
    <col min="5071" max="5073" width="0" style="162" hidden="1" customWidth="1"/>
    <col min="5074" max="5074" width="4.140625" style="162" customWidth="1"/>
    <col min="5075" max="5075" width="12.5703125" style="162" customWidth="1"/>
    <col min="5076" max="5076" width="8.28515625" style="162" customWidth="1"/>
    <col min="5077" max="5088" width="7.7109375" style="162" bestFit="1" customWidth="1"/>
    <col min="5089" max="5089" width="9.28515625" style="162" bestFit="1" customWidth="1"/>
    <col min="5090" max="5093" width="11.42578125" style="162" customWidth="1"/>
    <col min="5094" max="5094" width="15.28515625" style="162" customWidth="1"/>
    <col min="5095" max="5095" width="7.42578125" style="162" customWidth="1"/>
    <col min="5096" max="5096" width="21.5703125" style="162" customWidth="1"/>
    <col min="5097" max="5318" width="11.42578125" style="162"/>
    <col min="5319" max="5319" width="1.85546875" style="162" customWidth="1"/>
    <col min="5320" max="5320" width="3.28515625" style="162" customWidth="1"/>
    <col min="5321" max="5321" width="32.85546875" style="162" customWidth="1"/>
    <col min="5322" max="5324" width="21.140625" style="162" customWidth="1"/>
    <col min="5325" max="5325" width="2.5703125" style="162" customWidth="1"/>
    <col min="5326" max="5326" width="7.42578125" style="162" customWidth="1"/>
    <col min="5327" max="5329" width="0" style="162" hidden="1" customWidth="1"/>
    <col min="5330" max="5330" width="4.140625" style="162" customWidth="1"/>
    <col min="5331" max="5331" width="12.5703125" style="162" customWidth="1"/>
    <col min="5332" max="5332" width="8.28515625" style="162" customWidth="1"/>
    <col min="5333" max="5344" width="7.7109375" style="162" bestFit="1" customWidth="1"/>
    <col min="5345" max="5345" width="9.28515625" style="162" bestFit="1" customWidth="1"/>
    <col min="5346" max="5349" width="11.42578125" style="162" customWidth="1"/>
    <col min="5350" max="5350" width="15.28515625" style="162" customWidth="1"/>
    <col min="5351" max="5351" width="7.42578125" style="162" customWidth="1"/>
    <col min="5352" max="5352" width="21.5703125" style="162" customWidth="1"/>
    <col min="5353" max="5574" width="11.42578125" style="162"/>
    <col min="5575" max="5575" width="1.85546875" style="162" customWidth="1"/>
    <col min="5576" max="5576" width="3.28515625" style="162" customWidth="1"/>
    <col min="5577" max="5577" width="32.85546875" style="162" customWidth="1"/>
    <col min="5578" max="5580" width="21.140625" style="162" customWidth="1"/>
    <col min="5581" max="5581" width="2.5703125" style="162" customWidth="1"/>
    <col min="5582" max="5582" width="7.42578125" style="162" customWidth="1"/>
    <col min="5583" max="5585" width="0" style="162" hidden="1" customWidth="1"/>
    <col min="5586" max="5586" width="4.140625" style="162" customWidth="1"/>
    <col min="5587" max="5587" width="12.5703125" style="162" customWidth="1"/>
    <col min="5588" max="5588" width="8.28515625" style="162" customWidth="1"/>
    <col min="5589" max="5600" width="7.7109375" style="162" bestFit="1" customWidth="1"/>
    <col min="5601" max="5601" width="9.28515625" style="162" bestFit="1" customWidth="1"/>
    <col min="5602" max="5605" width="11.42578125" style="162" customWidth="1"/>
    <col min="5606" max="5606" width="15.28515625" style="162" customWidth="1"/>
    <col min="5607" max="5607" width="7.42578125" style="162" customWidth="1"/>
    <col min="5608" max="5608" width="21.5703125" style="162" customWidth="1"/>
    <col min="5609" max="5830" width="11.42578125" style="162"/>
    <col min="5831" max="5831" width="1.85546875" style="162" customWidth="1"/>
    <col min="5832" max="5832" width="3.28515625" style="162" customWidth="1"/>
    <col min="5833" max="5833" width="32.85546875" style="162" customWidth="1"/>
    <col min="5834" max="5836" width="21.140625" style="162" customWidth="1"/>
    <col min="5837" max="5837" width="2.5703125" style="162" customWidth="1"/>
    <col min="5838" max="5838" width="7.42578125" style="162" customWidth="1"/>
    <col min="5839" max="5841" width="0" style="162" hidden="1" customWidth="1"/>
    <col min="5842" max="5842" width="4.140625" style="162" customWidth="1"/>
    <col min="5843" max="5843" width="12.5703125" style="162" customWidth="1"/>
    <col min="5844" max="5844" width="8.28515625" style="162" customWidth="1"/>
    <col min="5845" max="5856" width="7.7109375" style="162" bestFit="1" customWidth="1"/>
    <col min="5857" max="5857" width="9.28515625" style="162" bestFit="1" customWidth="1"/>
    <col min="5858" max="5861" width="11.42578125" style="162" customWidth="1"/>
    <col min="5862" max="5862" width="15.28515625" style="162" customWidth="1"/>
    <col min="5863" max="5863" width="7.42578125" style="162" customWidth="1"/>
    <col min="5864" max="5864" width="21.5703125" style="162" customWidth="1"/>
    <col min="5865" max="6086" width="11.42578125" style="162"/>
    <col min="6087" max="6087" width="1.85546875" style="162" customWidth="1"/>
    <col min="6088" max="6088" width="3.28515625" style="162" customWidth="1"/>
    <col min="6089" max="6089" width="32.85546875" style="162" customWidth="1"/>
    <col min="6090" max="6092" width="21.140625" style="162" customWidth="1"/>
    <col min="6093" max="6093" width="2.5703125" style="162" customWidth="1"/>
    <col min="6094" max="6094" width="7.42578125" style="162" customWidth="1"/>
    <col min="6095" max="6097" width="0" style="162" hidden="1" customWidth="1"/>
    <col min="6098" max="6098" width="4.140625" style="162" customWidth="1"/>
    <col min="6099" max="6099" width="12.5703125" style="162" customWidth="1"/>
    <col min="6100" max="6100" width="8.28515625" style="162" customWidth="1"/>
    <col min="6101" max="6112" width="7.7109375" style="162" bestFit="1" customWidth="1"/>
    <col min="6113" max="6113" width="9.28515625" style="162" bestFit="1" customWidth="1"/>
    <col min="6114" max="6117" width="11.42578125" style="162" customWidth="1"/>
    <col min="6118" max="6118" width="15.28515625" style="162" customWidth="1"/>
    <col min="6119" max="6119" width="7.42578125" style="162" customWidth="1"/>
    <col min="6120" max="6120" width="21.5703125" style="162" customWidth="1"/>
    <col min="6121" max="6342" width="11.42578125" style="162"/>
    <col min="6343" max="6343" width="1.85546875" style="162" customWidth="1"/>
    <col min="6344" max="6344" width="3.28515625" style="162" customWidth="1"/>
    <col min="6345" max="6345" width="32.85546875" style="162" customWidth="1"/>
    <col min="6346" max="6348" width="21.140625" style="162" customWidth="1"/>
    <col min="6349" max="6349" width="2.5703125" style="162" customWidth="1"/>
    <col min="6350" max="6350" width="7.42578125" style="162" customWidth="1"/>
    <col min="6351" max="6353" width="0" style="162" hidden="1" customWidth="1"/>
    <col min="6354" max="6354" width="4.140625" style="162" customWidth="1"/>
    <col min="6355" max="6355" width="12.5703125" style="162" customWidth="1"/>
    <col min="6356" max="6356" width="8.28515625" style="162" customWidth="1"/>
    <col min="6357" max="6368" width="7.7109375" style="162" bestFit="1" customWidth="1"/>
    <col min="6369" max="6369" width="9.28515625" style="162" bestFit="1" customWidth="1"/>
    <col min="6370" max="6373" width="11.42578125" style="162" customWidth="1"/>
    <col min="6374" max="6374" width="15.28515625" style="162" customWidth="1"/>
    <col min="6375" max="6375" width="7.42578125" style="162" customWidth="1"/>
    <col min="6376" max="6376" width="21.5703125" style="162" customWidth="1"/>
    <col min="6377" max="6598" width="11.42578125" style="162"/>
    <col min="6599" max="6599" width="1.85546875" style="162" customWidth="1"/>
    <col min="6600" max="6600" width="3.28515625" style="162" customWidth="1"/>
    <col min="6601" max="6601" width="32.85546875" style="162" customWidth="1"/>
    <col min="6602" max="6604" width="21.140625" style="162" customWidth="1"/>
    <col min="6605" max="6605" width="2.5703125" style="162" customWidth="1"/>
    <col min="6606" max="6606" width="7.42578125" style="162" customWidth="1"/>
    <col min="6607" max="6609" width="0" style="162" hidden="1" customWidth="1"/>
    <col min="6610" max="6610" width="4.140625" style="162" customWidth="1"/>
    <col min="6611" max="6611" width="12.5703125" style="162" customWidth="1"/>
    <col min="6612" max="6612" width="8.28515625" style="162" customWidth="1"/>
    <col min="6613" max="6624" width="7.7109375" style="162" bestFit="1" customWidth="1"/>
    <col min="6625" max="6625" width="9.28515625" style="162" bestFit="1" customWidth="1"/>
    <col min="6626" max="6629" width="11.42578125" style="162" customWidth="1"/>
    <col min="6630" max="6630" width="15.28515625" style="162" customWidth="1"/>
    <col min="6631" max="6631" width="7.42578125" style="162" customWidth="1"/>
    <col min="6632" max="6632" width="21.5703125" style="162" customWidth="1"/>
    <col min="6633" max="6854" width="11.42578125" style="162"/>
    <col min="6855" max="6855" width="1.85546875" style="162" customWidth="1"/>
    <col min="6856" max="6856" width="3.28515625" style="162" customWidth="1"/>
    <col min="6857" max="6857" width="32.85546875" style="162" customWidth="1"/>
    <col min="6858" max="6860" width="21.140625" style="162" customWidth="1"/>
    <col min="6861" max="6861" width="2.5703125" style="162" customWidth="1"/>
    <col min="6862" max="6862" width="7.42578125" style="162" customWidth="1"/>
    <col min="6863" max="6865" width="0" style="162" hidden="1" customWidth="1"/>
    <col min="6866" max="6866" width="4.140625" style="162" customWidth="1"/>
    <col min="6867" max="6867" width="12.5703125" style="162" customWidth="1"/>
    <col min="6868" max="6868" width="8.28515625" style="162" customWidth="1"/>
    <col min="6869" max="6880" width="7.7109375" style="162" bestFit="1" customWidth="1"/>
    <col min="6881" max="6881" width="9.28515625" style="162" bestFit="1" customWidth="1"/>
    <col min="6882" max="6885" width="11.42578125" style="162" customWidth="1"/>
    <col min="6886" max="6886" width="15.28515625" style="162" customWidth="1"/>
    <col min="6887" max="6887" width="7.42578125" style="162" customWidth="1"/>
    <col min="6888" max="6888" width="21.5703125" style="162" customWidth="1"/>
    <col min="6889" max="7110" width="11.42578125" style="162"/>
    <col min="7111" max="7111" width="1.85546875" style="162" customWidth="1"/>
    <col min="7112" max="7112" width="3.28515625" style="162" customWidth="1"/>
    <col min="7113" max="7113" width="32.85546875" style="162" customWidth="1"/>
    <col min="7114" max="7116" width="21.140625" style="162" customWidth="1"/>
    <col min="7117" max="7117" width="2.5703125" style="162" customWidth="1"/>
    <col min="7118" max="7118" width="7.42578125" style="162" customWidth="1"/>
    <col min="7119" max="7121" width="0" style="162" hidden="1" customWidth="1"/>
    <col min="7122" max="7122" width="4.140625" style="162" customWidth="1"/>
    <col min="7123" max="7123" width="12.5703125" style="162" customWidth="1"/>
    <col min="7124" max="7124" width="8.28515625" style="162" customWidth="1"/>
    <col min="7125" max="7136" width="7.7109375" style="162" bestFit="1" customWidth="1"/>
    <col min="7137" max="7137" width="9.28515625" style="162" bestFit="1" customWidth="1"/>
    <col min="7138" max="7141" width="11.42578125" style="162" customWidth="1"/>
    <col min="7142" max="7142" width="15.28515625" style="162" customWidth="1"/>
    <col min="7143" max="7143" width="7.42578125" style="162" customWidth="1"/>
    <col min="7144" max="7144" width="21.5703125" style="162" customWidth="1"/>
    <col min="7145" max="7366" width="11.42578125" style="162"/>
    <col min="7367" max="7367" width="1.85546875" style="162" customWidth="1"/>
    <col min="7368" max="7368" width="3.28515625" style="162" customWidth="1"/>
    <col min="7369" max="7369" width="32.85546875" style="162" customWidth="1"/>
    <col min="7370" max="7372" width="21.140625" style="162" customWidth="1"/>
    <col min="7373" max="7373" width="2.5703125" style="162" customWidth="1"/>
    <col min="7374" max="7374" width="7.42578125" style="162" customWidth="1"/>
    <col min="7375" max="7377" width="0" style="162" hidden="1" customWidth="1"/>
    <col min="7378" max="7378" width="4.140625" style="162" customWidth="1"/>
    <col min="7379" max="7379" width="12.5703125" style="162" customWidth="1"/>
    <col min="7380" max="7380" width="8.28515625" style="162" customWidth="1"/>
    <col min="7381" max="7392" width="7.7109375" style="162" bestFit="1" customWidth="1"/>
    <col min="7393" max="7393" width="9.28515625" style="162" bestFit="1" customWidth="1"/>
    <col min="7394" max="7397" width="11.42578125" style="162" customWidth="1"/>
    <col min="7398" max="7398" width="15.28515625" style="162" customWidth="1"/>
    <col min="7399" max="7399" width="7.42578125" style="162" customWidth="1"/>
    <col min="7400" max="7400" width="21.5703125" style="162" customWidth="1"/>
    <col min="7401" max="7622" width="11.42578125" style="162"/>
    <col min="7623" max="7623" width="1.85546875" style="162" customWidth="1"/>
    <col min="7624" max="7624" width="3.28515625" style="162" customWidth="1"/>
    <col min="7625" max="7625" width="32.85546875" style="162" customWidth="1"/>
    <col min="7626" max="7628" width="21.140625" style="162" customWidth="1"/>
    <col min="7629" max="7629" width="2.5703125" style="162" customWidth="1"/>
    <col min="7630" max="7630" width="7.42578125" style="162" customWidth="1"/>
    <col min="7631" max="7633" width="0" style="162" hidden="1" customWidth="1"/>
    <col min="7634" max="7634" width="4.140625" style="162" customWidth="1"/>
    <col min="7635" max="7635" width="12.5703125" style="162" customWidth="1"/>
    <col min="7636" max="7636" width="8.28515625" style="162" customWidth="1"/>
    <col min="7637" max="7648" width="7.7109375" style="162" bestFit="1" customWidth="1"/>
    <col min="7649" max="7649" width="9.28515625" style="162" bestFit="1" customWidth="1"/>
    <col min="7650" max="7653" width="11.42578125" style="162" customWidth="1"/>
    <col min="7654" max="7654" width="15.28515625" style="162" customWidth="1"/>
    <col min="7655" max="7655" width="7.42578125" style="162" customWidth="1"/>
    <col min="7656" max="7656" width="21.5703125" style="162" customWidth="1"/>
    <col min="7657" max="7878" width="11.42578125" style="162"/>
    <col min="7879" max="7879" width="1.85546875" style="162" customWidth="1"/>
    <col min="7880" max="7880" width="3.28515625" style="162" customWidth="1"/>
    <col min="7881" max="7881" width="32.85546875" style="162" customWidth="1"/>
    <col min="7882" max="7884" width="21.140625" style="162" customWidth="1"/>
    <col min="7885" max="7885" width="2.5703125" style="162" customWidth="1"/>
    <col min="7886" max="7886" width="7.42578125" style="162" customWidth="1"/>
    <col min="7887" max="7889" width="0" style="162" hidden="1" customWidth="1"/>
    <col min="7890" max="7890" width="4.140625" style="162" customWidth="1"/>
    <col min="7891" max="7891" width="12.5703125" style="162" customWidth="1"/>
    <col min="7892" max="7892" width="8.28515625" style="162" customWidth="1"/>
    <col min="7893" max="7904" width="7.7109375" style="162" bestFit="1" customWidth="1"/>
    <col min="7905" max="7905" width="9.28515625" style="162" bestFit="1" customWidth="1"/>
    <col min="7906" max="7909" width="11.42578125" style="162" customWidth="1"/>
    <col min="7910" max="7910" width="15.28515625" style="162" customWidth="1"/>
    <col min="7911" max="7911" width="7.42578125" style="162" customWidth="1"/>
    <col min="7912" max="7912" width="21.5703125" style="162" customWidth="1"/>
    <col min="7913" max="8134" width="11.42578125" style="162"/>
    <col min="8135" max="8135" width="1.85546875" style="162" customWidth="1"/>
    <col min="8136" max="8136" width="3.28515625" style="162" customWidth="1"/>
    <col min="8137" max="8137" width="32.85546875" style="162" customWidth="1"/>
    <col min="8138" max="8140" width="21.140625" style="162" customWidth="1"/>
    <col min="8141" max="8141" width="2.5703125" style="162" customWidth="1"/>
    <col min="8142" max="8142" width="7.42578125" style="162" customWidth="1"/>
    <col min="8143" max="8145" width="0" style="162" hidden="1" customWidth="1"/>
    <col min="8146" max="8146" width="4.140625" style="162" customWidth="1"/>
    <col min="8147" max="8147" width="12.5703125" style="162" customWidth="1"/>
    <col min="8148" max="8148" width="8.28515625" style="162" customWidth="1"/>
    <col min="8149" max="8160" width="7.7109375" style="162" bestFit="1" customWidth="1"/>
    <col min="8161" max="8161" width="9.28515625" style="162" bestFit="1" customWidth="1"/>
    <col min="8162" max="8165" width="11.42578125" style="162" customWidth="1"/>
    <col min="8166" max="8166" width="15.28515625" style="162" customWidth="1"/>
    <col min="8167" max="8167" width="7.42578125" style="162" customWidth="1"/>
    <col min="8168" max="8168" width="21.5703125" style="162" customWidth="1"/>
    <col min="8169" max="8390" width="11.42578125" style="162"/>
    <col min="8391" max="8391" width="1.85546875" style="162" customWidth="1"/>
    <col min="8392" max="8392" width="3.28515625" style="162" customWidth="1"/>
    <col min="8393" max="8393" width="32.85546875" style="162" customWidth="1"/>
    <col min="8394" max="8396" width="21.140625" style="162" customWidth="1"/>
    <col min="8397" max="8397" width="2.5703125" style="162" customWidth="1"/>
    <col min="8398" max="8398" width="7.42578125" style="162" customWidth="1"/>
    <col min="8399" max="8401" width="0" style="162" hidden="1" customWidth="1"/>
    <col min="8402" max="8402" width="4.140625" style="162" customWidth="1"/>
    <col min="8403" max="8403" width="12.5703125" style="162" customWidth="1"/>
    <col min="8404" max="8404" width="8.28515625" style="162" customWidth="1"/>
    <col min="8405" max="8416" width="7.7109375" style="162" bestFit="1" customWidth="1"/>
    <col min="8417" max="8417" width="9.28515625" style="162" bestFit="1" customWidth="1"/>
    <col min="8418" max="8421" width="11.42578125" style="162" customWidth="1"/>
    <col min="8422" max="8422" width="15.28515625" style="162" customWidth="1"/>
    <col min="8423" max="8423" width="7.42578125" style="162" customWidth="1"/>
    <col min="8424" max="8424" width="21.5703125" style="162" customWidth="1"/>
    <col min="8425" max="8646" width="11.42578125" style="162"/>
    <col min="8647" max="8647" width="1.85546875" style="162" customWidth="1"/>
    <col min="8648" max="8648" width="3.28515625" style="162" customWidth="1"/>
    <col min="8649" max="8649" width="32.85546875" style="162" customWidth="1"/>
    <col min="8650" max="8652" width="21.140625" style="162" customWidth="1"/>
    <col min="8653" max="8653" width="2.5703125" style="162" customWidth="1"/>
    <col min="8654" max="8654" width="7.42578125" style="162" customWidth="1"/>
    <col min="8655" max="8657" width="0" style="162" hidden="1" customWidth="1"/>
    <col min="8658" max="8658" width="4.140625" style="162" customWidth="1"/>
    <col min="8659" max="8659" width="12.5703125" style="162" customWidth="1"/>
    <col min="8660" max="8660" width="8.28515625" style="162" customWidth="1"/>
    <col min="8661" max="8672" width="7.7109375" style="162" bestFit="1" customWidth="1"/>
    <col min="8673" max="8673" width="9.28515625" style="162" bestFit="1" customWidth="1"/>
    <col min="8674" max="8677" width="11.42578125" style="162" customWidth="1"/>
    <col min="8678" max="8678" width="15.28515625" style="162" customWidth="1"/>
    <col min="8679" max="8679" width="7.42578125" style="162" customWidth="1"/>
    <col min="8680" max="8680" width="21.5703125" style="162" customWidth="1"/>
    <col min="8681" max="8902" width="11.42578125" style="162"/>
    <col min="8903" max="8903" width="1.85546875" style="162" customWidth="1"/>
    <col min="8904" max="8904" width="3.28515625" style="162" customWidth="1"/>
    <col min="8905" max="8905" width="32.85546875" style="162" customWidth="1"/>
    <col min="8906" max="8908" width="21.140625" style="162" customWidth="1"/>
    <col min="8909" max="8909" width="2.5703125" style="162" customWidth="1"/>
    <col min="8910" max="8910" width="7.42578125" style="162" customWidth="1"/>
    <col min="8911" max="8913" width="0" style="162" hidden="1" customWidth="1"/>
    <col min="8914" max="8914" width="4.140625" style="162" customWidth="1"/>
    <col min="8915" max="8915" width="12.5703125" style="162" customWidth="1"/>
    <col min="8916" max="8916" width="8.28515625" style="162" customWidth="1"/>
    <col min="8917" max="8928" width="7.7109375" style="162" bestFit="1" customWidth="1"/>
    <col min="8929" max="8929" width="9.28515625" style="162" bestFit="1" customWidth="1"/>
    <col min="8930" max="8933" width="11.42578125" style="162" customWidth="1"/>
    <col min="8934" max="8934" width="15.28515625" style="162" customWidth="1"/>
    <col min="8935" max="8935" width="7.42578125" style="162" customWidth="1"/>
    <col min="8936" max="8936" width="21.5703125" style="162" customWidth="1"/>
    <col min="8937" max="9158" width="11.42578125" style="162"/>
    <col min="9159" max="9159" width="1.85546875" style="162" customWidth="1"/>
    <col min="9160" max="9160" width="3.28515625" style="162" customWidth="1"/>
    <col min="9161" max="9161" width="32.85546875" style="162" customWidth="1"/>
    <col min="9162" max="9164" width="21.140625" style="162" customWidth="1"/>
    <col min="9165" max="9165" width="2.5703125" style="162" customWidth="1"/>
    <col min="9166" max="9166" width="7.42578125" style="162" customWidth="1"/>
    <col min="9167" max="9169" width="0" style="162" hidden="1" customWidth="1"/>
    <col min="9170" max="9170" width="4.140625" style="162" customWidth="1"/>
    <col min="9171" max="9171" width="12.5703125" style="162" customWidth="1"/>
    <col min="9172" max="9172" width="8.28515625" style="162" customWidth="1"/>
    <col min="9173" max="9184" width="7.7109375" style="162" bestFit="1" customWidth="1"/>
    <col min="9185" max="9185" width="9.28515625" style="162" bestFit="1" customWidth="1"/>
    <col min="9186" max="9189" width="11.42578125" style="162" customWidth="1"/>
    <col min="9190" max="9190" width="15.28515625" style="162" customWidth="1"/>
    <col min="9191" max="9191" width="7.42578125" style="162" customWidth="1"/>
    <col min="9192" max="9192" width="21.5703125" style="162" customWidth="1"/>
    <col min="9193" max="9414" width="11.42578125" style="162"/>
    <col min="9415" max="9415" width="1.85546875" style="162" customWidth="1"/>
    <col min="9416" max="9416" width="3.28515625" style="162" customWidth="1"/>
    <col min="9417" max="9417" width="32.85546875" style="162" customWidth="1"/>
    <col min="9418" max="9420" width="21.140625" style="162" customWidth="1"/>
    <col min="9421" max="9421" width="2.5703125" style="162" customWidth="1"/>
    <col min="9422" max="9422" width="7.42578125" style="162" customWidth="1"/>
    <col min="9423" max="9425" width="0" style="162" hidden="1" customWidth="1"/>
    <col min="9426" max="9426" width="4.140625" style="162" customWidth="1"/>
    <col min="9427" max="9427" width="12.5703125" style="162" customWidth="1"/>
    <col min="9428" max="9428" width="8.28515625" style="162" customWidth="1"/>
    <col min="9429" max="9440" width="7.7109375" style="162" bestFit="1" customWidth="1"/>
    <col min="9441" max="9441" width="9.28515625" style="162" bestFit="1" customWidth="1"/>
    <col min="9442" max="9445" width="11.42578125" style="162" customWidth="1"/>
    <col min="9446" max="9446" width="15.28515625" style="162" customWidth="1"/>
    <col min="9447" max="9447" width="7.42578125" style="162" customWidth="1"/>
    <col min="9448" max="9448" width="21.5703125" style="162" customWidth="1"/>
    <col min="9449" max="9670" width="11.42578125" style="162"/>
    <col min="9671" max="9671" width="1.85546875" style="162" customWidth="1"/>
    <col min="9672" max="9672" width="3.28515625" style="162" customWidth="1"/>
    <col min="9673" max="9673" width="32.85546875" style="162" customWidth="1"/>
    <col min="9674" max="9676" width="21.140625" style="162" customWidth="1"/>
    <col min="9677" max="9677" width="2.5703125" style="162" customWidth="1"/>
    <col min="9678" max="9678" width="7.42578125" style="162" customWidth="1"/>
    <col min="9679" max="9681" width="0" style="162" hidden="1" customWidth="1"/>
    <col min="9682" max="9682" width="4.140625" style="162" customWidth="1"/>
    <col min="9683" max="9683" width="12.5703125" style="162" customWidth="1"/>
    <col min="9684" max="9684" width="8.28515625" style="162" customWidth="1"/>
    <col min="9685" max="9696" width="7.7109375" style="162" bestFit="1" customWidth="1"/>
    <col min="9697" max="9697" width="9.28515625" style="162" bestFit="1" customWidth="1"/>
    <col min="9698" max="9701" width="11.42578125" style="162" customWidth="1"/>
    <col min="9702" max="9702" width="15.28515625" style="162" customWidth="1"/>
    <col min="9703" max="9703" width="7.42578125" style="162" customWidth="1"/>
    <col min="9704" max="9704" width="21.5703125" style="162" customWidth="1"/>
    <col min="9705" max="9926" width="11.42578125" style="162"/>
    <col min="9927" max="9927" width="1.85546875" style="162" customWidth="1"/>
    <col min="9928" max="9928" width="3.28515625" style="162" customWidth="1"/>
    <col min="9929" max="9929" width="32.85546875" style="162" customWidth="1"/>
    <col min="9930" max="9932" width="21.140625" style="162" customWidth="1"/>
    <col min="9933" max="9933" width="2.5703125" style="162" customWidth="1"/>
    <col min="9934" max="9934" width="7.42578125" style="162" customWidth="1"/>
    <col min="9935" max="9937" width="0" style="162" hidden="1" customWidth="1"/>
    <col min="9938" max="9938" width="4.140625" style="162" customWidth="1"/>
    <col min="9939" max="9939" width="12.5703125" style="162" customWidth="1"/>
    <col min="9940" max="9940" width="8.28515625" style="162" customWidth="1"/>
    <col min="9941" max="9952" width="7.7109375" style="162" bestFit="1" customWidth="1"/>
    <col min="9953" max="9953" width="9.28515625" style="162" bestFit="1" customWidth="1"/>
    <col min="9954" max="9957" width="11.42578125" style="162" customWidth="1"/>
    <col min="9958" max="9958" width="15.28515625" style="162" customWidth="1"/>
    <col min="9959" max="9959" width="7.42578125" style="162" customWidth="1"/>
    <col min="9960" max="9960" width="21.5703125" style="162" customWidth="1"/>
    <col min="9961" max="10182" width="11.42578125" style="162"/>
    <col min="10183" max="10183" width="1.85546875" style="162" customWidth="1"/>
    <col min="10184" max="10184" width="3.28515625" style="162" customWidth="1"/>
    <col min="10185" max="10185" width="32.85546875" style="162" customWidth="1"/>
    <col min="10186" max="10188" width="21.140625" style="162" customWidth="1"/>
    <col min="10189" max="10189" width="2.5703125" style="162" customWidth="1"/>
    <col min="10190" max="10190" width="7.42578125" style="162" customWidth="1"/>
    <col min="10191" max="10193" width="0" style="162" hidden="1" customWidth="1"/>
    <col min="10194" max="10194" width="4.140625" style="162" customWidth="1"/>
    <col min="10195" max="10195" width="12.5703125" style="162" customWidth="1"/>
    <col min="10196" max="10196" width="8.28515625" style="162" customWidth="1"/>
    <col min="10197" max="10208" width="7.7109375" style="162" bestFit="1" customWidth="1"/>
    <col min="10209" max="10209" width="9.28515625" style="162" bestFit="1" customWidth="1"/>
    <col min="10210" max="10213" width="11.42578125" style="162" customWidth="1"/>
    <col min="10214" max="10214" width="15.28515625" style="162" customWidth="1"/>
    <col min="10215" max="10215" width="7.42578125" style="162" customWidth="1"/>
    <col min="10216" max="10216" width="21.5703125" style="162" customWidth="1"/>
    <col min="10217" max="10438" width="11.42578125" style="162"/>
    <col min="10439" max="10439" width="1.85546875" style="162" customWidth="1"/>
    <col min="10440" max="10440" width="3.28515625" style="162" customWidth="1"/>
    <col min="10441" max="10441" width="32.85546875" style="162" customWidth="1"/>
    <col min="10442" max="10444" width="21.140625" style="162" customWidth="1"/>
    <col min="10445" max="10445" width="2.5703125" style="162" customWidth="1"/>
    <col min="10446" max="10446" width="7.42578125" style="162" customWidth="1"/>
    <col min="10447" max="10449" width="0" style="162" hidden="1" customWidth="1"/>
    <col min="10450" max="10450" width="4.140625" style="162" customWidth="1"/>
    <col min="10451" max="10451" width="12.5703125" style="162" customWidth="1"/>
    <col min="10452" max="10452" width="8.28515625" style="162" customWidth="1"/>
    <col min="10453" max="10464" width="7.7109375" style="162" bestFit="1" customWidth="1"/>
    <col min="10465" max="10465" width="9.28515625" style="162" bestFit="1" customWidth="1"/>
    <col min="10466" max="10469" width="11.42578125" style="162" customWidth="1"/>
    <col min="10470" max="10470" width="15.28515625" style="162" customWidth="1"/>
    <col min="10471" max="10471" width="7.42578125" style="162" customWidth="1"/>
    <col min="10472" max="10472" width="21.5703125" style="162" customWidth="1"/>
    <col min="10473" max="10694" width="11.42578125" style="162"/>
    <col min="10695" max="10695" width="1.85546875" style="162" customWidth="1"/>
    <col min="10696" max="10696" width="3.28515625" style="162" customWidth="1"/>
    <col min="10697" max="10697" width="32.85546875" style="162" customWidth="1"/>
    <col min="10698" max="10700" width="21.140625" style="162" customWidth="1"/>
    <col min="10701" max="10701" width="2.5703125" style="162" customWidth="1"/>
    <col min="10702" max="10702" width="7.42578125" style="162" customWidth="1"/>
    <col min="10703" max="10705" width="0" style="162" hidden="1" customWidth="1"/>
    <col min="10706" max="10706" width="4.140625" style="162" customWidth="1"/>
    <col min="10707" max="10707" width="12.5703125" style="162" customWidth="1"/>
    <col min="10708" max="10708" width="8.28515625" style="162" customWidth="1"/>
    <col min="10709" max="10720" width="7.7109375" style="162" bestFit="1" customWidth="1"/>
    <col min="10721" max="10721" width="9.28515625" style="162" bestFit="1" customWidth="1"/>
    <col min="10722" max="10725" width="11.42578125" style="162" customWidth="1"/>
    <col min="10726" max="10726" width="15.28515625" style="162" customWidth="1"/>
    <col min="10727" max="10727" width="7.42578125" style="162" customWidth="1"/>
    <col min="10728" max="10728" width="21.5703125" style="162" customWidth="1"/>
    <col min="10729" max="10950" width="11.42578125" style="162"/>
    <col min="10951" max="10951" width="1.85546875" style="162" customWidth="1"/>
    <col min="10952" max="10952" width="3.28515625" style="162" customWidth="1"/>
    <col min="10953" max="10953" width="32.85546875" style="162" customWidth="1"/>
    <col min="10954" max="10956" width="21.140625" style="162" customWidth="1"/>
    <col min="10957" max="10957" width="2.5703125" style="162" customWidth="1"/>
    <col min="10958" max="10958" width="7.42578125" style="162" customWidth="1"/>
    <col min="10959" max="10961" width="0" style="162" hidden="1" customWidth="1"/>
    <col min="10962" max="10962" width="4.140625" style="162" customWidth="1"/>
    <col min="10963" max="10963" width="12.5703125" style="162" customWidth="1"/>
    <col min="10964" max="10964" width="8.28515625" style="162" customWidth="1"/>
    <col min="10965" max="10976" width="7.7109375" style="162" bestFit="1" customWidth="1"/>
    <col min="10977" max="10977" width="9.28515625" style="162" bestFit="1" customWidth="1"/>
    <col min="10978" max="10981" width="11.42578125" style="162" customWidth="1"/>
    <col min="10982" max="10982" width="15.28515625" style="162" customWidth="1"/>
    <col min="10983" max="10983" width="7.42578125" style="162" customWidth="1"/>
    <col min="10984" max="10984" width="21.5703125" style="162" customWidth="1"/>
    <col min="10985" max="11206" width="11.42578125" style="162"/>
    <col min="11207" max="11207" width="1.85546875" style="162" customWidth="1"/>
    <col min="11208" max="11208" width="3.28515625" style="162" customWidth="1"/>
    <col min="11209" max="11209" width="32.85546875" style="162" customWidth="1"/>
    <col min="11210" max="11212" width="21.140625" style="162" customWidth="1"/>
    <col min="11213" max="11213" width="2.5703125" style="162" customWidth="1"/>
    <col min="11214" max="11214" width="7.42578125" style="162" customWidth="1"/>
    <col min="11215" max="11217" width="0" style="162" hidden="1" customWidth="1"/>
    <col min="11218" max="11218" width="4.140625" style="162" customWidth="1"/>
    <col min="11219" max="11219" width="12.5703125" style="162" customWidth="1"/>
    <col min="11220" max="11220" width="8.28515625" style="162" customWidth="1"/>
    <col min="11221" max="11232" width="7.7109375" style="162" bestFit="1" customWidth="1"/>
    <col min="11233" max="11233" width="9.28515625" style="162" bestFit="1" customWidth="1"/>
    <col min="11234" max="11237" width="11.42578125" style="162" customWidth="1"/>
    <col min="11238" max="11238" width="15.28515625" style="162" customWidth="1"/>
    <col min="11239" max="11239" width="7.42578125" style="162" customWidth="1"/>
    <col min="11240" max="11240" width="21.5703125" style="162" customWidth="1"/>
    <col min="11241" max="11462" width="11.42578125" style="162"/>
    <col min="11463" max="11463" width="1.85546875" style="162" customWidth="1"/>
    <col min="11464" max="11464" width="3.28515625" style="162" customWidth="1"/>
    <col min="11465" max="11465" width="32.85546875" style="162" customWidth="1"/>
    <col min="11466" max="11468" width="21.140625" style="162" customWidth="1"/>
    <col min="11469" max="11469" width="2.5703125" style="162" customWidth="1"/>
    <col min="11470" max="11470" width="7.42578125" style="162" customWidth="1"/>
    <col min="11471" max="11473" width="0" style="162" hidden="1" customWidth="1"/>
    <col min="11474" max="11474" width="4.140625" style="162" customWidth="1"/>
    <col min="11475" max="11475" width="12.5703125" style="162" customWidth="1"/>
    <col min="11476" max="11476" width="8.28515625" style="162" customWidth="1"/>
    <col min="11477" max="11488" width="7.7109375" style="162" bestFit="1" customWidth="1"/>
    <col min="11489" max="11489" width="9.28515625" style="162" bestFit="1" customWidth="1"/>
    <col min="11490" max="11493" width="11.42578125" style="162" customWidth="1"/>
    <col min="11494" max="11494" width="15.28515625" style="162" customWidth="1"/>
    <col min="11495" max="11495" width="7.42578125" style="162" customWidth="1"/>
    <col min="11496" max="11496" width="21.5703125" style="162" customWidth="1"/>
    <col min="11497" max="11718" width="11.42578125" style="162"/>
    <col min="11719" max="11719" width="1.85546875" style="162" customWidth="1"/>
    <col min="11720" max="11720" width="3.28515625" style="162" customWidth="1"/>
    <col min="11721" max="11721" width="32.85546875" style="162" customWidth="1"/>
    <col min="11722" max="11724" width="21.140625" style="162" customWidth="1"/>
    <col min="11725" max="11725" width="2.5703125" style="162" customWidth="1"/>
    <col min="11726" max="11726" width="7.42578125" style="162" customWidth="1"/>
    <col min="11727" max="11729" width="0" style="162" hidden="1" customWidth="1"/>
    <col min="11730" max="11730" width="4.140625" style="162" customWidth="1"/>
    <col min="11731" max="11731" width="12.5703125" style="162" customWidth="1"/>
    <col min="11732" max="11732" width="8.28515625" style="162" customWidth="1"/>
    <col min="11733" max="11744" width="7.7109375" style="162" bestFit="1" customWidth="1"/>
    <col min="11745" max="11745" width="9.28515625" style="162" bestFit="1" customWidth="1"/>
    <col min="11746" max="11749" width="11.42578125" style="162" customWidth="1"/>
    <col min="11750" max="11750" width="15.28515625" style="162" customWidth="1"/>
    <col min="11751" max="11751" width="7.42578125" style="162" customWidth="1"/>
    <col min="11752" max="11752" width="21.5703125" style="162" customWidth="1"/>
    <col min="11753" max="11974" width="11.42578125" style="162"/>
    <col min="11975" max="11975" width="1.85546875" style="162" customWidth="1"/>
    <col min="11976" max="11976" width="3.28515625" style="162" customWidth="1"/>
    <col min="11977" max="11977" width="32.85546875" style="162" customWidth="1"/>
    <col min="11978" max="11980" width="21.140625" style="162" customWidth="1"/>
    <col min="11981" max="11981" width="2.5703125" style="162" customWidth="1"/>
    <col min="11982" max="11982" width="7.42578125" style="162" customWidth="1"/>
    <col min="11983" max="11985" width="0" style="162" hidden="1" customWidth="1"/>
    <col min="11986" max="11986" width="4.140625" style="162" customWidth="1"/>
    <col min="11987" max="11987" width="12.5703125" style="162" customWidth="1"/>
    <col min="11988" max="11988" width="8.28515625" style="162" customWidth="1"/>
    <col min="11989" max="12000" width="7.7109375" style="162" bestFit="1" customWidth="1"/>
    <col min="12001" max="12001" width="9.28515625" style="162" bestFit="1" customWidth="1"/>
    <col min="12002" max="12005" width="11.42578125" style="162" customWidth="1"/>
    <col min="12006" max="12006" width="15.28515625" style="162" customWidth="1"/>
    <col min="12007" max="12007" width="7.42578125" style="162" customWidth="1"/>
    <col min="12008" max="12008" width="21.5703125" style="162" customWidth="1"/>
    <col min="12009" max="12230" width="11.42578125" style="162"/>
    <col min="12231" max="12231" width="1.85546875" style="162" customWidth="1"/>
    <col min="12232" max="12232" width="3.28515625" style="162" customWidth="1"/>
    <col min="12233" max="12233" width="32.85546875" style="162" customWidth="1"/>
    <col min="12234" max="12236" width="21.140625" style="162" customWidth="1"/>
    <col min="12237" max="12237" width="2.5703125" style="162" customWidth="1"/>
    <col min="12238" max="12238" width="7.42578125" style="162" customWidth="1"/>
    <col min="12239" max="12241" width="0" style="162" hidden="1" customWidth="1"/>
    <col min="12242" max="12242" width="4.140625" style="162" customWidth="1"/>
    <col min="12243" max="12243" width="12.5703125" style="162" customWidth="1"/>
    <col min="12244" max="12244" width="8.28515625" style="162" customWidth="1"/>
    <col min="12245" max="12256" width="7.7109375" style="162" bestFit="1" customWidth="1"/>
    <col min="12257" max="12257" width="9.28515625" style="162" bestFit="1" customWidth="1"/>
    <col min="12258" max="12261" width="11.42578125" style="162" customWidth="1"/>
    <col min="12262" max="12262" width="15.28515625" style="162" customWidth="1"/>
    <col min="12263" max="12263" width="7.42578125" style="162" customWidth="1"/>
    <col min="12264" max="12264" width="21.5703125" style="162" customWidth="1"/>
    <col min="12265" max="12486" width="11.42578125" style="162"/>
    <col min="12487" max="12487" width="1.85546875" style="162" customWidth="1"/>
    <col min="12488" max="12488" width="3.28515625" style="162" customWidth="1"/>
    <col min="12489" max="12489" width="32.85546875" style="162" customWidth="1"/>
    <col min="12490" max="12492" width="21.140625" style="162" customWidth="1"/>
    <col min="12493" max="12493" width="2.5703125" style="162" customWidth="1"/>
    <col min="12494" max="12494" width="7.42578125" style="162" customWidth="1"/>
    <col min="12495" max="12497" width="0" style="162" hidden="1" customWidth="1"/>
    <col min="12498" max="12498" width="4.140625" style="162" customWidth="1"/>
    <col min="12499" max="12499" width="12.5703125" style="162" customWidth="1"/>
    <col min="12500" max="12500" width="8.28515625" style="162" customWidth="1"/>
    <col min="12501" max="12512" width="7.7109375" style="162" bestFit="1" customWidth="1"/>
    <col min="12513" max="12513" width="9.28515625" style="162" bestFit="1" customWidth="1"/>
    <col min="12514" max="12517" width="11.42578125" style="162" customWidth="1"/>
    <col min="12518" max="12518" width="15.28515625" style="162" customWidth="1"/>
    <col min="12519" max="12519" width="7.42578125" style="162" customWidth="1"/>
    <col min="12520" max="12520" width="21.5703125" style="162" customWidth="1"/>
    <col min="12521" max="12742" width="11.42578125" style="162"/>
    <col min="12743" max="12743" width="1.85546875" style="162" customWidth="1"/>
    <col min="12744" max="12744" width="3.28515625" style="162" customWidth="1"/>
    <col min="12745" max="12745" width="32.85546875" style="162" customWidth="1"/>
    <col min="12746" max="12748" width="21.140625" style="162" customWidth="1"/>
    <col min="12749" max="12749" width="2.5703125" style="162" customWidth="1"/>
    <col min="12750" max="12750" width="7.42578125" style="162" customWidth="1"/>
    <col min="12751" max="12753" width="0" style="162" hidden="1" customWidth="1"/>
    <col min="12754" max="12754" width="4.140625" style="162" customWidth="1"/>
    <col min="12755" max="12755" width="12.5703125" style="162" customWidth="1"/>
    <col min="12756" max="12756" width="8.28515625" style="162" customWidth="1"/>
    <col min="12757" max="12768" width="7.7109375" style="162" bestFit="1" customWidth="1"/>
    <col min="12769" max="12769" width="9.28515625" style="162" bestFit="1" customWidth="1"/>
    <col min="12770" max="12773" width="11.42578125" style="162" customWidth="1"/>
    <col min="12774" max="12774" width="15.28515625" style="162" customWidth="1"/>
    <col min="12775" max="12775" width="7.42578125" style="162" customWidth="1"/>
    <col min="12776" max="12776" width="21.5703125" style="162" customWidth="1"/>
    <col min="12777" max="12998" width="11.42578125" style="162"/>
    <col min="12999" max="12999" width="1.85546875" style="162" customWidth="1"/>
    <col min="13000" max="13000" width="3.28515625" style="162" customWidth="1"/>
    <col min="13001" max="13001" width="32.85546875" style="162" customWidth="1"/>
    <col min="13002" max="13004" width="21.140625" style="162" customWidth="1"/>
    <col min="13005" max="13005" width="2.5703125" style="162" customWidth="1"/>
    <col min="13006" max="13006" width="7.42578125" style="162" customWidth="1"/>
    <col min="13007" max="13009" width="0" style="162" hidden="1" customWidth="1"/>
    <col min="13010" max="13010" width="4.140625" style="162" customWidth="1"/>
    <col min="13011" max="13011" width="12.5703125" style="162" customWidth="1"/>
    <col min="13012" max="13012" width="8.28515625" style="162" customWidth="1"/>
    <col min="13013" max="13024" width="7.7109375" style="162" bestFit="1" customWidth="1"/>
    <col min="13025" max="13025" width="9.28515625" style="162" bestFit="1" customWidth="1"/>
    <col min="13026" max="13029" width="11.42578125" style="162" customWidth="1"/>
    <col min="13030" max="13030" width="15.28515625" style="162" customWidth="1"/>
    <col min="13031" max="13031" width="7.42578125" style="162" customWidth="1"/>
    <col min="13032" max="13032" width="21.5703125" style="162" customWidth="1"/>
    <col min="13033" max="13254" width="11.42578125" style="162"/>
    <col min="13255" max="13255" width="1.85546875" style="162" customWidth="1"/>
    <col min="13256" max="13256" width="3.28515625" style="162" customWidth="1"/>
    <col min="13257" max="13257" width="32.85546875" style="162" customWidth="1"/>
    <col min="13258" max="13260" width="21.140625" style="162" customWidth="1"/>
    <col min="13261" max="13261" width="2.5703125" style="162" customWidth="1"/>
    <col min="13262" max="13262" width="7.42578125" style="162" customWidth="1"/>
    <col min="13263" max="13265" width="0" style="162" hidden="1" customWidth="1"/>
    <col min="13266" max="13266" width="4.140625" style="162" customWidth="1"/>
    <col min="13267" max="13267" width="12.5703125" style="162" customWidth="1"/>
    <col min="13268" max="13268" width="8.28515625" style="162" customWidth="1"/>
    <col min="13269" max="13280" width="7.7109375" style="162" bestFit="1" customWidth="1"/>
    <col min="13281" max="13281" width="9.28515625" style="162" bestFit="1" customWidth="1"/>
    <col min="13282" max="13285" width="11.42578125" style="162" customWidth="1"/>
    <col min="13286" max="13286" width="15.28515625" style="162" customWidth="1"/>
    <col min="13287" max="13287" width="7.42578125" style="162" customWidth="1"/>
    <col min="13288" max="13288" width="21.5703125" style="162" customWidth="1"/>
    <col min="13289" max="13510" width="11.42578125" style="162"/>
    <col min="13511" max="13511" width="1.85546875" style="162" customWidth="1"/>
    <col min="13512" max="13512" width="3.28515625" style="162" customWidth="1"/>
    <col min="13513" max="13513" width="32.85546875" style="162" customWidth="1"/>
    <col min="13514" max="13516" width="21.140625" style="162" customWidth="1"/>
    <col min="13517" max="13517" width="2.5703125" style="162" customWidth="1"/>
    <col min="13518" max="13518" width="7.42578125" style="162" customWidth="1"/>
    <col min="13519" max="13521" width="0" style="162" hidden="1" customWidth="1"/>
    <col min="13522" max="13522" width="4.140625" style="162" customWidth="1"/>
    <col min="13523" max="13523" width="12.5703125" style="162" customWidth="1"/>
    <col min="13524" max="13524" width="8.28515625" style="162" customWidth="1"/>
    <col min="13525" max="13536" width="7.7109375" style="162" bestFit="1" customWidth="1"/>
    <col min="13537" max="13537" width="9.28515625" style="162" bestFit="1" customWidth="1"/>
    <col min="13538" max="13541" width="11.42578125" style="162" customWidth="1"/>
    <col min="13542" max="13542" width="15.28515625" style="162" customWidth="1"/>
    <col min="13543" max="13543" width="7.42578125" style="162" customWidth="1"/>
    <col min="13544" max="13544" width="21.5703125" style="162" customWidth="1"/>
    <col min="13545" max="13766" width="11.42578125" style="162"/>
    <col min="13767" max="13767" width="1.85546875" style="162" customWidth="1"/>
    <col min="13768" max="13768" width="3.28515625" style="162" customWidth="1"/>
    <col min="13769" max="13769" width="32.85546875" style="162" customWidth="1"/>
    <col min="13770" max="13772" width="21.140625" style="162" customWidth="1"/>
    <col min="13773" max="13773" width="2.5703125" style="162" customWidth="1"/>
    <col min="13774" max="13774" width="7.42578125" style="162" customWidth="1"/>
    <col min="13775" max="13777" width="0" style="162" hidden="1" customWidth="1"/>
    <col min="13778" max="13778" width="4.140625" style="162" customWidth="1"/>
    <col min="13779" max="13779" width="12.5703125" style="162" customWidth="1"/>
    <col min="13780" max="13780" width="8.28515625" style="162" customWidth="1"/>
    <col min="13781" max="13792" width="7.7109375" style="162" bestFit="1" customWidth="1"/>
    <col min="13793" max="13793" width="9.28515625" style="162" bestFit="1" customWidth="1"/>
    <col min="13794" max="13797" width="11.42578125" style="162" customWidth="1"/>
    <col min="13798" max="13798" width="15.28515625" style="162" customWidth="1"/>
    <col min="13799" max="13799" width="7.42578125" style="162" customWidth="1"/>
    <col min="13800" max="13800" width="21.5703125" style="162" customWidth="1"/>
    <col min="13801" max="14022" width="11.42578125" style="162"/>
    <col min="14023" max="14023" width="1.85546875" style="162" customWidth="1"/>
    <col min="14024" max="14024" width="3.28515625" style="162" customWidth="1"/>
    <col min="14025" max="14025" width="32.85546875" style="162" customWidth="1"/>
    <col min="14026" max="14028" width="21.140625" style="162" customWidth="1"/>
    <col min="14029" max="14029" width="2.5703125" style="162" customWidth="1"/>
    <col min="14030" max="14030" width="7.42578125" style="162" customWidth="1"/>
    <col min="14031" max="14033" width="0" style="162" hidden="1" customWidth="1"/>
    <col min="14034" max="14034" width="4.140625" style="162" customWidth="1"/>
    <col min="14035" max="14035" width="12.5703125" style="162" customWidth="1"/>
    <col min="14036" max="14036" width="8.28515625" style="162" customWidth="1"/>
    <col min="14037" max="14048" width="7.7109375" style="162" bestFit="1" customWidth="1"/>
    <col min="14049" max="14049" width="9.28515625" style="162" bestFit="1" customWidth="1"/>
    <col min="14050" max="14053" width="11.42578125" style="162" customWidth="1"/>
    <col min="14054" max="14054" width="15.28515625" style="162" customWidth="1"/>
    <col min="14055" max="14055" width="7.42578125" style="162" customWidth="1"/>
    <col min="14056" max="14056" width="21.5703125" style="162" customWidth="1"/>
    <col min="14057" max="14278" width="11.42578125" style="162"/>
    <col min="14279" max="14279" width="1.85546875" style="162" customWidth="1"/>
    <col min="14280" max="14280" width="3.28515625" style="162" customWidth="1"/>
    <col min="14281" max="14281" width="32.85546875" style="162" customWidth="1"/>
    <col min="14282" max="14284" width="21.140625" style="162" customWidth="1"/>
    <col min="14285" max="14285" width="2.5703125" style="162" customWidth="1"/>
    <col min="14286" max="14286" width="7.42578125" style="162" customWidth="1"/>
    <col min="14287" max="14289" width="0" style="162" hidden="1" customWidth="1"/>
    <col min="14290" max="14290" width="4.140625" style="162" customWidth="1"/>
    <col min="14291" max="14291" width="12.5703125" style="162" customWidth="1"/>
    <col min="14292" max="14292" width="8.28515625" style="162" customWidth="1"/>
    <col min="14293" max="14304" width="7.7109375" style="162" bestFit="1" customWidth="1"/>
    <col min="14305" max="14305" width="9.28515625" style="162" bestFit="1" customWidth="1"/>
    <col min="14306" max="14309" width="11.42578125" style="162" customWidth="1"/>
    <col min="14310" max="14310" width="15.28515625" style="162" customWidth="1"/>
    <col min="14311" max="14311" width="7.42578125" style="162" customWidth="1"/>
    <col min="14312" max="14312" width="21.5703125" style="162" customWidth="1"/>
    <col min="14313" max="14534" width="11.42578125" style="162"/>
    <col min="14535" max="14535" width="1.85546875" style="162" customWidth="1"/>
    <col min="14536" max="14536" width="3.28515625" style="162" customWidth="1"/>
    <col min="14537" max="14537" width="32.85546875" style="162" customWidth="1"/>
    <col min="14538" max="14540" width="21.140625" style="162" customWidth="1"/>
    <col min="14541" max="14541" width="2.5703125" style="162" customWidth="1"/>
    <col min="14542" max="14542" width="7.42578125" style="162" customWidth="1"/>
    <col min="14543" max="14545" width="0" style="162" hidden="1" customWidth="1"/>
    <col min="14546" max="14546" width="4.140625" style="162" customWidth="1"/>
    <col min="14547" max="14547" width="12.5703125" style="162" customWidth="1"/>
    <col min="14548" max="14548" width="8.28515625" style="162" customWidth="1"/>
    <col min="14549" max="14560" width="7.7109375" style="162" bestFit="1" customWidth="1"/>
    <col min="14561" max="14561" width="9.28515625" style="162" bestFit="1" customWidth="1"/>
    <col min="14562" max="14565" width="11.42578125" style="162" customWidth="1"/>
    <col min="14566" max="14566" width="15.28515625" style="162" customWidth="1"/>
    <col min="14567" max="14567" width="7.42578125" style="162" customWidth="1"/>
    <col min="14568" max="14568" width="21.5703125" style="162" customWidth="1"/>
    <col min="14569" max="14790" width="11.42578125" style="162"/>
    <col min="14791" max="14791" width="1.85546875" style="162" customWidth="1"/>
    <col min="14792" max="14792" width="3.28515625" style="162" customWidth="1"/>
    <col min="14793" max="14793" width="32.85546875" style="162" customWidth="1"/>
    <col min="14794" max="14796" width="21.140625" style="162" customWidth="1"/>
    <col min="14797" max="14797" width="2.5703125" style="162" customWidth="1"/>
    <col min="14798" max="14798" width="7.42578125" style="162" customWidth="1"/>
    <col min="14799" max="14801" width="0" style="162" hidden="1" customWidth="1"/>
    <col min="14802" max="14802" width="4.140625" style="162" customWidth="1"/>
    <col min="14803" max="14803" width="12.5703125" style="162" customWidth="1"/>
    <col min="14804" max="14804" width="8.28515625" style="162" customWidth="1"/>
    <col min="14805" max="14816" width="7.7109375" style="162" bestFit="1" customWidth="1"/>
    <col min="14817" max="14817" width="9.28515625" style="162" bestFit="1" customWidth="1"/>
    <col min="14818" max="14821" width="11.42578125" style="162" customWidth="1"/>
    <col min="14822" max="14822" width="15.28515625" style="162" customWidth="1"/>
    <col min="14823" max="14823" width="7.42578125" style="162" customWidth="1"/>
    <col min="14824" max="14824" width="21.5703125" style="162" customWidth="1"/>
    <col min="14825" max="15046" width="11.42578125" style="162"/>
    <col min="15047" max="15047" width="1.85546875" style="162" customWidth="1"/>
    <col min="15048" max="15048" width="3.28515625" style="162" customWidth="1"/>
    <col min="15049" max="15049" width="32.85546875" style="162" customWidth="1"/>
    <col min="15050" max="15052" width="21.140625" style="162" customWidth="1"/>
    <col min="15053" max="15053" width="2.5703125" style="162" customWidth="1"/>
    <col min="15054" max="15054" width="7.42578125" style="162" customWidth="1"/>
    <col min="15055" max="15057" width="0" style="162" hidden="1" customWidth="1"/>
    <col min="15058" max="15058" width="4.140625" style="162" customWidth="1"/>
    <col min="15059" max="15059" width="12.5703125" style="162" customWidth="1"/>
    <col min="15060" max="15060" width="8.28515625" style="162" customWidth="1"/>
    <col min="15061" max="15072" width="7.7109375" style="162" bestFit="1" customWidth="1"/>
    <col min="15073" max="15073" width="9.28515625" style="162" bestFit="1" customWidth="1"/>
    <col min="15074" max="15077" width="11.42578125" style="162" customWidth="1"/>
    <col min="15078" max="15078" width="15.28515625" style="162" customWidth="1"/>
    <col min="15079" max="15079" width="7.42578125" style="162" customWidth="1"/>
    <col min="15080" max="15080" width="21.5703125" style="162" customWidth="1"/>
    <col min="15081" max="15302" width="11.42578125" style="162"/>
    <col min="15303" max="15303" width="1.85546875" style="162" customWidth="1"/>
    <col min="15304" max="15304" width="3.28515625" style="162" customWidth="1"/>
    <col min="15305" max="15305" width="32.85546875" style="162" customWidth="1"/>
    <col min="15306" max="15308" width="21.140625" style="162" customWidth="1"/>
    <col min="15309" max="15309" width="2.5703125" style="162" customWidth="1"/>
    <col min="15310" max="15310" width="7.42578125" style="162" customWidth="1"/>
    <col min="15311" max="15313" width="0" style="162" hidden="1" customWidth="1"/>
    <col min="15314" max="15314" width="4.140625" style="162" customWidth="1"/>
    <col min="15315" max="15315" width="12.5703125" style="162" customWidth="1"/>
    <col min="15316" max="15316" width="8.28515625" style="162" customWidth="1"/>
    <col min="15317" max="15328" width="7.7109375" style="162" bestFit="1" customWidth="1"/>
    <col min="15329" max="15329" width="9.28515625" style="162" bestFit="1" customWidth="1"/>
    <col min="15330" max="15333" width="11.42578125" style="162" customWidth="1"/>
    <col min="15334" max="15334" width="15.28515625" style="162" customWidth="1"/>
    <col min="15335" max="15335" width="7.42578125" style="162" customWidth="1"/>
    <col min="15336" max="15336" width="21.5703125" style="162" customWidth="1"/>
    <col min="15337" max="15558" width="11.42578125" style="162"/>
    <col min="15559" max="15559" width="1.85546875" style="162" customWidth="1"/>
    <col min="15560" max="15560" width="3.28515625" style="162" customWidth="1"/>
    <col min="15561" max="15561" width="32.85546875" style="162" customWidth="1"/>
    <col min="15562" max="15564" width="21.140625" style="162" customWidth="1"/>
    <col min="15565" max="15565" width="2.5703125" style="162" customWidth="1"/>
    <col min="15566" max="15566" width="7.42578125" style="162" customWidth="1"/>
    <col min="15567" max="15569" width="0" style="162" hidden="1" customWidth="1"/>
    <col min="15570" max="15570" width="4.140625" style="162" customWidth="1"/>
    <col min="15571" max="15571" width="12.5703125" style="162" customWidth="1"/>
    <col min="15572" max="15572" width="8.28515625" style="162" customWidth="1"/>
    <col min="15573" max="15584" width="7.7109375" style="162" bestFit="1" customWidth="1"/>
    <col min="15585" max="15585" width="9.28515625" style="162" bestFit="1" customWidth="1"/>
    <col min="15586" max="15589" width="11.42578125" style="162" customWidth="1"/>
    <col min="15590" max="15590" width="15.28515625" style="162" customWidth="1"/>
    <col min="15591" max="15591" width="7.42578125" style="162" customWidth="1"/>
    <col min="15592" max="15592" width="21.5703125" style="162" customWidth="1"/>
    <col min="15593" max="15814" width="11.42578125" style="162"/>
    <col min="15815" max="15815" width="1.85546875" style="162" customWidth="1"/>
    <col min="15816" max="15816" width="3.28515625" style="162" customWidth="1"/>
    <col min="15817" max="15817" width="32.85546875" style="162" customWidth="1"/>
    <col min="15818" max="15820" width="21.140625" style="162" customWidth="1"/>
    <col min="15821" max="15821" width="2.5703125" style="162" customWidth="1"/>
    <col min="15822" max="15822" width="7.42578125" style="162" customWidth="1"/>
    <col min="15823" max="15825" width="0" style="162" hidden="1" customWidth="1"/>
    <col min="15826" max="15826" width="4.140625" style="162" customWidth="1"/>
    <col min="15827" max="15827" width="12.5703125" style="162" customWidth="1"/>
    <col min="15828" max="15828" width="8.28515625" style="162" customWidth="1"/>
    <col min="15829" max="15840" width="7.7109375" style="162" bestFit="1" customWidth="1"/>
    <col min="15841" max="15841" width="9.28515625" style="162" bestFit="1" customWidth="1"/>
    <col min="15842" max="15845" width="11.42578125" style="162" customWidth="1"/>
    <col min="15846" max="15846" width="15.28515625" style="162" customWidth="1"/>
    <col min="15847" max="15847" width="7.42578125" style="162" customWidth="1"/>
    <col min="15848" max="15848" width="21.5703125" style="162" customWidth="1"/>
    <col min="15849" max="16070" width="11.42578125" style="162"/>
    <col min="16071" max="16071" width="1.85546875" style="162" customWidth="1"/>
    <col min="16072" max="16072" width="3.28515625" style="162" customWidth="1"/>
    <col min="16073" max="16073" width="32.85546875" style="162" customWidth="1"/>
    <col min="16074" max="16076" width="21.140625" style="162" customWidth="1"/>
    <col min="16077" max="16077" width="2.5703125" style="162" customWidth="1"/>
    <col min="16078" max="16078" width="7.42578125" style="162" customWidth="1"/>
    <col min="16079" max="16081" width="0" style="162" hidden="1" customWidth="1"/>
    <col min="16082" max="16082" width="4.140625" style="162" customWidth="1"/>
    <col min="16083" max="16083" width="12.5703125" style="162" customWidth="1"/>
    <col min="16084" max="16084" width="8.28515625" style="162" customWidth="1"/>
    <col min="16085" max="16096" width="7.7109375" style="162" bestFit="1" customWidth="1"/>
    <col min="16097" max="16097" width="9.28515625" style="162" bestFit="1" customWidth="1"/>
    <col min="16098" max="16101" width="11.42578125" style="162" customWidth="1"/>
    <col min="16102" max="16102" width="15.28515625" style="162" customWidth="1"/>
    <col min="16103" max="16103" width="7.42578125" style="162" customWidth="1"/>
    <col min="16104" max="16104" width="21.5703125" style="162" customWidth="1"/>
    <col min="16105" max="16384" width="11.42578125" style="162"/>
  </cols>
  <sheetData>
    <row r="1" spans="1:7">
      <c r="C1" s="284"/>
      <c r="D1" s="91"/>
      <c r="F1" s="91"/>
    </row>
    <row r="2" spans="1:7">
      <c r="B2" s="33"/>
      <c r="C2" s="438" t="s">
        <v>555</v>
      </c>
      <c r="D2" s="439"/>
      <c r="E2" s="439"/>
      <c r="F2" s="440"/>
    </row>
    <row r="3" spans="1:7" ht="12.75" customHeight="1">
      <c r="B3" s="33"/>
      <c r="C3" s="441" t="s">
        <v>429</v>
      </c>
      <c r="D3" s="429" t="s">
        <v>511</v>
      </c>
      <c r="E3" s="441" t="s">
        <v>453</v>
      </c>
      <c r="F3" s="377" t="s">
        <v>454</v>
      </c>
    </row>
    <row r="4" spans="1:7">
      <c r="C4" s="442"/>
      <c r="D4" s="428" t="s">
        <v>332</v>
      </c>
      <c r="E4" s="442"/>
      <c r="F4" s="378" t="s">
        <v>455</v>
      </c>
    </row>
    <row r="5" spans="1:7">
      <c r="B5" s="33"/>
      <c r="C5" s="443"/>
      <c r="D5" s="428" t="s">
        <v>177</v>
      </c>
      <c r="E5" s="442"/>
      <c r="F5" s="378" t="s">
        <v>456</v>
      </c>
    </row>
    <row r="6" spans="1:7" s="285" customFormat="1" ht="15" customHeight="1">
      <c r="A6" s="381"/>
      <c r="B6" s="33"/>
      <c r="C6" s="441" t="s">
        <v>430</v>
      </c>
      <c r="D6" s="429" t="s">
        <v>428</v>
      </c>
      <c r="E6" s="442"/>
      <c r="F6" s="378" t="s">
        <v>457</v>
      </c>
      <c r="G6" s="91"/>
    </row>
    <row r="7" spans="1:7" s="285" customFormat="1" ht="12.75" customHeight="1">
      <c r="A7" s="381"/>
      <c r="B7" s="33"/>
      <c r="C7" s="442"/>
      <c r="D7" s="428" t="s">
        <v>431</v>
      </c>
      <c r="E7" s="442"/>
      <c r="F7" s="378" t="s">
        <v>458</v>
      </c>
      <c r="G7" s="91"/>
    </row>
    <row r="8" spans="1:7">
      <c r="B8" s="33"/>
      <c r="C8" s="442"/>
      <c r="D8" s="428" t="s">
        <v>24</v>
      </c>
      <c r="E8" s="443"/>
      <c r="F8" s="379" t="s">
        <v>459</v>
      </c>
    </row>
    <row r="9" spans="1:7">
      <c r="B9" s="33"/>
      <c r="C9" s="442"/>
      <c r="D9" s="428" t="s">
        <v>432</v>
      </c>
      <c r="E9" s="441" t="s">
        <v>336</v>
      </c>
      <c r="F9" s="377" t="s">
        <v>460</v>
      </c>
    </row>
    <row r="10" spans="1:7">
      <c r="C10" s="442"/>
      <c r="D10" s="428" t="s">
        <v>433</v>
      </c>
      <c r="E10" s="442"/>
      <c r="F10" s="378" t="s">
        <v>461</v>
      </c>
    </row>
    <row r="11" spans="1:7">
      <c r="C11" s="442"/>
      <c r="D11" s="428" t="s">
        <v>434</v>
      </c>
      <c r="E11" s="442"/>
      <c r="F11" s="378" t="s">
        <v>462</v>
      </c>
    </row>
    <row r="12" spans="1:7">
      <c r="C12" s="442"/>
      <c r="D12" s="428" t="s">
        <v>435</v>
      </c>
      <c r="E12" s="442"/>
      <c r="F12" s="378" t="s">
        <v>463</v>
      </c>
    </row>
    <row r="13" spans="1:7">
      <c r="C13" s="442"/>
      <c r="D13" s="428" t="s">
        <v>436</v>
      </c>
      <c r="E13" s="443"/>
      <c r="F13" s="379" t="s">
        <v>464</v>
      </c>
    </row>
    <row r="14" spans="1:7">
      <c r="C14" s="443"/>
      <c r="D14" s="430" t="s">
        <v>437</v>
      </c>
      <c r="E14" s="441" t="s">
        <v>465</v>
      </c>
      <c r="F14" s="377" t="s">
        <v>403</v>
      </c>
    </row>
    <row r="15" spans="1:7" s="286" customFormat="1">
      <c r="A15" s="380"/>
      <c r="B15" s="162"/>
      <c r="C15" s="441" t="s">
        <v>438</v>
      </c>
      <c r="D15" s="377" t="s">
        <v>439</v>
      </c>
      <c r="E15" s="442"/>
      <c r="F15" s="378" t="s">
        <v>406</v>
      </c>
      <c r="G15" s="177"/>
    </row>
    <row r="16" spans="1:7" s="77" customFormat="1" ht="12.75" customHeight="1">
      <c r="A16" s="382"/>
      <c r="B16" s="162"/>
      <c r="C16" s="442"/>
      <c r="D16" s="378" t="s">
        <v>440</v>
      </c>
      <c r="E16" s="442"/>
      <c r="F16" s="378" t="s">
        <v>546</v>
      </c>
      <c r="G16" s="41"/>
    </row>
    <row r="17" spans="1:7" s="77" customFormat="1">
      <c r="A17" s="382"/>
      <c r="C17" s="442"/>
      <c r="D17" s="378" t="s">
        <v>441</v>
      </c>
      <c r="E17" s="442"/>
      <c r="F17" s="378" t="s">
        <v>547</v>
      </c>
      <c r="G17" s="41"/>
    </row>
    <row r="18" spans="1:7" s="77" customFormat="1">
      <c r="A18" s="382"/>
      <c r="C18" s="442"/>
      <c r="D18" s="378" t="s">
        <v>442</v>
      </c>
      <c r="E18" s="442"/>
      <c r="F18" s="378" t="s">
        <v>407</v>
      </c>
    </row>
    <row r="19" spans="1:7">
      <c r="C19" s="442"/>
      <c r="D19" s="378" t="s">
        <v>443</v>
      </c>
      <c r="E19" s="442"/>
      <c r="F19" s="378" t="s">
        <v>466</v>
      </c>
    </row>
    <row r="20" spans="1:7">
      <c r="C20" s="442"/>
      <c r="D20" s="378" t="s">
        <v>444</v>
      </c>
      <c r="E20" s="443"/>
      <c r="F20" s="379" t="s">
        <v>315</v>
      </c>
    </row>
    <row r="21" spans="1:7">
      <c r="C21" s="442"/>
      <c r="D21" s="378" t="s">
        <v>554</v>
      </c>
    </row>
    <row r="22" spans="1:7">
      <c r="C22" s="442"/>
      <c r="D22" s="378" t="s">
        <v>445</v>
      </c>
    </row>
    <row r="23" spans="1:7">
      <c r="C23" s="442"/>
      <c r="D23" s="378" t="s">
        <v>446</v>
      </c>
    </row>
    <row r="24" spans="1:7">
      <c r="C24" s="442"/>
      <c r="D24" s="378" t="s">
        <v>447</v>
      </c>
    </row>
    <row r="25" spans="1:7">
      <c r="C25" s="442"/>
      <c r="D25" s="378" t="s">
        <v>448</v>
      </c>
    </row>
    <row r="26" spans="1:7">
      <c r="C26" s="442"/>
      <c r="D26" s="378" t="s">
        <v>449</v>
      </c>
    </row>
    <row r="27" spans="1:7">
      <c r="C27" s="442"/>
      <c r="D27" s="378" t="s">
        <v>450</v>
      </c>
    </row>
    <row r="28" spans="1:7">
      <c r="C28" s="442"/>
      <c r="D28" s="378" t="s">
        <v>451</v>
      </c>
    </row>
    <row r="29" spans="1:7">
      <c r="C29" s="443"/>
      <c r="D29" s="379" t="s">
        <v>452</v>
      </c>
    </row>
  </sheetData>
  <mergeCells count="7">
    <mergeCell ref="C2:F2"/>
    <mergeCell ref="E3:E8"/>
    <mergeCell ref="E9:E13"/>
    <mergeCell ref="E14:E20"/>
    <mergeCell ref="C6:C14"/>
    <mergeCell ref="C15:C29"/>
    <mergeCell ref="C3:C5"/>
  </mergeCells>
  <hyperlinks>
    <hyperlink ref="F20" location="'PTF Eco'!A1" display="PTF Eco"/>
    <hyperlink ref="F19" location="WACC!A1" display="WACC"/>
    <hyperlink ref="F18" location="Devaluacion!A1" display="Devaluacion"/>
    <hyperlink ref="F17" location="IPMajustadoUS!A1" display="IPM ajustado (con devaluación)"/>
    <hyperlink ref="F16" location="IPMAjustado!A1" display="IPM Ajustado "/>
    <hyperlink ref="F15" location="IPC_Ajustado!A1" display="IPC Ajustado"/>
    <hyperlink ref="F12" location="IndiceCantidadesMateriales!A1" display="Indice Cantidades Materiales"/>
    <hyperlink ref="F11" location="PreciosImplicitoDeMateriales!A1" display="Precios Implicito De Materiales"/>
    <hyperlink ref="F8" location="IndicePreciosTrabajo!A1" display="Indice Precios Trabajo"/>
    <hyperlink ref="F7" location="IndiceCantidadesTrabajo!A1" display="Indice Cantidades Trabajo"/>
    <hyperlink ref="F6" location="PrecioImplicitoDelTrabajoAl2001!A1" display="Precio Implicito Del Trabajo Al 2001"/>
    <hyperlink ref="F5" location="GastoEnSalariosAPrecios2001!A1" display="Gasto En Salarios A Precios 2001"/>
    <hyperlink ref="F4" location="GastoEnSalarios!A1" display="Gasto En Salarios"/>
    <hyperlink ref="F3" location="CantidadDeTrabajo!A1" display="Cantidad De Trabajo"/>
    <hyperlink ref="D29" location="IndicePreciosCapital!A1" display="Indice Precios Capital"/>
    <hyperlink ref="D28" location="IndiceCantidadesCapital!A1" display="Indice Cantidades Capital"/>
    <hyperlink ref="D27" location="PrecioCapital2001!A1" display="Precio Capital 2001"/>
    <hyperlink ref="D26" location="CostoCapital2001!A1" display="Costo Capital 2001"/>
    <hyperlink ref="D25" location="ValorNominalImplicito!A1" display="Valor Nominal Implicito"/>
    <hyperlink ref="D24" location="CantidadesdeCapital!A1" display="Cantidades de Capital"/>
    <hyperlink ref="D23" location="CostoUnitarioCapital!A1" display="Costo Unitario Capital"/>
    <hyperlink ref="D22" location="PreciosDeCapital!A1" display="Precios De Capital"/>
    <hyperlink ref="D20" location="StockCapital!A1" display="Stock Capital"/>
    <hyperlink ref="D19" location="'ValorContableInversiones  '!A1" display="Valor Contable Inversiones"/>
    <hyperlink ref="D18" location="Depreciaciones!A1" display="Depreciaciones"/>
    <hyperlink ref="D17" location="'Inversiones '!A1" display="Inversiones"/>
    <hyperlink ref="D16" location="ValorContableBaseCapital!A1" display="Valor Contable Base Capital"/>
    <hyperlink ref="D15" location="BaseCapital!A1" display="Base Capital"/>
    <hyperlink ref="D14" location="IndicePreciosServicios!A1" display="Indice Precios Servicios"/>
    <hyperlink ref="D13" location="IndiceCantidadesServicios!A1" display="Indice Cantidades Servicios"/>
    <hyperlink ref="D12" location="PreciosImplicitos!A1" display="Precios Implicitos"/>
    <hyperlink ref="D11" location="CantidadDeProducto!A1" display="Cantidad De Producto"/>
    <hyperlink ref="D10" location="IngresosNetos!A1" display="Ingresos Netos"/>
    <hyperlink ref="D9" location="RetribucionOsitran!A1" display="Retribucion Ositran"/>
    <hyperlink ref="D8" location="RetribucionEstado!A1" display="Retribucion Estado"/>
    <hyperlink ref="D7" location="PagoCorpac!A1" display="Pago Corpac"/>
    <hyperlink ref="D6" location="IngresosBrutos!A1" display="Ingresos Brutos"/>
    <hyperlink ref="D5" location="'Indice de Precios'!A1" display="Indice de Precios"/>
    <hyperlink ref="D4" location="'Indice de Cantidades '!A1" display="Indice de Cantidades"/>
    <hyperlink ref="F10" location="CantidadesMateralialesIndexados!A1" display="Cantidades Materaliales Indexados"/>
    <hyperlink ref="F13" location="IndicePreciosMateriales!A1" display="Indice Precios Materiales"/>
    <hyperlink ref="F9" location="GastoMateriales!A1" display="Gasto Materiales"/>
    <hyperlink ref="F14" location="IPC_Lima!A1" display="IPC Lima"/>
    <hyperlink ref="D21" location="StockCapitalPromedio!A1" display="Stock Capital Promedio"/>
    <hyperlink ref="D3" location="Factor_de_Productividad!E15" display="Factor de Productividad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40">
    <tabColor rgb="FF92D050"/>
  </sheetPr>
  <dimension ref="A1:Z43"/>
  <sheetViews>
    <sheetView showGridLines="0" workbookViewId="0">
      <selection activeCell="E1" sqref="E1:H1"/>
    </sheetView>
  </sheetViews>
  <sheetFormatPr baseColWidth="10" defaultRowHeight="9"/>
  <cols>
    <col min="1" max="1" width="23.42578125" style="122" customWidth="1"/>
    <col min="2" max="2" width="9.85546875" style="122" customWidth="1"/>
    <col min="3" max="15" width="9.85546875" style="129" customWidth="1"/>
    <col min="16" max="16" width="13.85546875" style="122" customWidth="1"/>
    <col min="17" max="17" width="11.42578125" style="122" customWidth="1"/>
    <col min="18" max="20" width="6.28515625" style="122" customWidth="1"/>
    <col min="21" max="222" width="11.42578125" style="122"/>
    <col min="223" max="223" width="8.85546875" style="122" customWidth="1"/>
    <col min="224" max="224" width="35.7109375" style="122" bestFit="1" customWidth="1"/>
    <col min="225" max="225" width="5" style="122" customWidth="1"/>
    <col min="226" max="228" width="12.85546875" style="122" bestFit="1" customWidth="1"/>
    <col min="229" max="239" width="15.140625" style="122" customWidth="1"/>
    <col min="240" max="240" width="13.85546875" style="122" customWidth="1"/>
    <col min="241" max="241" width="11.42578125" style="122" customWidth="1"/>
    <col min="242" max="242" width="12" style="122" bestFit="1" customWidth="1"/>
    <col min="243" max="243" width="31.7109375" style="122" customWidth="1"/>
    <col min="244" max="244" width="13.85546875" style="122" customWidth="1"/>
    <col min="245" max="245" width="13.42578125" style="122" customWidth="1"/>
    <col min="246" max="249" width="16.140625" style="122" bestFit="1" customWidth="1"/>
    <col min="250" max="253" width="17.42578125" style="122" bestFit="1" customWidth="1"/>
    <col min="254" max="257" width="17.42578125" style="122" customWidth="1"/>
    <col min="258" max="258" width="27.28515625" style="122" customWidth="1"/>
    <col min="259" max="259" width="15.85546875" style="122" bestFit="1" customWidth="1"/>
    <col min="260" max="260" width="12.42578125" style="122" bestFit="1" customWidth="1"/>
    <col min="261" max="271" width="11.42578125" style="122" customWidth="1"/>
    <col min="272" max="272" width="17.140625" style="122" customWidth="1"/>
    <col min="273" max="273" width="11.42578125" style="122" customWidth="1"/>
    <col min="274" max="274" width="34.28515625" style="122" bestFit="1" customWidth="1"/>
    <col min="275" max="478" width="11.42578125" style="122"/>
    <col min="479" max="479" width="8.85546875" style="122" customWidth="1"/>
    <col min="480" max="480" width="35.7109375" style="122" bestFit="1" customWidth="1"/>
    <col min="481" max="481" width="5" style="122" customWidth="1"/>
    <col min="482" max="484" width="12.85546875" style="122" bestFit="1" customWidth="1"/>
    <col min="485" max="495" width="15.140625" style="122" customWidth="1"/>
    <col min="496" max="496" width="13.85546875" style="122" customWidth="1"/>
    <col min="497" max="497" width="11.42578125" style="122" customWidth="1"/>
    <col min="498" max="498" width="12" style="122" bestFit="1" customWidth="1"/>
    <col min="499" max="499" width="31.7109375" style="122" customWidth="1"/>
    <col min="500" max="500" width="13.85546875" style="122" customWidth="1"/>
    <col min="501" max="501" width="13.42578125" style="122" customWidth="1"/>
    <col min="502" max="505" width="16.140625" style="122" bestFit="1" customWidth="1"/>
    <col min="506" max="509" width="17.42578125" style="122" bestFit="1" customWidth="1"/>
    <col min="510" max="513" width="17.42578125" style="122" customWidth="1"/>
    <col min="514" max="514" width="27.28515625" style="122" customWidth="1"/>
    <col min="515" max="515" width="15.85546875" style="122" bestFit="1" customWidth="1"/>
    <col min="516" max="516" width="12.42578125" style="122" bestFit="1" customWidth="1"/>
    <col min="517" max="527" width="11.42578125" style="122" customWidth="1"/>
    <col min="528" max="528" width="17.140625" style="122" customWidth="1"/>
    <col min="529" max="529" width="11.42578125" style="122" customWidth="1"/>
    <col min="530" max="530" width="34.28515625" style="122" bestFit="1" customWidth="1"/>
    <col min="531" max="734" width="11.42578125" style="122"/>
    <col min="735" max="735" width="8.85546875" style="122" customWidth="1"/>
    <col min="736" max="736" width="35.7109375" style="122" bestFit="1" customWidth="1"/>
    <col min="737" max="737" width="5" style="122" customWidth="1"/>
    <col min="738" max="740" width="12.85546875" style="122" bestFit="1" customWidth="1"/>
    <col min="741" max="751" width="15.140625" style="122" customWidth="1"/>
    <col min="752" max="752" width="13.85546875" style="122" customWidth="1"/>
    <col min="753" max="753" width="11.42578125" style="122" customWidth="1"/>
    <col min="754" max="754" width="12" style="122" bestFit="1" customWidth="1"/>
    <col min="755" max="755" width="31.7109375" style="122" customWidth="1"/>
    <col min="756" max="756" width="13.85546875" style="122" customWidth="1"/>
    <col min="757" max="757" width="13.42578125" style="122" customWidth="1"/>
    <col min="758" max="761" width="16.140625" style="122" bestFit="1" customWidth="1"/>
    <col min="762" max="765" width="17.42578125" style="122" bestFit="1" customWidth="1"/>
    <col min="766" max="769" width="17.42578125" style="122" customWidth="1"/>
    <col min="770" max="770" width="27.28515625" style="122" customWidth="1"/>
    <col min="771" max="771" width="15.85546875" style="122" bestFit="1" customWidth="1"/>
    <col min="772" max="772" width="12.42578125" style="122" bestFit="1" customWidth="1"/>
    <col min="773" max="783" width="11.42578125" style="122" customWidth="1"/>
    <col min="784" max="784" width="17.140625" style="122" customWidth="1"/>
    <col min="785" max="785" width="11.42578125" style="122" customWidth="1"/>
    <col min="786" max="786" width="34.28515625" style="122" bestFit="1" customWidth="1"/>
    <col min="787" max="990" width="11.42578125" style="122"/>
    <col min="991" max="991" width="8.85546875" style="122" customWidth="1"/>
    <col min="992" max="992" width="35.7109375" style="122" bestFit="1" customWidth="1"/>
    <col min="993" max="993" width="5" style="122" customWidth="1"/>
    <col min="994" max="996" width="12.85546875" style="122" bestFit="1" customWidth="1"/>
    <col min="997" max="1007" width="15.140625" style="122" customWidth="1"/>
    <col min="1008" max="1008" width="13.85546875" style="122" customWidth="1"/>
    <col min="1009" max="1009" width="11.42578125" style="122" customWidth="1"/>
    <col min="1010" max="1010" width="12" style="122" bestFit="1" customWidth="1"/>
    <col min="1011" max="1011" width="31.7109375" style="122" customWidth="1"/>
    <col min="1012" max="1012" width="13.85546875" style="122" customWidth="1"/>
    <col min="1013" max="1013" width="13.42578125" style="122" customWidth="1"/>
    <col min="1014" max="1017" width="16.140625" style="122" bestFit="1" customWidth="1"/>
    <col min="1018" max="1021" width="17.42578125" style="122" bestFit="1" customWidth="1"/>
    <col min="1022" max="1025" width="17.42578125" style="122" customWidth="1"/>
    <col min="1026" max="1026" width="27.28515625" style="122" customWidth="1"/>
    <col min="1027" max="1027" width="15.85546875" style="122" bestFit="1" customWidth="1"/>
    <col min="1028" max="1028" width="12.42578125" style="122" bestFit="1" customWidth="1"/>
    <col min="1029" max="1039" width="11.42578125" style="122" customWidth="1"/>
    <col min="1040" max="1040" width="17.140625" style="122" customWidth="1"/>
    <col min="1041" max="1041" width="11.42578125" style="122" customWidth="1"/>
    <col min="1042" max="1042" width="34.28515625" style="122" bestFit="1" customWidth="1"/>
    <col min="1043" max="1246" width="11.42578125" style="122"/>
    <col min="1247" max="1247" width="8.85546875" style="122" customWidth="1"/>
    <col min="1248" max="1248" width="35.7109375" style="122" bestFit="1" customWidth="1"/>
    <col min="1249" max="1249" width="5" style="122" customWidth="1"/>
    <col min="1250" max="1252" width="12.85546875" style="122" bestFit="1" customWidth="1"/>
    <col min="1253" max="1263" width="15.140625" style="122" customWidth="1"/>
    <col min="1264" max="1264" width="13.85546875" style="122" customWidth="1"/>
    <col min="1265" max="1265" width="11.42578125" style="122" customWidth="1"/>
    <col min="1266" max="1266" width="12" style="122" bestFit="1" customWidth="1"/>
    <col min="1267" max="1267" width="31.7109375" style="122" customWidth="1"/>
    <col min="1268" max="1268" width="13.85546875" style="122" customWidth="1"/>
    <col min="1269" max="1269" width="13.42578125" style="122" customWidth="1"/>
    <col min="1270" max="1273" width="16.140625" style="122" bestFit="1" customWidth="1"/>
    <col min="1274" max="1277" width="17.42578125" style="122" bestFit="1" customWidth="1"/>
    <col min="1278" max="1281" width="17.42578125" style="122" customWidth="1"/>
    <col min="1282" max="1282" width="27.28515625" style="122" customWidth="1"/>
    <col min="1283" max="1283" width="15.85546875" style="122" bestFit="1" customWidth="1"/>
    <col min="1284" max="1284" width="12.42578125" style="122" bestFit="1" customWidth="1"/>
    <col min="1285" max="1295" width="11.42578125" style="122" customWidth="1"/>
    <col min="1296" max="1296" width="17.140625" style="122" customWidth="1"/>
    <col min="1297" max="1297" width="11.42578125" style="122" customWidth="1"/>
    <col min="1298" max="1298" width="34.28515625" style="122" bestFit="1" customWidth="1"/>
    <col min="1299" max="1502" width="11.42578125" style="122"/>
    <col min="1503" max="1503" width="8.85546875" style="122" customWidth="1"/>
    <col min="1504" max="1504" width="35.7109375" style="122" bestFit="1" customWidth="1"/>
    <col min="1505" max="1505" width="5" style="122" customWidth="1"/>
    <col min="1506" max="1508" width="12.85546875" style="122" bestFit="1" customWidth="1"/>
    <col min="1509" max="1519" width="15.140625" style="122" customWidth="1"/>
    <col min="1520" max="1520" width="13.85546875" style="122" customWidth="1"/>
    <col min="1521" max="1521" width="11.42578125" style="122" customWidth="1"/>
    <col min="1522" max="1522" width="12" style="122" bestFit="1" customWidth="1"/>
    <col min="1523" max="1523" width="31.7109375" style="122" customWidth="1"/>
    <col min="1524" max="1524" width="13.85546875" style="122" customWidth="1"/>
    <col min="1525" max="1525" width="13.42578125" style="122" customWidth="1"/>
    <col min="1526" max="1529" width="16.140625" style="122" bestFit="1" customWidth="1"/>
    <col min="1530" max="1533" width="17.42578125" style="122" bestFit="1" customWidth="1"/>
    <col min="1534" max="1537" width="17.42578125" style="122" customWidth="1"/>
    <col min="1538" max="1538" width="27.28515625" style="122" customWidth="1"/>
    <col min="1539" max="1539" width="15.85546875" style="122" bestFit="1" customWidth="1"/>
    <col min="1540" max="1540" width="12.42578125" style="122" bestFit="1" customWidth="1"/>
    <col min="1541" max="1551" width="11.42578125" style="122" customWidth="1"/>
    <col min="1552" max="1552" width="17.140625" style="122" customWidth="1"/>
    <col min="1553" max="1553" width="11.42578125" style="122" customWidth="1"/>
    <col min="1554" max="1554" width="34.28515625" style="122" bestFit="1" customWidth="1"/>
    <col min="1555" max="1758" width="11.42578125" style="122"/>
    <col min="1759" max="1759" width="8.85546875" style="122" customWidth="1"/>
    <col min="1760" max="1760" width="35.7109375" style="122" bestFit="1" customWidth="1"/>
    <col min="1761" max="1761" width="5" style="122" customWidth="1"/>
    <col min="1762" max="1764" width="12.85546875" style="122" bestFit="1" customWidth="1"/>
    <col min="1765" max="1775" width="15.140625" style="122" customWidth="1"/>
    <col min="1776" max="1776" width="13.85546875" style="122" customWidth="1"/>
    <col min="1777" max="1777" width="11.42578125" style="122" customWidth="1"/>
    <col min="1778" max="1778" width="12" style="122" bestFit="1" customWidth="1"/>
    <col min="1779" max="1779" width="31.7109375" style="122" customWidth="1"/>
    <col min="1780" max="1780" width="13.85546875" style="122" customWidth="1"/>
    <col min="1781" max="1781" width="13.42578125" style="122" customWidth="1"/>
    <col min="1782" max="1785" width="16.140625" style="122" bestFit="1" customWidth="1"/>
    <col min="1786" max="1789" width="17.42578125" style="122" bestFit="1" customWidth="1"/>
    <col min="1790" max="1793" width="17.42578125" style="122" customWidth="1"/>
    <col min="1794" max="1794" width="27.28515625" style="122" customWidth="1"/>
    <col min="1795" max="1795" width="15.85546875" style="122" bestFit="1" customWidth="1"/>
    <col min="1796" max="1796" width="12.42578125" style="122" bestFit="1" customWidth="1"/>
    <col min="1797" max="1807" width="11.42578125" style="122" customWidth="1"/>
    <col min="1808" max="1808" width="17.140625" style="122" customWidth="1"/>
    <col min="1809" max="1809" width="11.42578125" style="122" customWidth="1"/>
    <col min="1810" max="1810" width="34.28515625" style="122" bestFit="1" customWidth="1"/>
    <col min="1811" max="2014" width="11.42578125" style="122"/>
    <col min="2015" max="2015" width="8.85546875" style="122" customWidth="1"/>
    <col min="2016" max="2016" width="35.7109375" style="122" bestFit="1" customWidth="1"/>
    <col min="2017" max="2017" width="5" style="122" customWidth="1"/>
    <col min="2018" max="2020" width="12.85546875" style="122" bestFit="1" customWidth="1"/>
    <col min="2021" max="2031" width="15.140625" style="122" customWidth="1"/>
    <col min="2032" max="2032" width="13.85546875" style="122" customWidth="1"/>
    <col min="2033" max="2033" width="11.42578125" style="122" customWidth="1"/>
    <col min="2034" max="2034" width="12" style="122" bestFit="1" customWidth="1"/>
    <col min="2035" max="2035" width="31.7109375" style="122" customWidth="1"/>
    <col min="2036" max="2036" width="13.85546875" style="122" customWidth="1"/>
    <col min="2037" max="2037" width="13.42578125" style="122" customWidth="1"/>
    <col min="2038" max="2041" width="16.140625" style="122" bestFit="1" customWidth="1"/>
    <col min="2042" max="2045" width="17.42578125" style="122" bestFit="1" customWidth="1"/>
    <col min="2046" max="2049" width="17.42578125" style="122" customWidth="1"/>
    <col min="2050" max="2050" width="27.28515625" style="122" customWidth="1"/>
    <col min="2051" max="2051" width="15.85546875" style="122" bestFit="1" customWidth="1"/>
    <col min="2052" max="2052" width="12.42578125" style="122" bestFit="1" customWidth="1"/>
    <col min="2053" max="2063" width="11.42578125" style="122" customWidth="1"/>
    <col min="2064" max="2064" width="17.140625" style="122" customWidth="1"/>
    <col min="2065" max="2065" width="11.42578125" style="122" customWidth="1"/>
    <col min="2066" max="2066" width="34.28515625" style="122" bestFit="1" customWidth="1"/>
    <col min="2067" max="2270" width="11.42578125" style="122"/>
    <col min="2271" max="2271" width="8.85546875" style="122" customWidth="1"/>
    <col min="2272" max="2272" width="35.7109375" style="122" bestFit="1" customWidth="1"/>
    <col min="2273" max="2273" width="5" style="122" customWidth="1"/>
    <col min="2274" max="2276" width="12.85546875" style="122" bestFit="1" customWidth="1"/>
    <col min="2277" max="2287" width="15.140625" style="122" customWidth="1"/>
    <col min="2288" max="2288" width="13.85546875" style="122" customWidth="1"/>
    <col min="2289" max="2289" width="11.42578125" style="122" customWidth="1"/>
    <col min="2290" max="2290" width="12" style="122" bestFit="1" customWidth="1"/>
    <col min="2291" max="2291" width="31.7109375" style="122" customWidth="1"/>
    <col min="2292" max="2292" width="13.85546875" style="122" customWidth="1"/>
    <col min="2293" max="2293" width="13.42578125" style="122" customWidth="1"/>
    <col min="2294" max="2297" width="16.140625" style="122" bestFit="1" customWidth="1"/>
    <col min="2298" max="2301" width="17.42578125" style="122" bestFit="1" customWidth="1"/>
    <col min="2302" max="2305" width="17.42578125" style="122" customWidth="1"/>
    <col min="2306" max="2306" width="27.28515625" style="122" customWidth="1"/>
    <col min="2307" max="2307" width="15.85546875" style="122" bestFit="1" customWidth="1"/>
    <col min="2308" max="2308" width="12.42578125" style="122" bestFit="1" customWidth="1"/>
    <col min="2309" max="2319" width="11.42578125" style="122" customWidth="1"/>
    <col min="2320" max="2320" width="17.140625" style="122" customWidth="1"/>
    <col min="2321" max="2321" width="11.42578125" style="122" customWidth="1"/>
    <col min="2322" max="2322" width="34.28515625" style="122" bestFit="1" customWidth="1"/>
    <col min="2323" max="2526" width="11.42578125" style="122"/>
    <col min="2527" max="2527" width="8.85546875" style="122" customWidth="1"/>
    <col min="2528" max="2528" width="35.7109375" style="122" bestFit="1" customWidth="1"/>
    <col min="2529" max="2529" width="5" style="122" customWidth="1"/>
    <col min="2530" max="2532" width="12.85546875" style="122" bestFit="1" customWidth="1"/>
    <col min="2533" max="2543" width="15.140625" style="122" customWidth="1"/>
    <col min="2544" max="2544" width="13.85546875" style="122" customWidth="1"/>
    <col min="2545" max="2545" width="11.42578125" style="122" customWidth="1"/>
    <col min="2546" max="2546" width="12" style="122" bestFit="1" customWidth="1"/>
    <col min="2547" max="2547" width="31.7109375" style="122" customWidth="1"/>
    <col min="2548" max="2548" width="13.85546875" style="122" customWidth="1"/>
    <col min="2549" max="2549" width="13.42578125" style="122" customWidth="1"/>
    <col min="2550" max="2553" width="16.140625" style="122" bestFit="1" customWidth="1"/>
    <col min="2554" max="2557" width="17.42578125" style="122" bestFit="1" customWidth="1"/>
    <col min="2558" max="2561" width="17.42578125" style="122" customWidth="1"/>
    <col min="2562" max="2562" width="27.28515625" style="122" customWidth="1"/>
    <col min="2563" max="2563" width="15.85546875" style="122" bestFit="1" customWidth="1"/>
    <col min="2564" max="2564" width="12.42578125" style="122" bestFit="1" customWidth="1"/>
    <col min="2565" max="2575" width="11.42578125" style="122" customWidth="1"/>
    <col min="2576" max="2576" width="17.140625" style="122" customWidth="1"/>
    <col min="2577" max="2577" width="11.42578125" style="122" customWidth="1"/>
    <col min="2578" max="2578" width="34.28515625" style="122" bestFit="1" customWidth="1"/>
    <col min="2579" max="2782" width="11.42578125" style="122"/>
    <col min="2783" max="2783" width="8.85546875" style="122" customWidth="1"/>
    <col min="2784" max="2784" width="35.7109375" style="122" bestFit="1" customWidth="1"/>
    <col min="2785" max="2785" width="5" style="122" customWidth="1"/>
    <col min="2786" max="2788" width="12.85546875" style="122" bestFit="1" customWidth="1"/>
    <col min="2789" max="2799" width="15.140625" style="122" customWidth="1"/>
    <col min="2800" max="2800" width="13.85546875" style="122" customWidth="1"/>
    <col min="2801" max="2801" width="11.42578125" style="122" customWidth="1"/>
    <col min="2802" max="2802" width="12" style="122" bestFit="1" customWidth="1"/>
    <col min="2803" max="2803" width="31.7109375" style="122" customWidth="1"/>
    <col min="2804" max="2804" width="13.85546875" style="122" customWidth="1"/>
    <col min="2805" max="2805" width="13.42578125" style="122" customWidth="1"/>
    <col min="2806" max="2809" width="16.140625" style="122" bestFit="1" customWidth="1"/>
    <col min="2810" max="2813" width="17.42578125" style="122" bestFit="1" customWidth="1"/>
    <col min="2814" max="2817" width="17.42578125" style="122" customWidth="1"/>
    <col min="2818" max="2818" width="27.28515625" style="122" customWidth="1"/>
    <col min="2819" max="2819" width="15.85546875" style="122" bestFit="1" customWidth="1"/>
    <col min="2820" max="2820" width="12.42578125" style="122" bestFit="1" customWidth="1"/>
    <col min="2821" max="2831" width="11.42578125" style="122" customWidth="1"/>
    <col min="2832" max="2832" width="17.140625" style="122" customWidth="1"/>
    <col min="2833" max="2833" width="11.42578125" style="122" customWidth="1"/>
    <col min="2834" max="2834" width="34.28515625" style="122" bestFit="1" customWidth="1"/>
    <col min="2835" max="3038" width="11.42578125" style="122"/>
    <col min="3039" max="3039" width="8.85546875" style="122" customWidth="1"/>
    <col min="3040" max="3040" width="35.7109375" style="122" bestFit="1" customWidth="1"/>
    <col min="3041" max="3041" width="5" style="122" customWidth="1"/>
    <col min="3042" max="3044" width="12.85546875" style="122" bestFit="1" customWidth="1"/>
    <col min="3045" max="3055" width="15.140625" style="122" customWidth="1"/>
    <col min="3056" max="3056" width="13.85546875" style="122" customWidth="1"/>
    <col min="3057" max="3057" width="11.42578125" style="122" customWidth="1"/>
    <col min="3058" max="3058" width="12" style="122" bestFit="1" customWidth="1"/>
    <col min="3059" max="3059" width="31.7109375" style="122" customWidth="1"/>
    <col min="3060" max="3060" width="13.85546875" style="122" customWidth="1"/>
    <col min="3061" max="3061" width="13.42578125" style="122" customWidth="1"/>
    <col min="3062" max="3065" width="16.140625" style="122" bestFit="1" customWidth="1"/>
    <col min="3066" max="3069" width="17.42578125" style="122" bestFit="1" customWidth="1"/>
    <col min="3070" max="3073" width="17.42578125" style="122" customWidth="1"/>
    <col min="3074" max="3074" width="27.28515625" style="122" customWidth="1"/>
    <col min="3075" max="3075" width="15.85546875" style="122" bestFit="1" customWidth="1"/>
    <col min="3076" max="3076" width="12.42578125" style="122" bestFit="1" customWidth="1"/>
    <col min="3077" max="3087" width="11.42578125" style="122" customWidth="1"/>
    <col min="3088" max="3088" width="17.140625" style="122" customWidth="1"/>
    <col min="3089" max="3089" width="11.42578125" style="122" customWidth="1"/>
    <col min="3090" max="3090" width="34.28515625" style="122" bestFit="1" customWidth="1"/>
    <col min="3091" max="3294" width="11.42578125" style="122"/>
    <col min="3295" max="3295" width="8.85546875" style="122" customWidth="1"/>
    <col min="3296" max="3296" width="35.7109375" style="122" bestFit="1" customWidth="1"/>
    <col min="3297" max="3297" width="5" style="122" customWidth="1"/>
    <col min="3298" max="3300" width="12.85546875" style="122" bestFit="1" customWidth="1"/>
    <col min="3301" max="3311" width="15.140625" style="122" customWidth="1"/>
    <col min="3312" max="3312" width="13.85546875" style="122" customWidth="1"/>
    <col min="3313" max="3313" width="11.42578125" style="122" customWidth="1"/>
    <col min="3314" max="3314" width="12" style="122" bestFit="1" customWidth="1"/>
    <col min="3315" max="3315" width="31.7109375" style="122" customWidth="1"/>
    <col min="3316" max="3316" width="13.85546875" style="122" customWidth="1"/>
    <col min="3317" max="3317" width="13.42578125" style="122" customWidth="1"/>
    <col min="3318" max="3321" width="16.140625" style="122" bestFit="1" customWidth="1"/>
    <col min="3322" max="3325" width="17.42578125" style="122" bestFit="1" customWidth="1"/>
    <col min="3326" max="3329" width="17.42578125" style="122" customWidth="1"/>
    <col min="3330" max="3330" width="27.28515625" style="122" customWidth="1"/>
    <col min="3331" max="3331" width="15.85546875" style="122" bestFit="1" customWidth="1"/>
    <col min="3332" max="3332" width="12.42578125" style="122" bestFit="1" customWidth="1"/>
    <col min="3333" max="3343" width="11.42578125" style="122" customWidth="1"/>
    <col min="3344" max="3344" width="17.140625" style="122" customWidth="1"/>
    <col min="3345" max="3345" width="11.42578125" style="122" customWidth="1"/>
    <col min="3346" max="3346" width="34.28515625" style="122" bestFit="1" customWidth="1"/>
    <col min="3347" max="3550" width="11.42578125" style="122"/>
    <col min="3551" max="3551" width="8.85546875" style="122" customWidth="1"/>
    <col min="3552" max="3552" width="35.7109375" style="122" bestFit="1" customWidth="1"/>
    <col min="3553" max="3553" width="5" style="122" customWidth="1"/>
    <col min="3554" max="3556" width="12.85546875" style="122" bestFit="1" customWidth="1"/>
    <col min="3557" max="3567" width="15.140625" style="122" customWidth="1"/>
    <col min="3568" max="3568" width="13.85546875" style="122" customWidth="1"/>
    <col min="3569" max="3569" width="11.42578125" style="122" customWidth="1"/>
    <col min="3570" max="3570" width="12" style="122" bestFit="1" customWidth="1"/>
    <col min="3571" max="3571" width="31.7109375" style="122" customWidth="1"/>
    <col min="3572" max="3572" width="13.85546875" style="122" customWidth="1"/>
    <col min="3573" max="3573" width="13.42578125" style="122" customWidth="1"/>
    <col min="3574" max="3577" width="16.140625" style="122" bestFit="1" customWidth="1"/>
    <col min="3578" max="3581" width="17.42578125" style="122" bestFit="1" customWidth="1"/>
    <col min="3582" max="3585" width="17.42578125" style="122" customWidth="1"/>
    <col min="3586" max="3586" width="27.28515625" style="122" customWidth="1"/>
    <col min="3587" max="3587" width="15.85546875" style="122" bestFit="1" customWidth="1"/>
    <col min="3588" max="3588" width="12.42578125" style="122" bestFit="1" customWidth="1"/>
    <col min="3589" max="3599" width="11.42578125" style="122" customWidth="1"/>
    <col min="3600" max="3600" width="17.140625" style="122" customWidth="1"/>
    <col min="3601" max="3601" width="11.42578125" style="122" customWidth="1"/>
    <col min="3602" max="3602" width="34.28515625" style="122" bestFit="1" customWidth="1"/>
    <col min="3603" max="3806" width="11.42578125" style="122"/>
    <col min="3807" max="3807" width="8.85546875" style="122" customWidth="1"/>
    <col min="3808" max="3808" width="35.7109375" style="122" bestFit="1" customWidth="1"/>
    <col min="3809" max="3809" width="5" style="122" customWidth="1"/>
    <col min="3810" max="3812" width="12.85546875" style="122" bestFit="1" customWidth="1"/>
    <col min="3813" max="3823" width="15.140625" style="122" customWidth="1"/>
    <col min="3824" max="3824" width="13.85546875" style="122" customWidth="1"/>
    <col min="3825" max="3825" width="11.42578125" style="122" customWidth="1"/>
    <col min="3826" max="3826" width="12" style="122" bestFit="1" customWidth="1"/>
    <col min="3827" max="3827" width="31.7109375" style="122" customWidth="1"/>
    <col min="3828" max="3828" width="13.85546875" style="122" customWidth="1"/>
    <col min="3829" max="3829" width="13.42578125" style="122" customWidth="1"/>
    <col min="3830" max="3833" width="16.140625" style="122" bestFit="1" customWidth="1"/>
    <col min="3834" max="3837" width="17.42578125" style="122" bestFit="1" customWidth="1"/>
    <col min="3838" max="3841" width="17.42578125" style="122" customWidth="1"/>
    <col min="3842" max="3842" width="27.28515625" style="122" customWidth="1"/>
    <col min="3843" max="3843" width="15.85546875" style="122" bestFit="1" customWidth="1"/>
    <col min="3844" max="3844" width="12.42578125" style="122" bestFit="1" customWidth="1"/>
    <col min="3845" max="3855" width="11.42578125" style="122" customWidth="1"/>
    <col min="3856" max="3856" width="17.140625" style="122" customWidth="1"/>
    <col min="3857" max="3857" width="11.42578125" style="122" customWidth="1"/>
    <col min="3858" max="3858" width="34.28515625" style="122" bestFit="1" customWidth="1"/>
    <col min="3859" max="4062" width="11.42578125" style="122"/>
    <col min="4063" max="4063" width="8.85546875" style="122" customWidth="1"/>
    <col min="4064" max="4064" width="35.7109375" style="122" bestFit="1" customWidth="1"/>
    <col min="4065" max="4065" width="5" style="122" customWidth="1"/>
    <col min="4066" max="4068" width="12.85546875" style="122" bestFit="1" customWidth="1"/>
    <col min="4069" max="4079" width="15.140625" style="122" customWidth="1"/>
    <col min="4080" max="4080" width="13.85546875" style="122" customWidth="1"/>
    <col min="4081" max="4081" width="11.42578125" style="122" customWidth="1"/>
    <col min="4082" max="4082" width="12" style="122" bestFit="1" customWidth="1"/>
    <col min="4083" max="4083" width="31.7109375" style="122" customWidth="1"/>
    <col min="4084" max="4084" width="13.85546875" style="122" customWidth="1"/>
    <col min="4085" max="4085" width="13.42578125" style="122" customWidth="1"/>
    <col min="4086" max="4089" width="16.140625" style="122" bestFit="1" customWidth="1"/>
    <col min="4090" max="4093" width="17.42578125" style="122" bestFit="1" customWidth="1"/>
    <col min="4094" max="4097" width="17.42578125" style="122" customWidth="1"/>
    <col min="4098" max="4098" width="27.28515625" style="122" customWidth="1"/>
    <col min="4099" max="4099" width="15.85546875" style="122" bestFit="1" customWidth="1"/>
    <col min="4100" max="4100" width="12.42578125" style="122" bestFit="1" customWidth="1"/>
    <col min="4101" max="4111" width="11.42578125" style="122" customWidth="1"/>
    <col min="4112" max="4112" width="17.140625" style="122" customWidth="1"/>
    <col min="4113" max="4113" width="11.42578125" style="122" customWidth="1"/>
    <col min="4114" max="4114" width="34.28515625" style="122" bestFit="1" customWidth="1"/>
    <col min="4115" max="4318" width="11.42578125" style="122"/>
    <col min="4319" max="4319" width="8.85546875" style="122" customWidth="1"/>
    <col min="4320" max="4320" width="35.7109375" style="122" bestFit="1" customWidth="1"/>
    <col min="4321" max="4321" width="5" style="122" customWidth="1"/>
    <col min="4322" max="4324" width="12.85546875" style="122" bestFit="1" customWidth="1"/>
    <col min="4325" max="4335" width="15.140625" style="122" customWidth="1"/>
    <col min="4336" max="4336" width="13.85546875" style="122" customWidth="1"/>
    <col min="4337" max="4337" width="11.42578125" style="122" customWidth="1"/>
    <col min="4338" max="4338" width="12" style="122" bestFit="1" customWidth="1"/>
    <col min="4339" max="4339" width="31.7109375" style="122" customWidth="1"/>
    <col min="4340" max="4340" width="13.85546875" style="122" customWidth="1"/>
    <col min="4341" max="4341" width="13.42578125" style="122" customWidth="1"/>
    <col min="4342" max="4345" width="16.140625" style="122" bestFit="1" customWidth="1"/>
    <col min="4346" max="4349" width="17.42578125" style="122" bestFit="1" customWidth="1"/>
    <col min="4350" max="4353" width="17.42578125" style="122" customWidth="1"/>
    <col min="4354" max="4354" width="27.28515625" style="122" customWidth="1"/>
    <col min="4355" max="4355" width="15.85546875" style="122" bestFit="1" customWidth="1"/>
    <col min="4356" max="4356" width="12.42578125" style="122" bestFit="1" customWidth="1"/>
    <col min="4357" max="4367" width="11.42578125" style="122" customWidth="1"/>
    <col min="4368" max="4368" width="17.140625" style="122" customWidth="1"/>
    <col min="4369" max="4369" width="11.42578125" style="122" customWidth="1"/>
    <col min="4370" max="4370" width="34.28515625" style="122" bestFit="1" customWidth="1"/>
    <col min="4371" max="4574" width="11.42578125" style="122"/>
    <col min="4575" max="4575" width="8.85546875" style="122" customWidth="1"/>
    <col min="4576" max="4576" width="35.7109375" style="122" bestFit="1" customWidth="1"/>
    <col min="4577" max="4577" width="5" style="122" customWidth="1"/>
    <col min="4578" max="4580" width="12.85546875" style="122" bestFit="1" customWidth="1"/>
    <col min="4581" max="4591" width="15.140625" style="122" customWidth="1"/>
    <col min="4592" max="4592" width="13.85546875" style="122" customWidth="1"/>
    <col min="4593" max="4593" width="11.42578125" style="122" customWidth="1"/>
    <col min="4594" max="4594" width="12" style="122" bestFit="1" customWidth="1"/>
    <col min="4595" max="4595" width="31.7109375" style="122" customWidth="1"/>
    <col min="4596" max="4596" width="13.85546875" style="122" customWidth="1"/>
    <col min="4597" max="4597" width="13.42578125" style="122" customWidth="1"/>
    <col min="4598" max="4601" width="16.140625" style="122" bestFit="1" customWidth="1"/>
    <col min="4602" max="4605" width="17.42578125" style="122" bestFit="1" customWidth="1"/>
    <col min="4606" max="4609" width="17.42578125" style="122" customWidth="1"/>
    <col min="4610" max="4610" width="27.28515625" style="122" customWidth="1"/>
    <col min="4611" max="4611" width="15.85546875" style="122" bestFit="1" customWidth="1"/>
    <col min="4612" max="4612" width="12.42578125" style="122" bestFit="1" customWidth="1"/>
    <col min="4613" max="4623" width="11.42578125" style="122" customWidth="1"/>
    <col min="4624" max="4624" width="17.140625" style="122" customWidth="1"/>
    <col min="4625" max="4625" width="11.42578125" style="122" customWidth="1"/>
    <col min="4626" max="4626" width="34.28515625" style="122" bestFit="1" customWidth="1"/>
    <col min="4627" max="4830" width="11.42578125" style="122"/>
    <col min="4831" max="4831" width="8.85546875" style="122" customWidth="1"/>
    <col min="4832" max="4832" width="35.7109375" style="122" bestFit="1" customWidth="1"/>
    <col min="4833" max="4833" width="5" style="122" customWidth="1"/>
    <col min="4834" max="4836" width="12.85546875" style="122" bestFit="1" customWidth="1"/>
    <col min="4837" max="4847" width="15.140625" style="122" customWidth="1"/>
    <col min="4848" max="4848" width="13.85546875" style="122" customWidth="1"/>
    <col min="4849" max="4849" width="11.42578125" style="122" customWidth="1"/>
    <col min="4850" max="4850" width="12" style="122" bestFit="1" customWidth="1"/>
    <col min="4851" max="4851" width="31.7109375" style="122" customWidth="1"/>
    <col min="4852" max="4852" width="13.85546875" style="122" customWidth="1"/>
    <col min="4853" max="4853" width="13.42578125" style="122" customWidth="1"/>
    <col min="4854" max="4857" width="16.140625" style="122" bestFit="1" customWidth="1"/>
    <col min="4858" max="4861" width="17.42578125" style="122" bestFit="1" customWidth="1"/>
    <col min="4862" max="4865" width="17.42578125" style="122" customWidth="1"/>
    <col min="4866" max="4866" width="27.28515625" style="122" customWidth="1"/>
    <col min="4867" max="4867" width="15.85546875" style="122" bestFit="1" customWidth="1"/>
    <col min="4868" max="4868" width="12.42578125" style="122" bestFit="1" customWidth="1"/>
    <col min="4869" max="4879" width="11.42578125" style="122" customWidth="1"/>
    <col min="4880" max="4880" width="17.140625" style="122" customWidth="1"/>
    <col min="4881" max="4881" width="11.42578125" style="122" customWidth="1"/>
    <col min="4882" max="4882" width="34.28515625" style="122" bestFit="1" customWidth="1"/>
    <col min="4883" max="5086" width="11.42578125" style="122"/>
    <col min="5087" max="5087" width="8.85546875" style="122" customWidth="1"/>
    <col min="5088" max="5088" width="35.7109375" style="122" bestFit="1" customWidth="1"/>
    <col min="5089" max="5089" width="5" style="122" customWidth="1"/>
    <col min="5090" max="5092" width="12.85546875" style="122" bestFit="1" customWidth="1"/>
    <col min="5093" max="5103" width="15.140625" style="122" customWidth="1"/>
    <col min="5104" max="5104" width="13.85546875" style="122" customWidth="1"/>
    <col min="5105" max="5105" width="11.42578125" style="122" customWidth="1"/>
    <col min="5106" max="5106" width="12" style="122" bestFit="1" customWidth="1"/>
    <col min="5107" max="5107" width="31.7109375" style="122" customWidth="1"/>
    <col min="5108" max="5108" width="13.85546875" style="122" customWidth="1"/>
    <col min="5109" max="5109" width="13.42578125" style="122" customWidth="1"/>
    <col min="5110" max="5113" width="16.140625" style="122" bestFit="1" customWidth="1"/>
    <col min="5114" max="5117" width="17.42578125" style="122" bestFit="1" customWidth="1"/>
    <col min="5118" max="5121" width="17.42578125" style="122" customWidth="1"/>
    <col min="5122" max="5122" width="27.28515625" style="122" customWidth="1"/>
    <col min="5123" max="5123" width="15.85546875" style="122" bestFit="1" customWidth="1"/>
    <col min="5124" max="5124" width="12.42578125" style="122" bestFit="1" customWidth="1"/>
    <col min="5125" max="5135" width="11.42578125" style="122" customWidth="1"/>
    <col min="5136" max="5136" width="17.140625" style="122" customWidth="1"/>
    <col min="5137" max="5137" width="11.42578125" style="122" customWidth="1"/>
    <col min="5138" max="5138" width="34.28515625" style="122" bestFit="1" customWidth="1"/>
    <col min="5139" max="5342" width="11.42578125" style="122"/>
    <col min="5343" max="5343" width="8.85546875" style="122" customWidth="1"/>
    <col min="5344" max="5344" width="35.7109375" style="122" bestFit="1" customWidth="1"/>
    <col min="5345" max="5345" width="5" style="122" customWidth="1"/>
    <col min="5346" max="5348" width="12.85546875" style="122" bestFit="1" customWidth="1"/>
    <col min="5349" max="5359" width="15.140625" style="122" customWidth="1"/>
    <col min="5360" max="5360" width="13.85546875" style="122" customWidth="1"/>
    <col min="5361" max="5361" width="11.42578125" style="122" customWidth="1"/>
    <col min="5362" max="5362" width="12" style="122" bestFit="1" customWidth="1"/>
    <col min="5363" max="5363" width="31.7109375" style="122" customWidth="1"/>
    <col min="5364" max="5364" width="13.85546875" style="122" customWidth="1"/>
    <col min="5365" max="5365" width="13.42578125" style="122" customWidth="1"/>
    <col min="5366" max="5369" width="16.140625" style="122" bestFit="1" customWidth="1"/>
    <col min="5370" max="5373" width="17.42578125" style="122" bestFit="1" customWidth="1"/>
    <col min="5374" max="5377" width="17.42578125" style="122" customWidth="1"/>
    <col min="5378" max="5378" width="27.28515625" style="122" customWidth="1"/>
    <col min="5379" max="5379" width="15.85546875" style="122" bestFit="1" customWidth="1"/>
    <col min="5380" max="5380" width="12.42578125" style="122" bestFit="1" customWidth="1"/>
    <col min="5381" max="5391" width="11.42578125" style="122" customWidth="1"/>
    <col min="5392" max="5392" width="17.140625" style="122" customWidth="1"/>
    <col min="5393" max="5393" width="11.42578125" style="122" customWidth="1"/>
    <col min="5394" max="5394" width="34.28515625" style="122" bestFit="1" customWidth="1"/>
    <col min="5395" max="5598" width="11.42578125" style="122"/>
    <col min="5599" max="5599" width="8.85546875" style="122" customWidth="1"/>
    <col min="5600" max="5600" width="35.7109375" style="122" bestFit="1" customWidth="1"/>
    <col min="5601" max="5601" width="5" style="122" customWidth="1"/>
    <col min="5602" max="5604" width="12.85546875" style="122" bestFit="1" customWidth="1"/>
    <col min="5605" max="5615" width="15.140625" style="122" customWidth="1"/>
    <col min="5616" max="5616" width="13.85546875" style="122" customWidth="1"/>
    <col min="5617" max="5617" width="11.42578125" style="122" customWidth="1"/>
    <col min="5618" max="5618" width="12" style="122" bestFit="1" customWidth="1"/>
    <col min="5619" max="5619" width="31.7109375" style="122" customWidth="1"/>
    <col min="5620" max="5620" width="13.85546875" style="122" customWidth="1"/>
    <col min="5621" max="5621" width="13.42578125" style="122" customWidth="1"/>
    <col min="5622" max="5625" width="16.140625" style="122" bestFit="1" customWidth="1"/>
    <col min="5626" max="5629" width="17.42578125" style="122" bestFit="1" customWidth="1"/>
    <col min="5630" max="5633" width="17.42578125" style="122" customWidth="1"/>
    <col min="5634" max="5634" width="27.28515625" style="122" customWidth="1"/>
    <col min="5635" max="5635" width="15.85546875" style="122" bestFit="1" customWidth="1"/>
    <col min="5636" max="5636" width="12.42578125" style="122" bestFit="1" customWidth="1"/>
    <col min="5637" max="5647" width="11.42578125" style="122" customWidth="1"/>
    <col min="5648" max="5648" width="17.140625" style="122" customWidth="1"/>
    <col min="5649" max="5649" width="11.42578125" style="122" customWidth="1"/>
    <col min="5650" max="5650" width="34.28515625" style="122" bestFit="1" customWidth="1"/>
    <col min="5651" max="5854" width="11.42578125" style="122"/>
    <col min="5855" max="5855" width="8.85546875" style="122" customWidth="1"/>
    <col min="5856" max="5856" width="35.7109375" style="122" bestFit="1" customWidth="1"/>
    <col min="5857" max="5857" width="5" style="122" customWidth="1"/>
    <col min="5858" max="5860" width="12.85546875" style="122" bestFit="1" customWidth="1"/>
    <col min="5861" max="5871" width="15.140625" style="122" customWidth="1"/>
    <col min="5872" max="5872" width="13.85546875" style="122" customWidth="1"/>
    <col min="5873" max="5873" width="11.42578125" style="122" customWidth="1"/>
    <col min="5874" max="5874" width="12" style="122" bestFit="1" customWidth="1"/>
    <col min="5875" max="5875" width="31.7109375" style="122" customWidth="1"/>
    <col min="5876" max="5876" width="13.85546875" style="122" customWidth="1"/>
    <col min="5877" max="5877" width="13.42578125" style="122" customWidth="1"/>
    <col min="5878" max="5881" width="16.140625" style="122" bestFit="1" customWidth="1"/>
    <col min="5882" max="5885" width="17.42578125" style="122" bestFit="1" customWidth="1"/>
    <col min="5886" max="5889" width="17.42578125" style="122" customWidth="1"/>
    <col min="5890" max="5890" width="27.28515625" style="122" customWidth="1"/>
    <col min="5891" max="5891" width="15.85546875" style="122" bestFit="1" customWidth="1"/>
    <col min="5892" max="5892" width="12.42578125" style="122" bestFit="1" customWidth="1"/>
    <col min="5893" max="5903" width="11.42578125" style="122" customWidth="1"/>
    <col min="5904" max="5904" width="17.140625" style="122" customWidth="1"/>
    <col min="5905" max="5905" width="11.42578125" style="122" customWidth="1"/>
    <col min="5906" max="5906" width="34.28515625" style="122" bestFit="1" customWidth="1"/>
    <col min="5907" max="6110" width="11.42578125" style="122"/>
    <col min="6111" max="6111" width="8.85546875" style="122" customWidth="1"/>
    <col min="6112" max="6112" width="35.7109375" style="122" bestFit="1" customWidth="1"/>
    <col min="6113" max="6113" width="5" style="122" customWidth="1"/>
    <col min="6114" max="6116" width="12.85546875" style="122" bestFit="1" customWidth="1"/>
    <col min="6117" max="6127" width="15.140625" style="122" customWidth="1"/>
    <col min="6128" max="6128" width="13.85546875" style="122" customWidth="1"/>
    <col min="6129" max="6129" width="11.42578125" style="122" customWidth="1"/>
    <col min="6130" max="6130" width="12" style="122" bestFit="1" customWidth="1"/>
    <col min="6131" max="6131" width="31.7109375" style="122" customWidth="1"/>
    <col min="6132" max="6132" width="13.85546875" style="122" customWidth="1"/>
    <col min="6133" max="6133" width="13.42578125" style="122" customWidth="1"/>
    <col min="6134" max="6137" width="16.140625" style="122" bestFit="1" customWidth="1"/>
    <col min="6138" max="6141" width="17.42578125" style="122" bestFit="1" customWidth="1"/>
    <col min="6142" max="6145" width="17.42578125" style="122" customWidth="1"/>
    <col min="6146" max="6146" width="27.28515625" style="122" customWidth="1"/>
    <col min="6147" max="6147" width="15.85546875" style="122" bestFit="1" customWidth="1"/>
    <col min="6148" max="6148" width="12.42578125" style="122" bestFit="1" customWidth="1"/>
    <col min="6149" max="6159" width="11.42578125" style="122" customWidth="1"/>
    <col min="6160" max="6160" width="17.140625" style="122" customWidth="1"/>
    <col min="6161" max="6161" width="11.42578125" style="122" customWidth="1"/>
    <col min="6162" max="6162" width="34.28515625" style="122" bestFit="1" customWidth="1"/>
    <col min="6163" max="6366" width="11.42578125" style="122"/>
    <col min="6367" max="6367" width="8.85546875" style="122" customWidth="1"/>
    <col min="6368" max="6368" width="35.7109375" style="122" bestFit="1" customWidth="1"/>
    <col min="6369" max="6369" width="5" style="122" customWidth="1"/>
    <col min="6370" max="6372" width="12.85546875" style="122" bestFit="1" customWidth="1"/>
    <col min="6373" max="6383" width="15.140625" style="122" customWidth="1"/>
    <col min="6384" max="6384" width="13.85546875" style="122" customWidth="1"/>
    <col min="6385" max="6385" width="11.42578125" style="122" customWidth="1"/>
    <col min="6386" max="6386" width="12" style="122" bestFit="1" customWidth="1"/>
    <col min="6387" max="6387" width="31.7109375" style="122" customWidth="1"/>
    <col min="6388" max="6388" width="13.85546875" style="122" customWidth="1"/>
    <col min="6389" max="6389" width="13.42578125" style="122" customWidth="1"/>
    <col min="6390" max="6393" width="16.140625" style="122" bestFit="1" customWidth="1"/>
    <col min="6394" max="6397" width="17.42578125" style="122" bestFit="1" customWidth="1"/>
    <col min="6398" max="6401" width="17.42578125" style="122" customWidth="1"/>
    <col min="6402" max="6402" width="27.28515625" style="122" customWidth="1"/>
    <col min="6403" max="6403" width="15.85546875" style="122" bestFit="1" customWidth="1"/>
    <col min="6404" max="6404" width="12.42578125" style="122" bestFit="1" customWidth="1"/>
    <col min="6405" max="6415" width="11.42578125" style="122" customWidth="1"/>
    <col min="6416" max="6416" width="17.140625" style="122" customWidth="1"/>
    <col min="6417" max="6417" width="11.42578125" style="122" customWidth="1"/>
    <col min="6418" max="6418" width="34.28515625" style="122" bestFit="1" customWidth="1"/>
    <col min="6419" max="6622" width="11.42578125" style="122"/>
    <col min="6623" max="6623" width="8.85546875" style="122" customWidth="1"/>
    <col min="6624" max="6624" width="35.7109375" style="122" bestFit="1" customWidth="1"/>
    <col min="6625" max="6625" width="5" style="122" customWidth="1"/>
    <col min="6626" max="6628" width="12.85546875" style="122" bestFit="1" customWidth="1"/>
    <col min="6629" max="6639" width="15.140625" style="122" customWidth="1"/>
    <col min="6640" max="6640" width="13.85546875" style="122" customWidth="1"/>
    <col min="6641" max="6641" width="11.42578125" style="122" customWidth="1"/>
    <col min="6642" max="6642" width="12" style="122" bestFit="1" customWidth="1"/>
    <col min="6643" max="6643" width="31.7109375" style="122" customWidth="1"/>
    <col min="6644" max="6644" width="13.85546875" style="122" customWidth="1"/>
    <col min="6645" max="6645" width="13.42578125" style="122" customWidth="1"/>
    <col min="6646" max="6649" width="16.140625" style="122" bestFit="1" customWidth="1"/>
    <col min="6650" max="6653" width="17.42578125" style="122" bestFit="1" customWidth="1"/>
    <col min="6654" max="6657" width="17.42578125" style="122" customWidth="1"/>
    <col min="6658" max="6658" width="27.28515625" style="122" customWidth="1"/>
    <col min="6659" max="6659" width="15.85546875" style="122" bestFit="1" customWidth="1"/>
    <col min="6660" max="6660" width="12.42578125" style="122" bestFit="1" customWidth="1"/>
    <col min="6661" max="6671" width="11.42578125" style="122" customWidth="1"/>
    <col min="6672" max="6672" width="17.140625" style="122" customWidth="1"/>
    <col min="6673" max="6673" width="11.42578125" style="122" customWidth="1"/>
    <col min="6674" max="6674" width="34.28515625" style="122" bestFit="1" customWidth="1"/>
    <col min="6675" max="6878" width="11.42578125" style="122"/>
    <col min="6879" max="6879" width="8.85546875" style="122" customWidth="1"/>
    <col min="6880" max="6880" width="35.7109375" style="122" bestFit="1" customWidth="1"/>
    <col min="6881" max="6881" width="5" style="122" customWidth="1"/>
    <col min="6882" max="6884" width="12.85546875" style="122" bestFit="1" customWidth="1"/>
    <col min="6885" max="6895" width="15.140625" style="122" customWidth="1"/>
    <col min="6896" max="6896" width="13.85546875" style="122" customWidth="1"/>
    <col min="6897" max="6897" width="11.42578125" style="122" customWidth="1"/>
    <col min="6898" max="6898" width="12" style="122" bestFit="1" customWidth="1"/>
    <col min="6899" max="6899" width="31.7109375" style="122" customWidth="1"/>
    <col min="6900" max="6900" width="13.85546875" style="122" customWidth="1"/>
    <col min="6901" max="6901" width="13.42578125" style="122" customWidth="1"/>
    <col min="6902" max="6905" width="16.140625" style="122" bestFit="1" customWidth="1"/>
    <col min="6906" max="6909" width="17.42578125" style="122" bestFit="1" customWidth="1"/>
    <col min="6910" max="6913" width="17.42578125" style="122" customWidth="1"/>
    <col min="6914" max="6914" width="27.28515625" style="122" customWidth="1"/>
    <col min="6915" max="6915" width="15.85546875" style="122" bestFit="1" customWidth="1"/>
    <col min="6916" max="6916" width="12.42578125" style="122" bestFit="1" customWidth="1"/>
    <col min="6917" max="6927" width="11.42578125" style="122" customWidth="1"/>
    <col min="6928" max="6928" width="17.140625" style="122" customWidth="1"/>
    <col min="6929" max="6929" width="11.42578125" style="122" customWidth="1"/>
    <col min="6930" max="6930" width="34.28515625" style="122" bestFit="1" customWidth="1"/>
    <col min="6931" max="7134" width="11.42578125" style="122"/>
    <col min="7135" max="7135" width="8.85546875" style="122" customWidth="1"/>
    <col min="7136" max="7136" width="35.7109375" style="122" bestFit="1" customWidth="1"/>
    <col min="7137" max="7137" width="5" style="122" customWidth="1"/>
    <col min="7138" max="7140" width="12.85546875" style="122" bestFit="1" customWidth="1"/>
    <col min="7141" max="7151" width="15.140625" style="122" customWidth="1"/>
    <col min="7152" max="7152" width="13.85546875" style="122" customWidth="1"/>
    <col min="7153" max="7153" width="11.42578125" style="122" customWidth="1"/>
    <col min="7154" max="7154" width="12" style="122" bestFit="1" customWidth="1"/>
    <col min="7155" max="7155" width="31.7109375" style="122" customWidth="1"/>
    <col min="7156" max="7156" width="13.85546875" style="122" customWidth="1"/>
    <col min="7157" max="7157" width="13.42578125" style="122" customWidth="1"/>
    <col min="7158" max="7161" width="16.140625" style="122" bestFit="1" customWidth="1"/>
    <col min="7162" max="7165" width="17.42578125" style="122" bestFit="1" customWidth="1"/>
    <col min="7166" max="7169" width="17.42578125" style="122" customWidth="1"/>
    <col min="7170" max="7170" width="27.28515625" style="122" customWidth="1"/>
    <col min="7171" max="7171" width="15.85546875" style="122" bestFit="1" customWidth="1"/>
    <col min="7172" max="7172" width="12.42578125" style="122" bestFit="1" customWidth="1"/>
    <col min="7173" max="7183" width="11.42578125" style="122" customWidth="1"/>
    <col min="7184" max="7184" width="17.140625" style="122" customWidth="1"/>
    <col min="7185" max="7185" width="11.42578125" style="122" customWidth="1"/>
    <col min="7186" max="7186" width="34.28515625" style="122" bestFit="1" customWidth="1"/>
    <col min="7187" max="7390" width="11.42578125" style="122"/>
    <col min="7391" max="7391" width="8.85546875" style="122" customWidth="1"/>
    <col min="7392" max="7392" width="35.7109375" style="122" bestFit="1" customWidth="1"/>
    <col min="7393" max="7393" width="5" style="122" customWidth="1"/>
    <col min="7394" max="7396" width="12.85546875" style="122" bestFit="1" customWidth="1"/>
    <col min="7397" max="7407" width="15.140625" style="122" customWidth="1"/>
    <col min="7408" max="7408" width="13.85546875" style="122" customWidth="1"/>
    <col min="7409" max="7409" width="11.42578125" style="122" customWidth="1"/>
    <col min="7410" max="7410" width="12" style="122" bestFit="1" customWidth="1"/>
    <col min="7411" max="7411" width="31.7109375" style="122" customWidth="1"/>
    <col min="7412" max="7412" width="13.85546875" style="122" customWidth="1"/>
    <col min="7413" max="7413" width="13.42578125" style="122" customWidth="1"/>
    <col min="7414" max="7417" width="16.140625" style="122" bestFit="1" customWidth="1"/>
    <col min="7418" max="7421" width="17.42578125" style="122" bestFit="1" customWidth="1"/>
    <col min="7422" max="7425" width="17.42578125" style="122" customWidth="1"/>
    <col min="7426" max="7426" width="27.28515625" style="122" customWidth="1"/>
    <col min="7427" max="7427" width="15.85546875" style="122" bestFit="1" customWidth="1"/>
    <col min="7428" max="7428" width="12.42578125" style="122" bestFit="1" customWidth="1"/>
    <col min="7429" max="7439" width="11.42578125" style="122" customWidth="1"/>
    <col min="7440" max="7440" width="17.140625" style="122" customWidth="1"/>
    <col min="7441" max="7441" width="11.42578125" style="122" customWidth="1"/>
    <col min="7442" max="7442" width="34.28515625" style="122" bestFit="1" customWidth="1"/>
    <col min="7443" max="7646" width="11.42578125" style="122"/>
    <col min="7647" max="7647" width="8.85546875" style="122" customWidth="1"/>
    <col min="7648" max="7648" width="35.7109375" style="122" bestFit="1" customWidth="1"/>
    <col min="7649" max="7649" width="5" style="122" customWidth="1"/>
    <col min="7650" max="7652" width="12.85546875" style="122" bestFit="1" customWidth="1"/>
    <col min="7653" max="7663" width="15.140625" style="122" customWidth="1"/>
    <col min="7664" max="7664" width="13.85546875" style="122" customWidth="1"/>
    <col min="7665" max="7665" width="11.42578125" style="122" customWidth="1"/>
    <col min="7666" max="7666" width="12" style="122" bestFit="1" customWidth="1"/>
    <col min="7667" max="7667" width="31.7109375" style="122" customWidth="1"/>
    <col min="7668" max="7668" width="13.85546875" style="122" customWidth="1"/>
    <col min="7669" max="7669" width="13.42578125" style="122" customWidth="1"/>
    <col min="7670" max="7673" width="16.140625" style="122" bestFit="1" customWidth="1"/>
    <col min="7674" max="7677" width="17.42578125" style="122" bestFit="1" customWidth="1"/>
    <col min="7678" max="7681" width="17.42578125" style="122" customWidth="1"/>
    <col min="7682" max="7682" width="27.28515625" style="122" customWidth="1"/>
    <col min="7683" max="7683" width="15.85546875" style="122" bestFit="1" customWidth="1"/>
    <col min="7684" max="7684" width="12.42578125" style="122" bestFit="1" customWidth="1"/>
    <col min="7685" max="7695" width="11.42578125" style="122" customWidth="1"/>
    <col min="7696" max="7696" width="17.140625" style="122" customWidth="1"/>
    <col min="7697" max="7697" width="11.42578125" style="122" customWidth="1"/>
    <col min="7698" max="7698" width="34.28515625" style="122" bestFit="1" customWidth="1"/>
    <col min="7699" max="7902" width="11.42578125" style="122"/>
    <col min="7903" max="7903" width="8.85546875" style="122" customWidth="1"/>
    <col min="7904" max="7904" width="35.7109375" style="122" bestFit="1" customWidth="1"/>
    <col min="7905" max="7905" width="5" style="122" customWidth="1"/>
    <col min="7906" max="7908" width="12.85546875" style="122" bestFit="1" customWidth="1"/>
    <col min="7909" max="7919" width="15.140625" style="122" customWidth="1"/>
    <col min="7920" max="7920" width="13.85546875" style="122" customWidth="1"/>
    <col min="7921" max="7921" width="11.42578125" style="122" customWidth="1"/>
    <col min="7922" max="7922" width="12" style="122" bestFit="1" customWidth="1"/>
    <col min="7923" max="7923" width="31.7109375" style="122" customWidth="1"/>
    <col min="7924" max="7924" width="13.85546875" style="122" customWidth="1"/>
    <col min="7925" max="7925" width="13.42578125" style="122" customWidth="1"/>
    <col min="7926" max="7929" width="16.140625" style="122" bestFit="1" customWidth="1"/>
    <col min="7930" max="7933" width="17.42578125" style="122" bestFit="1" customWidth="1"/>
    <col min="7934" max="7937" width="17.42578125" style="122" customWidth="1"/>
    <col min="7938" max="7938" width="27.28515625" style="122" customWidth="1"/>
    <col min="7939" max="7939" width="15.85546875" style="122" bestFit="1" customWidth="1"/>
    <col min="7940" max="7940" width="12.42578125" style="122" bestFit="1" customWidth="1"/>
    <col min="7941" max="7951" width="11.42578125" style="122" customWidth="1"/>
    <col min="7952" max="7952" width="17.140625" style="122" customWidth="1"/>
    <col min="7953" max="7953" width="11.42578125" style="122" customWidth="1"/>
    <col min="7954" max="7954" width="34.28515625" style="122" bestFit="1" customWidth="1"/>
    <col min="7955" max="8158" width="11.42578125" style="122"/>
    <col min="8159" max="8159" width="8.85546875" style="122" customWidth="1"/>
    <col min="8160" max="8160" width="35.7109375" style="122" bestFit="1" customWidth="1"/>
    <col min="8161" max="8161" width="5" style="122" customWidth="1"/>
    <col min="8162" max="8164" width="12.85546875" style="122" bestFit="1" customWidth="1"/>
    <col min="8165" max="8175" width="15.140625" style="122" customWidth="1"/>
    <col min="8176" max="8176" width="13.85546875" style="122" customWidth="1"/>
    <col min="8177" max="8177" width="11.42578125" style="122" customWidth="1"/>
    <col min="8178" max="8178" width="12" style="122" bestFit="1" customWidth="1"/>
    <col min="8179" max="8179" width="31.7109375" style="122" customWidth="1"/>
    <col min="8180" max="8180" width="13.85546875" style="122" customWidth="1"/>
    <col min="8181" max="8181" width="13.42578125" style="122" customWidth="1"/>
    <col min="8182" max="8185" width="16.140625" style="122" bestFit="1" customWidth="1"/>
    <col min="8186" max="8189" width="17.42578125" style="122" bestFit="1" customWidth="1"/>
    <col min="8190" max="8193" width="17.42578125" style="122" customWidth="1"/>
    <col min="8194" max="8194" width="27.28515625" style="122" customWidth="1"/>
    <col min="8195" max="8195" width="15.85546875" style="122" bestFit="1" customWidth="1"/>
    <col min="8196" max="8196" width="12.42578125" style="122" bestFit="1" customWidth="1"/>
    <col min="8197" max="8207" width="11.42578125" style="122" customWidth="1"/>
    <col min="8208" max="8208" width="17.140625" style="122" customWidth="1"/>
    <col min="8209" max="8209" width="11.42578125" style="122" customWidth="1"/>
    <col min="8210" max="8210" width="34.28515625" style="122" bestFit="1" customWidth="1"/>
    <col min="8211" max="8414" width="11.42578125" style="122"/>
    <col min="8415" max="8415" width="8.85546875" style="122" customWidth="1"/>
    <col min="8416" max="8416" width="35.7109375" style="122" bestFit="1" customWidth="1"/>
    <col min="8417" max="8417" width="5" style="122" customWidth="1"/>
    <col min="8418" max="8420" width="12.85546875" style="122" bestFit="1" customWidth="1"/>
    <col min="8421" max="8431" width="15.140625" style="122" customWidth="1"/>
    <col min="8432" max="8432" width="13.85546875" style="122" customWidth="1"/>
    <col min="8433" max="8433" width="11.42578125" style="122" customWidth="1"/>
    <col min="8434" max="8434" width="12" style="122" bestFit="1" customWidth="1"/>
    <col min="8435" max="8435" width="31.7109375" style="122" customWidth="1"/>
    <col min="8436" max="8436" width="13.85546875" style="122" customWidth="1"/>
    <col min="8437" max="8437" width="13.42578125" style="122" customWidth="1"/>
    <col min="8438" max="8441" width="16.140625" style="122" bestFit="1" customWidth="1"/>
    <col min="8442" max="8445" width="17.42578125" style="122" bestFit="1" customWidth="1"/>
    <col min="8446" max="8449" width="17.42578125" style="122" customWidth="1"/>
    <col min="8450" max="8450" width="27.28515625" style="122" customWidth="1"/>
    <col min="8451" max="8451" width="15.85546875" style="122" bestFit="1" customWidth="1"/>
    <col min="8452" max="8452" width="12.42578125" style="122" bestFit="1" customWidth="1"/>
    <col min="8453" max="8463" width="11.42578125" style="122" customWidth="1"/>
    <col min="8464" max="8464" width="17.140625" style="122" customWidth="1"/>
    <col min="8465" max="8465" width="11.42578125" style="122" customWidth="1"/>
    <col min="8466" max="8466" width="34.28515625" style="122" bestFit="1" customWidth="1"/>
    <col min="8467" max="8670" width="11.42578125" style="122"/>
    <col min="8671" max="8671" width="8.85546875" style="122" customWidth="1"/>
    <col min="8672" max="8672" width="35.7109375" style="122" bestFit="1" customWidth="1"/>
    <col min="8673" max="8673" width="5" style="122" customWidth="1"/>
    <col min="8674" max="8676" width="12.85546875" style="122" bestFit="1" customWidth="1"/>
    <col min="8677" max="8687" width="15.140625" style="122" customWidth="1"/>
    <col min="8688" max="8688" width="13.85546875" style="122" customWidth="1"/>
    <col min="8689" max="8689" width="11.42578125" style="122" customWidth="1"/>
    <col min="8690" max="8690" width="12" style="122" bestFit="1" customWidth="1"/>
    <col min="8691" max="8691" width="31.7109375" style="122" customWidth="1"/>
    <col min="8692" max="8692" width="13.85546875" style="122" customWidth="1"/>
    <col min="8693" max="8693" width="13.42578125" style="122" customWidth="1"/>
    <col min="8694" max="8697" width="16.140625" style="122" bestFit="1" customWidth="1"/>
    <col min="8698" max="8701" width="17.42578125" style="122" bestFit="1" customWidth="1"/>
    <col min="8702" max="8705" width="17.42578125" style="122" customWidth="1"/>
    <col min="8706" max="8706" width="27.28515625" style="122" customWidth="1"/>
    <col min="8707" max="8707" width="15.85546875" style="122" bestFit="1" customWidth="1"/>
    <col min="8708" max="8708" width="12.42578125" style="122" bestFit="1" customWidth="1"/>
    <col min="8709" max="8719" width="11.42578125" style="122" customWidth="1"/>
    <col min="8720" max="8720" width="17.140625" style="122" customWidth="1"/>
    <col min="8721" max="8721" width="11.42578125" style="122" customWidth="1"/>
    <col min="8722" max="8722" width="34.28515625" style="122" bestFit="1" customWidth="1"/>
    <col min="8723" max="8926" width="11.42578125" style="122"/>
    <col min="8927" max="8927" width="8.85546875" style="122" customWidth="1"/>
    <col min="8928" max="8928" width="35.7109375" style="122" bestFit="1" customWidth="1"/>
    <col min="8929" max="8929" width="5" style="122" customWidth="1"/>
    <col min="8930" max="8932" width="12.85546875" style="122" bestFit="1" customWidth="1"/>
    <col min="8933" max="8943" width="15.140625" style="122" customWidth="1"/>
    <col min="8944" max="8944" width="13.85546875" style="122" customWidth="1"/>
    <col min="8945" max="8945" width="11.42578125" style="122" customWidth="1"/>
    <col min="8946" max="8946" width="12" style="122" bestFit="1" customWidth="1"/>
    <col min="8947" max="8947" width="31.7109375" style="122" customWidth="1"/>
    <col min="8948" max="8948" width="13.85546875" style="122" customWidth="1"/>
    <col min="8949" max="8949" width="13.42578125" style="122" customWidth="1"/>
    <col min="8950" max="8953" width="16.140625" style="122" bestFit="1" customWidth="1"/>
    <col min="8954" max="8957" width="17.42578125" style="122" bestFit="1" customWidth="1"/>
    <col min="8958" max="8961" width="17.42578125" style="122" customWidth="1"/>
    <col min="8962" max="8962" width="27.28515625" style="122" customWidth="1"/>
    <col min="8963" max="8963" width="15.85546875" style="122" bestFit="1" customWidth="1"/>
    <col min="8964" max="8964" width="12.42578125" style="122" bestFit="1" customWidth="1"/>
    <col min="8965" max="8975" width="11.42578125" style="122" customWidth="1"/>
    <col min="8976" max="8976" width="17.140625" style="122" customWidth="1"/>
    <col min="8977" max="8977" width="11.42578125" style="122" customWidth="1"/>
    <col min="8978" max="8978" width="34.28515625" style="122" bestFit="1" customWidth="1"/>
    <col min="8979" max="9182" width="11.42578125" style="122"/>
    <col min="9183" max="9183" width="8.85546875" style="122" customWidth="1"/>
    <col min="9184" max="9184" width="35.7109375" style="122" bestFit="1" customWidth="1"/>
    <col min="9185" max="9185" width="5" style="122" customWidth="1"/>
    <col min="9186" max="9188" width="12.85546875" style="122" bestFit="1" customWidth="1"/>
    <col min="9189" max="9199" width="15.140625" style="122" customWidth="1"/>
    <col min="9200" max="9200" width="13.85546875" style="122" customWidth="1"/>
    <col min="9201" max="9201" width="11.42578125" style="122" customWidth="1"/>
    <col min="9202" max="9202" width="12" style="122" bestFit="1" customWidth="1"/>
    <col min="9203" max="9203" width="31.7109375" style="122" customWidth="1"/>
    <col min="9204" max="9204" width="13.85546875" style="122" customWidth="1"/>
    <col min="9205" max="9205" width="13.42578125" style="122" customWidth="1"/>
    <col min="9206" max="9209" width="16.140625" style="122" bestFit="1" customWidth="1"/>
    <col min="9210" max="9213" width="17.42578125" style="122" bestFit="1" customWidth="1"/>
    <col min="9214" max="9217" width="17.42578125" style="122" customWidth="1"/>
    <col min="9218" max="9218" width="27.28515625" style="122" customWidth="1"/>
    <col min="9219" max="9219" width="15.85546875" style="122" bestFit="1" customWidth="1"/>
    <col min="9220" max="9220" width="12.42578125" style="122" bestFit="1" customWidth="1"/>
    <col min="9221" max="9231" width="11.42578125" style="122" customWidth="1"/>
    <col min="9232" max="9232" width="17.140625" style="122" customWidth="1"/>
    <col min="9233" max="9233" width="11.42578125" style="122" customWidth="1"/>
    <col min="9234" max="9234" width="34.28515625" style="122" bestFit="1" customWidth="1"/>
    <col min="9235" max="9438" width="11.42578125" style="122"/>
    <col min="9439" max="9439" width="8.85546875" style="122" customWidth="1"/>
    <col min="9440" max="9440" width="35.7109375" style="122" bestFit="1" customWidth="1"/>
    <col min="9441" max="9441" width="5" style="122" customWidth="1"/>
    <col min="9442" max="9444" width="12.85546875" style="122" bestFit="1" customWidth="1"/>
    <col min="9445" max="9455" width="15.140625" style="122" customWidth="1"/>
    <col min="9456" max="9456" width="13.85546875" style="122" customWidth="1"/>
    <col min="9457" max="9457" width="11.42578125" style="122" customWidth="1"/>
    <col min="9458" max="9458" width="12" style="122" bestFit="1" customWidth="1"/>
    <col min="9459" max="9459" width="31.7109375" style="122" customWidth="1"/>
    <col min="9460" max="9460" width="13.85546875" style="122" customWidth="1"/>
    <col min="9461" max="9461" width="13.42578125" style="122" customWidth="1"/>
    <col min="9462" max="9465" width="16.140625" style="122" bestFit="1" customWidth="1"/>
    <col min="9466" max="9469" width="17.42578125" style="122" bestFit="1" customWidth="1"/>
    <col min="9470" max="9473" width="17.42578125" style="122" customWidth="1"/>
    <col min="9474" max="9474" width="27.28515625" style="122" customWidth="1"/>
    <col min="9475" max="9475" width="15.85546875" style="122" bestFit="1" customWidth="1"/>
    <col min="9476" max="9476" width="12.42578125" style="122" bestFit="1" customWidth="1"/>
    <col min="9477" max="9487" width="11.42578125" style="122" customWidth="1"/>
    <col min="9488" max="9488" width="17.140625" style="122" customWidth="1"/>
    <col min="9489" max="9489" width="11.42578125" style="122" customWidth="1"/>
    <col min="9490" max="9490" width="34.28515625" style="122" bestFit="1" customWidth="1"/>
    <col min="9491" max="9694" width="11.42578125" style="122"/>
    <col min="9695" max="9695" width="8.85546875" style="122" customWidth="1"/>
    <col min="9696" max="9696" width="35.7109375" style="122" bestFit="1" customWidth="1"/>
    <col min="9697" max="9697" width="5" style="122" customWidth="1"/>
    <col min="9698" max="9700" width="12.85546875" style="122" bestFit="1" customWidth="1"/>
    <col min="9701" max="9711" width="15.140625" style="122" customWidth="1"/>
    <col min="9712" max="9712" width="13.85546875" style="122" customWidth="1"/>
    <col min="9713" max="9713" width="11.42578125" style="122" customWidth="1"/>
    <col min="9714" max="9714" width="12" style="122" bestFit="1" customWidth="1"/>
    <col min="9715" max="9715" width="31.7109375" style="122" customWidth="1"/>
    <col min="9716" max="9716" width="13.85546875" style="122" customWidth="1"/>
    <col min="9717" max="9717" width="13.42578125" style="122" customWidth="1"/>
    <col min="9718" max="9721" width="16.140625" style="122" bestFit="1" customWidth="1"/>
    <col min="9722" max="9725" width="17.42578125" style="122" bestFit="1" customWidth="1"/>
    <col min="9726" max="9729" width="17.42578125" style="122" customWidth="1"/>
    <col min="9730" max="9730" width="27.28515625" style="122" customWidth="1"/>
    <col min="9731" max="9731" width="15.85546875" style="122" bestFit="1" customWidth="1"/>
    <col min="9732" max="9732" width="12.42578125" style="122" bestFit="1" customWidth="1"/>
    <col min="9733" max="9743" width="11.42578125" style="122" customWidth="1"/>
    <col min="9744" max="9744" width="17.140625" style="122" customWidth="1"/>
    <col min="9745" max="9745" width="11.42578125" style="122" customWidth="1"/>
    <col min="9746" max="9746" width="34.28515625" style="122" bestFit="1" customWidth="1"/>
    <col min="9747" max="9950" width="11.42578125" style="122"/>
    <col min="9951" max="9951" width="8.85546875" style="122" customWidth="1"/>
    <col min="9952" max="9952" width="35.7109375" style="122" bestFit="1" customWidth="1"/>
    <col min="9953" max="9953" width="5" style="122" customWidth="1"/>
    <col min="9954" max="9956" width="12.85546875" style="122" bestFit="1" customWidth="1"/>
    <col min="9957" max="9967" width="15.140625" style="122" customWidth="1"/>
    <col min="9968" max="9968" width="13.85546875" style="122" customWidth="1"/>
    <col min="9969" max="9969" width="11.42578125" style="122" customWidth="1"/>
    <col min="9970" max="9970" width="12" style="122" bestFit="1" customWidth="1"/>
    <col min="9971" max="9971" width="31.7109375" style="122" customWidth="1"/>
    <col min="9972" max="9972" width="13.85546875" style="122" customWidth="1"/>
    <col min="9973" max="9973" width="13.42578125" style="122" customWidth="1"/>
    <col min="9974" max="9977" width="16.140625" style="122" bestFit="1" customWidth="1"/>
    <col min="9978" max="9981" width="17.42578125" style="122" bestFit="1" customWidth="1"/>
    <col min="9982" max="9985" width="17.42578125" style="122" customWidth="1"/>
    <col min="9986" max="9986" width="27.28515625" style="122" customWidth="1"/>
    <col min="9987" max="9987" width="15.85546875" style="122" bestFit="1" customWidth="1"/>
    <col min="9988" max="9988" width="12.42578125" style="122" bestFit="1" customWidth="1"/>
    <col min="9989" max="9999" width="11.42578125" style="122" customWidth="1"/>
    <col min="10000" max="10000" width="17.140625" style="122" customWidth="1"/>
    <col min="10001" max="10001" width="11.42578125" style="122" customWidth="1"/>
    <col min="10002" max="10002" width="34.28515625" style="122" bestFit="1" customWidth="1"/>
    <col min="10003" max="10206" width="11.42578125" style="122"/>
    <col min="10207" max="10207" width="8.85546875" style="122" customWidth="1"/>
    <col min="10208" max="10208" width="35.7109375" style="122" bestFit="1" customWidth="1"/>
    <col min="10209" max="10209" width="5" style="122" customWidth="1"/>
    <col min="10210" max="10212" width="12.85546875" style="122" bestFit="1" customWidth="1"/>
    <col min="10213" max="10223" width="15.140625" style="122" customWidth="1"/>
    <col min="10224" max="10224" width="13.85546875" style="122" customWidth="1"/>
    <col min="10225" max="10225" width="11.42578125" style="122" customWidth="1"/>
    <col min="10226" max="10226" width="12" style="122" bestFit="1" customWidth="1"/>
    <col min="10227" max="10227" width="31.7109375" style="122" customWidth="1"/>
    <col min="10228" max="10228" width="13.85546875" style="122" customWidth="1"/>
    <col min="10229" max="10229" width="13.42578125" style="122" customWidth="1"/>
    <col min="10230" max="10233" width="16.140625" style="122" bestFit="1" customWidth="1"/>
    <col min="10234" max="10237" width="17.42578125" style="122" bestFit="1" customWidth="1"/>
    <col min="10238" max="10241" width="17.42578125" style="122" customWidth="1"/>
    <col min="10242" max="10242" width="27.28515625" style="122" customWidth="1"/>
    <col min="10243" max="10243" width="15.85546875" style="122" bestFit="1" customWidth="1"/>
    <col min="10244" max="10244" width="12.42578125" style="122" bestFit="1" customWidth="1"/>
    <col min="10245" max="10255" width="11.42578125" style="122" customWidth="1"/>
    <col min="10256" max="10256" width="17.140625" style="122" customWidth="1"/>
    <col min="10257" max="10257" width="11.42578125" style="122" customWidth="1"/>
    <col min="10258" max="10258" width="34.28515625" style="122" bestFit="1" customWidth="1"/>
    <col min="10259" max="10462" width="11.42578125" style="122"/>
    <col min="10463" max="10463" width="8.85546875" style="122" customWidth="1"/>
    <col min="10464" max="10464" width="35.7109375" style="122" bestFit="1" customWidth="1"/>
    <col min="10465" max="10465" width="5" style="122" customWidth="1"/>
    <col min="10466" max="10468" width="12.85546875" style="122" bestFit="1" customWidth="1"/>
    <col min="10469" max="10479" width="15.140625" style="122" customWidth="1"/>
    <col min="10480" max="10480" width="13.85546875" style="122" customWidth="1"/>
    <col min="10481" max="10481" width="11.42578125" style="122" customWidth="1"/>
    <col min="10482" max="10482" width="12" style="122" bestFit="1" customWidth="1"/>
    <col min="10483" max="10483" width="31.7109375" style="122" customWidth="1"/>
    <col min="10484" max="10484" width="13.85546875" style="122" customWidth="1"/>
    <col min="10485" max="10485" width="13.42578125" style="122" customWidth="1"/>
    <col min="10486" max="10489" width="16.140625" style="122" bestFit="1" customWidth="1"/>
    <col min="10490" max="10493" width="17.42578125" style="122" bestFit="1" customWidth="1"/>
    <col min="10494" max="10497" width="17.42578125" style="122" customWidth="1"/>
    <col min="10498" max="10498" width="27.28515625" style="122" customWidth="1"/>
    <col min="10499" max="10499" width="15.85546875" style="122" bestFit="1" customWidth="1"/>
    <col min="10500" max="10500" width="12.42578125" style="122" bestFit="1" customWidth="1"/>
    <col min="10501" max="10511" width="11.42578125" style="122" customWidth="1"/>
    <col min="10512" max="10512" width="17.140625" style="122" customWidth="1"/>
    <col min="10513" max="10513" width="11.42578125" style="122" customWidth="1"/>
    <col min="10514" max="10514" width="34.28515625" style="122" bestFit="1" customWidth="1"/>
    <col min="10515" max="10718" width="11.42578125" style="122"/>
    <col min="10719" max="10719" width="8.85546875" style="122" customWidth="1"/>
    <col min="10720" max="10720" width="35.7109375" style="122" bestFit="1" customWidth="1"/>
    <col min="10721" max="10721" width="5" style="122" customWidth="1"/>
    <col min="10722" max="10724" width="12.85546875" style="122" bestFit="1" customWidth="1"/>
    <col min="10725" max="10735" width="15.140625" style="122" customWidth="1"/>
    <col min="10736" max="10736" width="13.85546875" style="122" customWidth="1"/>
    <col min="10737" max="10737" width="11.42578125" style="122" customWidth="1"/>
    <col min="10738" max="10738" width="12" style="122" bestFit="1" customWidth="1"/>
    <col min="10739" max="10739" width="31.7109375" style="122" customWidth="1"/>
    <col min="10740" max="10740" width="13.85546875" style="122" customWidth="1"/>
    <col min="10741" max="10741" width="13.42578125" style="122" customWidth="1"/>
    <col min="10742" max="10745" width="16.140625" style="122" bestFit="1" customWidth="1"/>
    <col min="10746" max="10749" width="17.42578125" style="122" bestFit="1" customWidth="1"/>
    <col min="10750" max="10753" width="17.42578125" style="122" customWidth="1"/>
    <col min="10754" max="10754" width="27.28515625" style="122" customWidth="1"/>
    <col min="10755" max="10755" width="15.85546875" style="122" bestFit="1" customWidth="1"/>
    <col min="10756" max="10756" width="12.42578125" style="122" bestFit="1" customWidth="1"/>
    <col min="10757" max="10767" width="11.42578125" style="122" customWidth="1"/>
    <col min="10768" max="10768" width="17.140625" style="122" customWidth="1"/>
    <col min="10769" max="10769" width="11.42578125" style="122" customWidth="1"/>
    <col min="10770" max="10770" width="34.28515625" style="122" bestFit="1" customWidth="1"/>
    <col min="10771" max="10974" width="11.42578125" style="122"/>
    <col min="10975" max="10975" width="8.85546875" style="122" customWidth="1"/>
    <col min="10976" max="10976" width="35.7109375" style="122" bestFit="1" customWidth="1"/>
    <col min="10977" max="10977" width="5" style="122" customWidth="1"/>
    <col min="10978" max="10980" width="12.85546875" style="122" bestFit="1" customWidth="1"/>
    <col min="10981" max="10991" width="15.140625" style="122" customWidth="1"/>
    <col min="10992" max="10992" width="13.85546875" style="122" customWidth="1"/>
    <col min="10993" max="10993" width="11.42578125" style="122" customWidth="1"/>
    <col min="10994" max="10994" width="12" style="122" bestFit="1" customWidth="1"/>
    <col min="10995" max="10995" width="31.7109375" style="122" customWidth="1"/>
    <col min="10996" max="10996" width="13.85546875" style="122" customWidth="1"/>
    <col min="10997" max="10997" width="13.42578125" style="122" customWidth="1"/>
    <col min="10998" max="11001" width="16.140625" style="122" bestFit="1" customWidth="1"/>
    <col min="11002" max="11005" width="17.42578125" style="122" bestFit="1" customWidth="1"/>
    <col min="11006" max="11009" width="17.42578125" style="122" customWidth="1"/>
    <col min="11010" max="11010" width="27.28515625" style="122" customWidth="1"/>
    <col min="11011" max="11011" width="15.85546875" style="122" bestFit="1" customWidth="1"/>
    <col min="11012" max="11012" width="12.42578125" style="122" bestFit="1" customWidth="1"/>
    <col min="11013" max="11023" width="11.42578125" style="122" customWidth="1"/>
    <col min="11024" max="11024" width="17.140625" style="122" customWidth="1"/>
    <col min="11025" max="11025" width="11.42578125" style="122" customWidth="1"/>
    <col min="11026" max="11026" width="34.28515625" style="122" bestFit="1" customWidth="1"/>
    <col min="11027" max="11230" width="11.42578125" style="122"/>
    <col min="11231" max="11231" width="8.85546875" style="122" customWidth="1"/>
    <col min="11232" max="11232" width="35.7109375" style="122" bestFit="1" customWidth="1"/>
    <col min="11233" max="11233" width="5" style="122" customWidth="1"/>
    <col min="11234" max="11236" width="12.85546875" style="122" bestFit="1" customWidth="1"/>
    <col min="11237" max="11247" width="15.140625" style="122" customWidth="1"/>
    <col min="11248" max="11248" width="13.85546875" style="122" customWidth="1"/>
    <col min="11249" max="11249" width="11.42578125" style="122" customWidth="1"/>
    <col min="11250" max="11250" width="12" style="122" bestFit="1" customWidth="1"/>
    <col min="11251" max="11251" width="31.7109375" style="122" customWidth="1"/>
    <col min="11252" max="11252" width="13.85546875" style="122" customWidth="1"/>
    <col min="11253" max="11253" width="13.42578125" style="122" customWidth="1"/>
    <col min="11254" max="11257" width="16.140625" style="122" bestFit="1" customWidth="1"/>
    <col min="11258" max="11261" width="17.42578125" style="122" bestFit="1" customWidth="1"/>
    <col min="11262" max="11265" width="17.42578125" style="122" customWidth="1"/>
    <col min="11266" max="11266" width="27.28515625" style="122" customWidth="1"/>
    <col min="11267" max="11267" width="15.85546875" style="122" bestFit="1" customWidth="1"/>
    <col min="11268" max="11268" width="12.42578125" style="122" bestFit="1" customWidth="1"/>
    <col min="11269" max="11279" width="11.42578125" style="122" customWidth="1"/>
    <col min="11280" max="11280" width="17.140625" style="122" customWidth="1"/>
    <col min="11281" max="11281" width="11.42578125" style="122" customWidth="1"/>
    <col min="11282" max="11282" width="34.28515625" style="122" bestFit="1" customWidth="1"/>
    <col min="11283" max="11486" width="11.42578125" style="122"/>
    <col min="11487" max="11487" width="8.85546875" style="122" customWidth="1"/>
    <col min="11488" max="11488" width="35.7109375" style="122" bestFit="1" customWidth="1"/>
    <col min="11489" max="11489" width="5" style="122" customWidth="1"/>
    <col min="11490" max="11492" width="12.85546875" style="122" bestFit="1" customWidth="1"/>
    <col min="11493" max="11503" width="15.140625" style="122" customWidth="1"/>
    <col min="11504" max="11504" width="13.85546875" style="122" customWidth="1"/>
    <col min="11505" max="11505" width="11.42578125" style="122" customWidth="1"/>
    <col min="11506" max="11506" width="12" style="122" bestFit="1" customWidth="1"/>
    <col min="11507" max="11507" width="31.7109375" style="122" customWidth="1"/>
    <col min="11508" max="11508" width="13.85546875" style="122" customWidth="1"/>
    <col min="11509" max="11509" width="13.42578125" style="122" customWidth="1"/>
    <col min="11510" max="11513" width="16.140625" style="122" bestFit="1" customWidth="1"/>
    <col min="11514" max="11517" width="17.42578125" style="122" bestFit="1" customWidth="1"/>
    <col min="11518" max="11521" width="17.42578125" style="122" customWidth="1"/>
    <col min="11522" max="11522" width="27.28515625" style="122" customWidth="1"/>
    <col min="11523" max="11523" width="15.85546875" style="122" bestFit="1" customWidth="1"/>
    <col min="11524" max="11524" width="12.42578125" style="122" bestFit="1" customWidth="1"/>
    <col min="11525" max="11535" width="11.42578125" style="122" customWidth="1"/>
    <col min="11536" max="11536" width="17.140625" style="122" customWidth="1"/>
    <col min="11537" max="11537" width="11.42578125" style="122" customWidth="1"/>
    <col min="11538" max="11538" width="34.28515625" style="122" bestFit="1" customWidth="1"/>
    <col min="11539" max="11742" width="11.42578125" style="122"/>
    <col min="11743" max="11743" width="8.85546875" style="122" customWidth="1"/>
    <col min="11744" max="11744" width="35.7109375" style="122" bestFit="1" customWidth="1"/>
    <col min="11745" max="11745" width="5" style="122" customWidth="1"/>
    <col min="11746" max="11748" width="12.85546875" style="122" bestFit="1" customWidth="1"/>
    <col min="11749" max="11759" width="15.140625" style="122" customWidth="1"/>
    <col min="11760" max="11760" width="13.85546875" style="122" customWidth="1"/>
    <col min="11761" max="11761" width="11.42578125" style="122" customWidth="1"/>
    <col min="11762" max="11762" width="12" style="122" bestFit="1" customWidth="1"/>
    <col min="11763" max="11763" width="31.7109375" style="122" customWidth="1"/>
    <col min="11764" max="11764" width="13.85546875" style="122" customWidth="1"/>
    <col min="11765" max="11765" width="13.42578125" style="122" customWidth="1"/>
    <col min="11766" max="11769" width="16.140625" style="122" bestFit="1" customWidth="1"/>
    <col min="11770" max="11773" width="17.42578125" style="122" bestFit="1" customWidth="1"/>
    <col min="11774" max="11777" width="17.42578125" style="122" customWidth="1"/>
    <col min="11778" max="11778" width="27.28515625" style="122" customWidth="1"/>
    <col min="11779" max="11779" width="15.85546875" style="122" bestFit="1" customWidth="1"/>
    <col min="11780" max="11780" width="12.42578125" style="122" bestFit="1" customWidth="1"/>
    <col min="11781" max="11791" width="11.42578125" style="122" customWidth="1"/>
    <col min="11792" max="11792" width="17.140625" style="122" customWidth="1"/>
    <col min="11793" max="11793" width="11.42578125" style="122" customWidth="1"/>
    <col min="11794" max="11794" width="34.28515625" style="122" bestFit="1" customWidth="1"/>
    <col min="11795" max="11998" width="11.42578125" style="122"/>
    <col min="11999" max="11999" width="8.85546875" style="122" customWidth="1"/>
    <col min="12000" max="12000" width="35.7109375" style="122" bestFit="1" customWidth="1"/>
    <col min="12001" max="12001" width="5" style="122" customWidth="1"/>
    <col min="12002" max="12004" width="12.85546875" style="122" bestFit="1" customWidth="1"/>
    <col min="12005" max="12015" width="15.140625" style="122" customWidth="1"/>
    <col min="12016" max="12016" width="13.85546875" style="122" customWidth="1"/>
    <col min="12017" max="12017" width="11.42578125" style="122" customWidth="1"/>
    <col min="12018" max="12018" width="12" style="122" bestFit="1" customWidth="1"/>
    <col min="12019" max="12019" width="31.7109375" style="122" customWidth="1"/>
    <col min="12020" max="12020" width="13.85546875" style="122" customWidth="1"/>
    <col min="12021" max="12021" width="13.42578125" style="122" customWidth="1"/>
    <col min="12022" max="12025" width="16.140625" style="122" bestFit="1" customWidth="1"/>
    <col min="12026" max="12029" width="17.42578125" style="122" bestFit="1" customWidth="1"/>
    <col min="12030" max="12033" width="17.42578125" style="122" customWidth="1"/>
    <col min="12034" max="12034" width="27.28515625" style="122" customWidth="1"/>
    <col min="12035" max="12035" width="15.85546875" style="122" bestFit="1" customWidth="1"/>
    <col min="12036" max="12036" width="12.42578125" style="122" bestFit="1" customWidth="1"/>
    <col min="12037" max="12047" width="11.42578125" style="122" customWidth="1"/>
    <col min="12048" max="12048" width="17.140625" style="122" customWidth="1"/>
    <col min="12049" max="12049" width="11.42578125" style="122" customWidth="1"/>
    <col min="12050" max="12050" width="34.28515625" style="122" bestFit="1" customWidth="1"/>
    <col min="12051" max="12254" width="11.42578125" style="122"/>
    <col min="12255" max="12255" width="8.85546875" style="122" customWidth="1"/>
    <col min="12256" max="12256" width="35.7109375" style="122" bestFit="1" customWidth="1"/>
    <col min="12257" max="12257" width="5" style="122" customWidth="1"/>
    <col min="12258" max="12260" width="12.85546875" style="122" bestFit="1" customWidth="1"/>
    <col min="12261" max="12271" width="15.140625" style="122" customWidth="1"/>
    <col min="12272" max="12272" width="13.85546875" style="122" customWidth="1"/>
    <col min="12273" max="12273" width="11.42578125" style="122" customWidth="1"/>
    <col min="12274" max="12274" width="12" style="122" bestFit="1" customWidth="1"/>
    <col min="12275" max="12275" width="31.7109375" style="122" customWidth="1"/>
    <col min="12276" max="12276" width="13.85546875" style="122" customWidth="1"/>
    <col min="12277" max="12277" width="13.42578125" style="122" customWidth="1"/>
    <col min="12278" max="12281" width="16.140625" style="122" bestFit="1" customWidth="1"/>
    <col min="12282" max="12285" width="17.42578125" style="122" bestFit="1" customWidth="1"/>
    <col min="12286" max="12289" width="17.42578125" style="122" customWidth="1"/>
    <col min="12290" max="12290" width="27.28515625" style="122" customWidth="1"/>
    <col min="12291" max="12291" width="15.85546875" style="122" bestFit="1" customWidth="1"/>
    <col min="12292" max="12292" width="12.42578125" style="122" bestFit="1" customWidth="1"/>
    <col min="12293" max="12303" width="11.42578125" style="122" customWidth="1"/>
    <col min="12304" max="12304" width="17.140625" style="122" customWidth="1"/>
    <col min="12305" max="12305" width="11.42578125" style="122" customWidth="1"/>
    <col min="12306" max="12306" width="34.28515625" style="122" bestFit="1" customWidth="1"/>
    <col min="12307" max="12510" width="11.42578125" style="122"/>
    <col min="12511" max="12511" width="8.85546875" style="122" customWidth="1"/>
    <col min="12512" max="12512" width="35.7109375" style="122" bestFit="1" customWidth="1"/>
    <col min="12513" max="12513" width="5" style="122" customWidth="1"/>
    <col min="12514" max="12516" width="12.85546875" style="122" bestFit="1" customWidth="1"/>
    <col min="12517" max="12527" width="15.140625" style="122" customWidth="1"/>
    <col min="12528" max="12528" width="13.85546875" style="122" customWidth="1"/>
    <col min="12529" max="12529" width="11.42578125" style="122" customWidth="1"/>
    <col min="12530" max="12530" width="12" style="122" bestFit="1" customWidth="1"/>
    <col min="12531" max="12531" width="31.7109375" style="122" customWidth="1"/>
    <col min="12532" max="12532" width="13.85546875" style="122" customWidth="1"/>
    <col min="12533" max="12533" width="13.42578125" style="122" customWidth="1"/>
    <col min="12534" max="12537" width="16.140625" style="122" bestFit="1" customWidth="1"/>
    <col min="12538" max="12541" width="17.42578125" style="122" bestFit="1" customWidth="1"/>
    <col min="12542" max="12545" width="17.42578125" style="122" customWidth="1"/>
    <col min="12546" max="12546" width="27.28515625" style="122" customWidth="1"/>
    <col min="12547" max="12547" width="15.85546875" style="122" bestFit="1" customWidth="1"/>
    <col min="12548" max="12548" width="12.42578125" style="122" bestFit="1" customWidth="1"/>
    <col min="12549" max="12559" width="11.42578125" style="122" customWidth="1"/>
    <col min="12560" max="12560" width="17.140625" style="122" customWidth="1"/>
    <col min="12561" max="12561" width="11.42578125" style="122" customWidth="1"/>
    <col min="12562" max="12562" width="34.28515625" style="122" bestFit="1" customWidth="1"/>
    <col min="12563" max="12766" width="11.42578125" style="122"/>
    <col min="12767" max="12767" width="8.85546875" style="122" customWidth="1"/>
    <col min="12768" max="12768" width="35.7109375" style="122" bestFit="1" customWidth="1"/>
    <col min="12769" max="12769" width="5" style="122" customWidth="1"/>
    <col min="12770" max="12772" width="12.85546875" style="122" bestFit="1" customWidth="1"/>
    <col min="12773" max="12783" width="15.140625" style="122" customWidth="1"/>
    <col min="12784" max="12784" width="13.85546875" style="122" customWidth="1"/>
    <col min="12785" max="12785" width="11.42578125" style="122" customWidth="1"/>
    <col min="12786" max="12786" width="12" style="122" bestFit="1" customWidth="1"/>
    <col min="12787" max="12787" width="31.7109375" style="122" customWidth="1"/>
    <col min="12788" max="12788" width="13.85546875" style="122" customWidth="1"/>
    <col min="12789" max="12789" width="13.42578125" style="122" customWidth="1"/>
    <col min="12790" max="12793" width="16.140625" style="122" bestFit="1" customWidth="1"/>
    <col min="12794" max="12797" width="17.42578125" style="122" bestFit="1" customWidth="1"/>
    <col min="12798" max="12801" width="17.42578125" style="122" customWidth="1"/>
    <col min="12802" max="12802" width="27.28515625" style="122" customWidth="1"/>
    <col min="12803" max="12803" width="15.85546875" style="122" bestFit="1" customWidth="1"/>
    <col min="12804" max="12804" width="12.42578125" style="122" bestFit="1" customWidth="1"/>
    <col min="12805" max="12815" width="11.42578125" style="122" customWidth="1"/>
    <col min="12816" max="12816" width="17.140625" style="122" customWidth="1"/>
    <col min="12817" max="12817" width="11.42578125" style="122" customWidth="1"/>
    <col min="12818" max="12818" width="34.28515625" style="122" bestFit="1" customWidth="1"/>
    <col min="12819" max="13022" width="11.42578125" style="122"/>
    <col min="13023" max="13023" width="8.85546875" style="122" customWidth="1"/>
    <col min="13024" max="13024" width="35.7109375" style="122" bestFit="1" customWidth="1"/>
    <col min="13025" max="13025" width="5" style="122" customWidth="1"/>
    <col min="13026" max="13028" width="12.85546875" style="122" bestFit="1" customWidth="1"/>
    <col min="13029" max="13039" width="15.140625" style="122" customWidth="1"/>
    <col min="13040" max="13040" width="13.85546875" style="122" customWidth="1"/>
    <col min="13041" max="13041" width="11.42578125" style="122" customWidth="1"/>
    <col min="13042" max="13042" width="12" style="122" bestFit="1" customWidth="1"/>
    <col min="13043" max="13043" width="31.7109375" style="122" customWidth="1"/>
    <col min="13044" max="13044" width="13.85546875" style="122" customWidth="1"/>
    <col min="13045" max="13045" width="13.42578125" style="122" customWidth="1"/>
    <col min="13046" max="13049" width="16.140625" style="122" bestFit="1" customWidth="1"/>
    <col min="13050" max="13053" width="17.42578125" style="122" bestFit="1" customWidth="1"/>
    <col min="13054" max="13057" width="17.42578125" style="122" customWidth="1"/>
    <col min="13058" max="13058" width="27.28515625" style="122" customWidth="1"/>
    <col min="13059" max="13059" width="15.85546875" style="122" bestFit="1" customWidth="1"/>
    <col min="13060" max="13060" width="12.42578125" style="122" bestFit="1" customWidth="1"/>
    <col min="13061" max="13071" width="11.42578125" style="122" customWidth="1"/>
    <col min="13072" max="13072" width="17.140625" style="122" customWidth="1"/>
    <col min="13073" max="13073" width="11.42578125" style="122" customWidth="1"/>
    <col min="13074" max="13074" width="34.28515625" style="122" bestFit="1" customWidth="1"/>
    <col min="13075" max="13278" width="11.42578125" style="122"/>
    <col min="13279" max="13279" width="8.85546875" style="122" customWidth="1"/>
    <col min="13280" max="13280" width="35.7109375" style="122" bestFit="1" customWidth="1"/>
    <col min="13281" max="13281" width="5" style="122" customWidth="1"/>
    <col min="13282" max="13284" width="12.85546875" style="122" bestFit="1" customWidth="1"/>
    <col min="13285" max="13295" width="15.140625" style="122" customWidth="1"/>
    <col min="13296" max="13296" width="13.85546875" style="122" customWidth="1"/>
    <col min="13297" max="13297" width="11.42578125" style="122" customWidth="1"/>
    <col min="13298" max="13298" width="12" style="122" bestFit="1" customWidth="1"/>
    <col min="13299" max="13299" width="31.7109375" style="122" customWidth="1"/>
    <col min="13300" max="13300" width="13.85546875" style="122" customWidth="1"/>
    <col min="13301" max="13301" width="13.42578125" style="122" customWidth="1"/>
    <col min="13302" max="13305" width="16.140625" style="122" bestFit="1" customWidth="1"/>
    <col min="13306" max="13309" width="17.42578125" style="122" bestFit="1" customWidth="1"/>
    <col min="13310" max="13313" width="17.42578125" style="122" customWidth="1"/>
    <col min="13314" max="13314" width="27.28515625" style="122" customWidth="1"/>
    <col min="13315" max="13315" width="15.85546875" style="122" bestFit="1" customWidth="1"/>
    <col min="13316" max="13316" width="12.42578125" style="122" bestFit="1" customWidth="1"/>
    <col min="13317" max="13327" width="11.42578125" style="122" customWidth="1"/>
    <col min="13328" max="13328" width="17.140625" style="122" customWidth="1"/>
    <col min="13329" max="13329" width="11.42578125" style="122" customWidth="1"/>
    <col min="13330" max="13330" width="34.28515625" style="122" bestFit="1" customWidth="1"/>
    <col min="13331" max="13534" width="11.42578125" style="122"/>
    <col min="13535" max="13535" width="8.85546875" style="122" customWidth="1"/>
    <col min="13536" max="13536" width="35.7109375" style="122" bestFit="1" customWidth="1"/>
    <col min="13537" max="13537" width="5" style="122" customWidth="1"/>
    <col min="13538" max="13540" width="12.85546875" style="122" bestFit="1" customWidth="1"/>
    <col min="13541" max="13551" width="15.140625" style="122" customWidth="1"/>
    <col min="13552" max="13552" width="13.85546875" style="122" customWidth="1"/>
    <col min="13553" max="13553" width="11.42578125" style="122" customWidth="1"/>
    <col min="13554" max="13554" width="12" style="122" bestFit="1" customWidth="1"/>
    <col min="13555" max="13555" width="31.7109375" style="122" customWidth="1"/>
    <col min="13556" max="13556" width="13.85546875" style="122" customWidth="1"/>
    <col min="13557" max="13557" width="13.42578125" style="122" customWidth="1"/>
    <col min="13558" max="13561" width="16.140625" style="122" bestFit="1" customWidth="1"/>
    <col min="13562" max="13565" width="17.42578125" style="122" bestFit="1" customWidth="1"/>
    <col min="13566" max="13569" width="17.42578125" style="122" customWidth="1"/>
    <col min="13570" max="13570" width="27.28515625" style="122" customWidth="1"/>
    <col min="13571" max="13571" width="15.85546875" style="122" bestFit="1" customWidth="1"/>
    <col min="13572" max="13572" width="12.42578125" style="122" bestFit="1" customWidth="1"/>
    <col min="13573" max="13583" width="11.42578125" style="122" customWidth="1"/>
    <col min="13584" max="13584" width="17.140625" style="122" customWidth="1"/>
    <col min="13585" max="13585" width="11.42578125" style="122" customWidth="1"/>
    <col min="13586" max="13586" width="34.28515625" style="122" bestFit="1" customWidth="1"/>
    <col min="13587" max="13790" width="11.42578125" style="122"/>
    <col min="13791" max="13791" width="8.85546875" style="122" customWidth="1"/>
    <col min="13792" max="13792" width="35.7109375" style="122" bestFit="1" customWidth="1"/>
    <col min="13793" max="13793" width="5" style="122" customWidth="1"/>
    <col min="13794" max="13796" width="12.85546875" style="122" bestFit="1" customWidth="1"/>
    <col min="13797" max="13807" width="15.140625" style="122" customWidth="1"/>
    <col min="13808" max="13808" width="13.85546875" style="122" customWidth="1"/>
    <col min="13809" max="13809" width="11.42578125" style="122" customWidth="1"/>
    <col min="13810" max="13810" width="12" style="122" bestFit="1" customWidth="1"/>
    <col min="13811" max="13811" width="31.7109375" style="122" customWidth="1"/>
    <col min="13812" max="13812" width="13.85546875" style="122" customWidth="1"/>
    <col min="13813" max="13813" width="13.42578125" style="122" customWidth="1"/>
    <col min="13814" max="13817" width="16.140625" style="122" bestFit="1" customWidth="1"/>
    <col min="13818" max="13821" width="17.42578125" style="122" bestFit="1" customWidth="1"/>
    <col min="13822" max="13825" width="17.42578125" style="122" customWidth="1"/>
    <col min="13826" max="13826" width="27.28515625" style="122" customWidth="1"/>
    <col min="13827" max="13827" width="15.85546875" style="122" bestFit="1" customWidth="1"/>
    <col min="13828" max="13828" width="12.42578125" style="122" bestFit="1" customWidth="1"/>
    <col min="13829" max="13839" width="11.42578125" style="122" customWidth="1"/>
    <col min="13840" max="13840" width="17.140625" style="122" customWidth="1"/>
    <col min="13841" max="13841" width="11.42578125" style="122" customWidth="1"/>
    <col min="13842" max="13842" width="34.28515625" style="122" bestFit="1" customWidth="1"/>
    <col min="13843" max="14046" width="11.42578125" style="122"/>
    <col min="14047" max="14047" width="8.85546875" style="122" customWidth="1"/>
    <col min="14048" max="14048" width="35.7109375" style="122" bestFit="1" customWidth="1"/>
    <col min="14049" max="14049" width="5" style="122" customWidth="1"/>
    <col min="14050" max="14052" width="12.85546875" style="122" bestFit="1" customWidth="1"/>
    <col min="14053" max="14063" width="15.140625" style="122" customWidth="1"/>
    <col min="14064" max="14064" width="13.85546875" style="122" customWidth="1"/>
    <col min="14065" max="14065" width="11.42578125" style="122" customWidth="1"/>
    <col min="14066" max="14066" width="12" style="122" bestFit="1" customWidth="1"/>
    <col min="14067" max="14067" width="31.7109375" style="122" customWidth="1"/>
    <col min="14068" max="14068" width="13.85546875" style="122" customWidth="1"/>
    <col min="14069" max="14069" width="13.42578125" style="122" customWidth="1"/>
    <col min="14070" max="14073" width="16.140625" style="122" bestFit="1" customWidth="1"/>
    <col min="14074" max="14077" width="17.42578125" style="122" bestFit="1" customWidth="1"/>
    <col min="14078" max="14081" width="17.42578125" style="122" customWidth="1"/>
    <col min="14082" max="14082" width="27.28515625" style="122" customWidth="1"/>
    <col min="14083" max="14083" width="15.85546875" style="122" bestFit="1" customWidth="1"/>
    <col min="14084" max="14084" width="12.42578125" style="122" bestFit="1" customWidth="1"/>
    <col min="14085" max="14095" width="11.42578125" style="122" customWidth="1"/>
    <col min="14096" max="14096" width="17.140625" style="122" customWidth="1"/>
    <col min="14097" max="14097" width="11.42578125" style="122" customWidth="1"/>
    <col min="14098" max="14098" width="34.28515625" style="122" bestFit="1" customWidth="1"/>
    <col min="14099" max="14302" width="11.42578125" style="122"/>
    <col min="14303" max="14303" width="8.85546875" style="122" customWidth="1"/>
    <col min="14304" max="14304" width="35.7109375" style="122" bestFit="1" customWidth="1"/>
    <col min="14305" max="14305" width="5" style="122" customWidth="1"/>
    <col min="14306" max="14308" width="12.85546875" style="122" bestFit="1" customWidth="1"/>
    <col min="14309" max="14319" width="15.140625" style="122" customWidth="1"/>
    <col min="14320" max="14320" width="13.85546875" style="122" customWidth="1"/>
    <col min="14321" max="14321" width="11.42578125" style="122" customWidth="1"/>
    <col min="14322" max="14322" width="12" style="122" bestFit="1" customWidth="1"/>
    <col min="14323" max="14323" width="31.7109375" style="122" customWidth="1"/>
    <col min="14324" max="14324" width="13.85546875" style="122" customWidth="1"/>
    <col min="14325" max="14325" width="13.42578125" style="122" customWidth="1"/>
    <col min="14326" max="14329" width="16.140625" style="122" bestFit="1" customWidth="1"/>
    <col min="14330" max="14333" width="17.42578125" style="122" bestFit="1" customWidth="1"/>
    <col min="14334" max="14337" width="17.42578125" style="122" customWidth="1"/>
    <col min="14338" max="14338" width="27.28515625" style="122" customWidth="1"/>
    <col min="14339" max="14339" width="15.85546875" style="122" bestFit="1" customWidth="1"/>
    <col min="14340" max="14340" width="12.42578125" style="122" bestFit="1" customWidth="1"/>
    <col min="14341" max="14351" width="11.42578125" style="122" customWidth="1"/>
    <col min="14352" max="14352" width="17.140625" style="122" customWidth="1"/>
    <col min="14353" max="14353" width="11.42578125" style="122" customWidth="1"/>
    <col min="14354" max="14354" width="34.28515625" style="122" bestFit="1" customWidth="1"/>
    <col min="14355" max="14558" width="11.42578125" style="122"/>
    <col min="14559" max="14559" width="8.85546875" style="122" customWidth="1"/>
    <col min="14560" max="14560" width="35.7109375" style="122" bestFit="1" customWidth="1"/>
    <col min="14561" max="14561" width="5" style="122" customWidth="1"/>
    <col min="14562" max="14564" width="12.85546875" style="122" bestFit="1" customWidth="1"/>
    <col min="14565" max="14575" width="15.140625" style="122" customWidth="1"/>
    <col min="14576" max="14576" width="13.85546875" style="122" customWidth="1"/>
    <col min="14577" max="14577" width="11.42578125" style="122" customWidth="1"/>
    <col min="14578" max="14578" width="12" style="122" bestFit="1" customWidth="1"/>
    <col min="14579" max="14579" width="31.7109375" style="122" customWidth="1"/>
    <col min="14580" max="14580" width="13.85546875" style="122" customWidth="1"/>
    <col min="14581" max="14581" width="13.42578125" style="122" customWidth="1"/>
    <col min="14582" max="14585" width="16.140625" style="122" bestFit="1" customWidth="1"/>
    <col min="14586" max="14589" width="17.42578125" style="122" bestFit="1" customWidth="1"/>
    <col min="14590" max="14593" width="17.42578125" style="122" customWidth="1"/>
    <col min="14594" max="14594" width="27.28515625" style="122" customWidth="1"/>
    <col min="14595" max="14595" width="15.85546875" style="122" bestFit="1" customWidth="1"/>
    <col min="14596" max="14596" width="12.42578125" style="122" bestFit="1" customWidth="1"/>
    <col min="14597" max="14607" width="11.42578125" style="122" customWidth="1"/>
    <col min="14608" max="14608" width="17.140625" style="122" customWidth="1"/>
    <col min="14609" max="14609" width="11.42578125" style="122" customWidth="1"/>
    <col min="14610" max="14610" width="34.28515625" style="122" bestFit="1" customWidth="1"/>
    <col min="14611" max="14814" width="11.42578125" style="122"/>
    <col min="14815" max="14815" width="8.85546875" style="122" customWidth="1"/>
    <col min="14816" max="14816" width="35.7109375" style="122" bestFit="1" customWidth="1"/>
    <col min="14817" max="14817" width="5" style="122" customWidth="1"/>
    <col min="14818" max="14820" width="12.85546875" style="122" bestFit="1" customWidth="1"/>
    <col min="14821" max="14831" width="15.140625" style="122" customWidth="1"/>
    <col min="14832" max="14832" width="13.85546875" style="122" customWidth="1"/>
    <col min="14833" max="14833" width="11.42578125" style="122" customWidth="1"/>
    <col min="14834" max="14834" width="12" style="122" bestFit="1" customWidth="1"/>
    <col min="14835" max="14835" width="31.7109375" style="122" customWidth="1"/>
    <col min="14836" max="14836" width="13.85546875" style="122" customWidth="1"/>
    <col min="14837" max="14837" width="13.42578125" style="122" customWidth="1"/>
    <col min="14838" max="14841" width="16.140625" style="122" bestFit="1" customWidth="1"/>
    <col min="14842" max="14845" width="17.42578125" style="122" bestFit="1" customWidth="1"/>
    <col min="14846" max="14849" width="17.42578125" style="122" customWidth="1"/>
    <col min="14850" max="14850" width="27.28515625" style="122" customWidth="1"/>
    <col min="14851" max="14851" width="15.85546875" style="122" bestFit="1" customWidth="1"/>
    <col min="14852" max="14852" width="12.42578125" style="122" bestFit="1" customWidth="1"/>
    <col min="14853" max="14863" width="11.42578125" style="122" customWidth="1"/>
    <col min="14864" max="14864" width="17.140625" style="122" customWidth="1"/>
    <col min="14865" max="14865" width="11.42578125" style="122" customWidth="1"/>
    <col min="14866" max="14866" width="34.28515625" style="122" bestFit="1" customWidth="1"/>
    <col min="14867" max="15070" width="11.42578125" style="122"/>
    <col min="15071" max="15071" width="8.85546875" style="122" customWidth="1"/>
    <col min="15072" max="15072" width="35.7109375" style="122" bestFit="1" customWidth="1"/>
    <col min="15073" max="15073" width="5" style="122" customWidth="1"/>
    <col min="15074" max="15076" width="12.85546875" style="122" bestFit="1" customWidth="1"/>
    <col min="15077" max="15087" width="15.140625" style="122" customWidth="1"/>
    <col min="15088" max="15088" width="13.85546875" style="122" customWidth="1"/>
    <col min="15089" max="15089" width="11.42578125" style="122" customWidth="1"/>
    <col min="15090" max="15090" width="12" style="122" bestFit="1" customWidth="1"/>
    <col min="15091" max="15091" width="31.7109375" style="122" customWidth="1"/>
    <col min="15092" max="15092" width="13.85546875" style="122" customWidth="1"/>
    <col min="15093" max="15093" width="13.42578125" style="122" customWidth="1"/>
    <col min="15094" max="15097" width="16.140625" style="122" bestFit="1" customWidth="1"/>
    <col min="15098" max="15101" width="17.42578125" style="122" bestFit="1" customWidth="1"/>
    <col min="15102" max="15105" width="17.42578125" style="122" customWidth="1"/>
    <col min="15106" max="15106" width="27.28515625" style="122" customWidth="1"/>
    <col min="15107" max="15107" width="15.85546875" style="122" bestFit="1" customWidth="1"/>
    <col min="15108" max="15108" width="12.42578125" style="122" bestFit="1" customWidth="1"/>
    <col min="15109" max="15119" width="11.42578125" style="122" customWidth="1"/>
    <col min="15120" max="15120" width="17.140625" style="122" customWidth="1"/>
    <col min="15121" max="15121" width="11.42578125" style="122" customWidth="1"/>
    <col min="15122" max="15122" width="34.28515625" style="122" bestFit="1" customWidth="1"/>
    <col min="15123" max="15326" width="11.42578125" style="122"/>
    <col min="15327" max="15327" width="8.85546875" style="122" customWidth="1"/>
    <col min="15328" max="15328" width="35.7109375" style="122" bestFit="1" customWidth="1"/>
    <col min="15329" max="15329" width="5" style="122" customWidth="1"/>
    <col min="15330" max="15332" width="12.85546875" style="122" bestFit="1" customWidth="1"/>
    <col min="15333" max="15343" width="15.140625" style="122" customWidth="1"/>
    <col min="15344" max="15344" width="13.85546875" style="122" customWidth="1"/>
    <col min="15345" max="15345" width="11.42578125" style="122" customWidth="1"/>
    <col min="15346" max="15346" width="12" style="122" bestFit="1" customWidth="1"/>
    <col min="15347" max="15347" width="31.7109375" style="122" customWidth="1"/>
    <col min="15348" max="15348" width="13.85546875" style="122" customWidth="1"/>
    <col min="15349" max="15349" width="13.42578125" style="122" customWidth="1"/>
    <col min="15350" max="15353" width="16.140625" style="122" bestFit="1" customWidth="1"/>
    <col min="15354" max="15357" width="17.42578125" style="122" bestFit="1" customWidth="1"/>
    <col min="15358" max="15361" width="17.42578125" style="122" customWidth="1"/>
    <col min="15362" max="15362" width="27.28515625" style="122" customWidth="1"/>
    <col min="15363" max="15363" width="15.85546875" style="122" bestFit="1" customWidth="1"/>
    <col min="15364" max="15364" width="12.42578125" style="122" bestFit="1" customWidth="1"/>
    <col min="15365" max="15375" width="11.42578125" style="122" customWidth="1"/>
    <col min="15376" max="15376" width="17.140625" style="122" customWidth="1"/>
    <col min="15377" max="15377" width="11.42578125" style="122" customWidth="1"/>
    <col min="15378" max="15378" width="34.28515625" style="122" bestFit="1" customWidth="1"/>
    <col min="15379" max="15582" width="11.42578125" style="122"/>
    <col min="15583" max="15583" width="8.85546875" style="122" customWidth="1"/>
    <col min="15584" max="15584" width="35.7109375" style="122" bestFit="1" customWidth="1"/>
    <col min="15585" max="15585" width="5" style="122" customWidth="1"/>
    <col min="15586" max="15588" width="12.85546875" style="122" bestFit="1" customWidth="1"/>
    <col min="15589" max="15599" width="15.140625" style="122" customWidth="1"/>
    <col min="15600" max="15600" width="13.85546875" style="122" customWidth="1"/>
    <col min="15601" max="15601" width="11.42578125" style="122" customWidth="1"/>
    <col min="15602" max="15602" width="12" style="122" bestFit="1" customWidth="1"/>
    <col min="15603" max="15603" width="31.7109375" style="122" customWidth="1"/>
    <col min="15604" max="15604" width="13.85546875" style="122" customWidth="1"/>
    <col min="15605" max="15605" width="13.42578125" style="122" customWidth="1"/>
    <col min="15606" max="15609" width="16.140625" style="122" bestFit="1" customWidth="1"/>
    <col min="15610" max="15613" width="17.42578125" style="122" bestFit="1" customWidth="1"/>
    <col min="15614" max="15617" width="17.42578125" style="122" customWidth="1"/>
    <col min="15618" max="15618" width="27.28515625" style="122" customWidth="1"/>
    <col min="15619" max="15619" width="15.85546875" style="122" bestFit="1" customWidth="1"/>
    <col min="15620" max="15620" width="12.42578125" style="122" bestFit="1" customWidth="1"/>
    <col min="15621" max="15631" width="11.42578125" style="122" customWidth="1"/>
    <col min="15632" max="15632" width="17.140625" style="122" customWidth="1"/>
    <col min="15633" max="15633" width="11.42578125" style="122" customWidth="1"/>
    <col min="15634" max="15634" width="34.28515625" style="122" bestFit="1" customWidth="1"/>
    <col min="15635" max="15838" width="11.42578125" style="122"/>
    <col min="15839" max="15839" width="8.85546875" style="122" customWidth="1"/>
    <col min="15840" max="15840" width="35.7109375" style="122" bestFit="1" customWidth="1"/>
    <col min="15841" max="15841" width="5" style="122" customWidth="1"/>
    <col min="15842" max="15844" width="12.85546875" style="122" bestFit="1" customWidth="1"/>
    <col min="15845" max="15855" width="15.140625" style="122" customWidth="1"/>
    <col min="15856" max="15856" width="13.85546875" style="122" customWidth="1"/>
    <col min="15857" max="15857" width="11.42578125" style="122" customWidth="1"/>
    <col min="15858" max="15858" width="12" style="122" bestFit="1" customWidth="1"/>
    <col min="15859" max="15859" width="31.7109375" style="122" customWidth="1"/>
    <col min="15860" max="15860" width="13.85546875" style="122" customWidth="1"/>
    <col min="15861" max="15861" width="13.42578125" style="122" customWidth="1"/>
    <col min="15862" max="15865" width="16.140625" style="122" bestFit="1" customWidth="1"/>
    <col min="15866" max="15869" width="17.42578125" style="122" bestFit="1" customWidth="1"/>
    <col min="15870" max="15873" width="17.42578125" style="122" customWidth="1"/>
    <col min="15874" max="15874" width="27.28515625" style="122" customWidth="1"/>
    <col min="15875" max="15875" width="15.85546875" style="122" bestFit="1" customWidth="1"/>
    <col min="15876" max="15876" width="12.42578125" style="122" bestFit="1" customWidth="1"/>
    <col min="15877" max="15887" width="11.42578125" style="122" customWidth="1"/>
    <col min="15888" max="15888" width="17.140625" style="122" customWidth="1"/>
    <col min="15889" max="15889" width="11.42578125" style="122" customWidth="1"/>
    <col min="15890" max="15890" width="34.28515625" style="122" bestFit="1" customWidth="1"/>
    <col min="15891" max="16094" width="11.42578125" style="122"/>
    <col min="16095" max="16095" width="8.85546875" style="122" customWidth="1"/>
    <col min="16096" max="16096" width="35.7109375" style="122" bestFit="1" customWidth="1"/>
    <col min="16097" max="16097" width="5" style="122" customWidth="1"/>
    <col min="16098" max="16100" width="12.85546875" style="122" bestFit="1" customWidth="1"/>
    <col min="16101" max="16111" width="15.140625" style="122" customWidth="1"/>
    <col min="16112" max="16112" width="13.85546875" style="122" customWidth="1"/>
    <col min="16113" max="16113" width="11.42578125" style="122" customWidth="1"/>
    <col min="16114" max="16114" width="12" style="122" bestFit="1" customWidth="1"/>
    <col min="16115" max="16115" width="31.7109375" style="122" customWidth="1"/>
    <col min="16116" max="16116" width="13.85546875" style="122" customWidth="1"/>
    <col min="16117" max="16117" width="13.42578125" style="122" customWidth="1"/>
    <col min="16118" max="16121" width="16.140625" style="122" bestFit="1" customWidth="1"/>
    <col min="16122" max="16125" width="17.42578125" style="122" bestFit="1" customWidth="1"/>
    <col min="16126" max="16129" width="17.42578125" style="122" customWidth="1"/>
    <col min="16130" max="16130" width="27.28515625" style="122" customWidth="1"/>
    <col min="16131" max="16131" width="15.85546875" style="122" bestFit="1" customWidth="1"/>
    <col min="16132" max="16132" width="12.42578125" style="122" bestFit="1" customWidth="1"/>
    <col min="16133" max="16143" width="11.42578125" style="122" customWidth="1"/>
    <col min="16144" max="16144" width="17.140625" style="122" customWidth="1"/>
    <col min="16145" max="16145" width="11.42578125" style="122" customWidth="1"/>
    <col min="16146" max="16146" width="34.28515625" style="122" bestFit="1" customWidth="1"/>
    <col min="16147" max="16384" width="11.42578125" style="122"/>
  </cols>
  <sheetData>
    <row r="1" spans="1:20" ht="15">
      <c r="A1" s="120"/>
      <c r="B1" s="120"/>
      <c r="C1" s="121"/>
      <c r="D1" s="121"/>
      <c r="E1" s="444" t="s">
        <v>555</v>
      </c>
      <c r="F1" s="444"/>
      <c r="G1" s="444"/>
      <c r="H1" s="444"/>
      <c r="I1" s="121"/>
      <c r="J1" s="121"/>
      <c r="K1" s="121"/>
      <c r="L1" s="121"/>
      <c r="M1" s="121"/>
      <c r="N1" s="121"/>
      <c r="O1" s="121"/>
      <c r="P1" s="125"/>
      <c r="Q1" s="125"/>
      <c r="R1" s="125"/>
      <c r="S1" s="125"/>
      <c r="T1" s="125"/>
    </row>
    <row r="2" spans="1:20">
      <c r="A2" s="123" t="str">
        <f>IF(F2=1,"Inicio de Periodo",IF(F2=2,"Fin de Periodo",""))</f>
        <v/>
      </c>
      <c r="B2" s="120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20" ht="21.75" customHeight="1" thickBot="1">
      <c r="A3" s="88" t="s">
        <v>176</v>
      </c>
      <c r="B3" s="88">
        <v>2000</v>
      </c>
      <c r="C3" s="88">
        <v>2001</v>
      </c>
      <c r="D3" s="88">
        <v>2002</v>
      </c>
      <c r="E3" s="88">
        <v>2003</v>
      </c>
      <c r="F3" s="88">
        <v>2004</v>
      </c>
      <c r="G3" s="49" t="s">
        <v>469</v>
      </c>
      <c r="H3" s="88">
        <v>2005</v>
      </c>
      <c r="I3" s="88">
        <v>2006</v>
      </c>
      <c r="J3" s="88">
        <v>2007</v>
      </c>
      <c r="K3" s="88">
        <v>2008</v>
      </c>
      <c r="L3" s="88">
        <v>2009</v>
      </c>
      <c r="M3" s="88">
        <v>2010</v>
      </c>
      <c r="N3" s="88">
        <v>2011</v>
      </c>
      <c r="O3" s="88">
        <v>2012</v>
      </c>
    </row>
    <row r="4" spans="1:20" ht="16.5" customHeight="1" thickTop="1">
      <c r="A4" s="229" t="s">
        <v>36</v>
      </c>
      <c r="B4" s="219"/>
      <c r="C4" s="219">
        <f>(StockCapital!C4+StockCapital!B4)/2</f>
        <v>38387230.735940158</v>
      </c>
      <c r="D4" s="219">
        <f>(StockCapital!D4+StockCapital!C4)/2</f>
        <v>39069685.476912394</v>
      </c>
      <c r="E4" s="219">
        <f>(StockCapital!E4+StockCapital!D4)/2</f>
        <v>38403954.393172152</v>
      </c>
      <c r="F4" s="219">
        <f>(StockCapital!F4+StockCapital!E4)/2</f>
        <v>37777481.930121556</v>
      </c>
      <c r="G4" s="219">
        <f>(StockCapital!G4+StockCapital!F4)/2</f>
        <v>108190246.50401719</v>
      </c>
      <c r="H4" s="219">
        <f>(StockCapital!H4+StockCapital!G4)/2</f>
        <v>181526277.51387119</v>
      </c>
      <c r="I4" s="219">
        <f>(StockCapital!I4+StockCapital!H4)/2</f>
        <v>190337071.48677897</v>
      </c>
      <c r="J4" s="219">
        <f>(StockCapital!J4+StockCapital!I4)/2</f>
        <v>195166426.60993531</v>
      </c>
      <c r="K4" s="219">
        <f>(StockCapital!K4+StockCapital!J4)/2</f>
        <v>190494747.25033301</v>
      </c>
      <c r="L4" s="219">
        <f>(StockCapital!L4+StockCapital!K4)/2</f>
        <v>210297688.58038586</v>
      </c>
      <c r="M4" s="219">
        <f>(StockCapital!M4+StockCapital!L4)/2</f>
        <v>231410647.15181804</v>
      </c>
      <c r="N4" s="219">
        <f>(StockCapital!N4+StockCapital!M4)/2</f>
        <v>225926588.48187089</v>
      </c>
      <c r="O4" s="219">
        <f>(StockCapital!O4+StockCapital!N4)/2</f>
        <v>232610616.01882029</v>
      </c>
      <c r="P4" s="125"/>
    </row>
    <row r="5" spans="1:20" ht="16.5" customHeight="1">
      <c r="A5" s="230" t="s">
        <v>37</v>
      </c>
      <c r="B5" s="230"/>
      <c r="C5" s="220">
        <f>(StockCapital!C5+StockCapital!B5)/2</f>
        <v>1899194</v>
      </c>
      <c r="D5" s="220">
        <f>(StockCapital!D5+StockCapital!C5)/2</f>
        <v>3897581.5333333332</v>
      </c>
      <c r="E5" s="220">
        <f>(StockCapital!E5+StockCapital!D5)/2</f>
        <v>3903551.9333333331</v>
      </c>
      <c r="F5" s="220">
        <f>(StockCapital!F5+StockCapital!E5)/2</f>
        <v>3766105.6666666665</v>
      </c>
      <c r="G5" s="220">
        <f>(StockCapital!G5+StockCapital!F5)/2</f>
        <v>3653159.4</v>
      </c>
      <c r="H5" s="220">
        <f>(StockCapital!H5+StockCapital!G5)/2</f>
        <v>3584436.2666666666</v>
      </c>
      <c r="I5" s="220">
        <f>(StockCapital!I5+StockCapital!H5)/2</f>
        <v>3516213.1333333333</v>
      </c>
      <c r="J5" s="220">
        <f>(StockCapital!J5+StockCapital!I5)/2</f>
        <v>3379250.2</v>
      </c>
      <c r="K5" s="220">
        <f>(StockCapital!K5+StockCapital!J5)/2</f>
        <v>3241770.5999999996</v>
      </c>
      <c r="L5" s="220">
        <f>(StockCapital!L5+StockCapital!K5)/2</f>
        <v>3104291</v>
      </c>
      <c r="M5" s="220">
        <f>(StockCapital!M5+StockCapital!L5)/2</f>
        <v>2966811.4000000004</v>
      </c>
      <c r="N5" s="220">
        <f>(StockCapital!N5+StockCapital!M5)/2</f>
        <v>2829331.8</v>
      </c>
      <c r="O5" s="220">
        <f>(StockCapital!O5+StockCapital!N5)/2</f>
        <v>2691852.2</v>
      </c>
      <c r="P5" s="125"/>
    </row>
    <row r="6" spans="1:20" ht="16.5" customHeight="1">
      <c r="A6" s="231" t="s">
        <v>38</v>
      </c>
      <c r="B6" s="231"/>
      <c r="C6" s="221">
        <f>(StockCapital!C6+StockCapital!B6)/2</f>
        <v>313389.71428571432</v>
      </c>
      <c r="D6" s="221">
        <f>(StockCapital!D6+StockCapital!C6)/2</f>
        <v>605940.45714285714</v>
      </c>
      <c r="E6" s="221">
        <f>(StockCapital!E6+StockCapital!D6)/2</f>
        <v>653712.51428571437</v>
      </c>
      <c r="F6" s="221">
        <f>(StockCapital!F6+StockCapital!E6)/2</f>
        <v>689334.57142857148</v>
      </c>
      <c r="G6" s="221">
        <f>(StockCapital!G6+StockCapital!F6)/2</f>
        <v>818406.62857142871</v>
      </c>
      <c r="H6" s="221">
        <f>(StockCapital!H6+StockCapital!G6)/2</f>
        <v>980467.65714285732</v>
      </c>
      <c r="I6" s="221">
        <f>(StockCapital!I6+StockCapital!H6)/2</f>
        <v>1205478.6857142858</v>
      </c>
      <c r="J6" s="221">
        <f>(StockCapital!J6+StockCapital!I6)/2</f>
        <v>1337600.7428571428</v>
      </c>
      <c r="K6" s="221">
        <f>(StockCapital!K6+StockCapital!J6)/2</f>
        <v>1293322.8</v>
      </c>
      <c r="L6" s="221">
        <f>(StockCapital!L6+StockCapital!K6)/2</f>
        <v>1390394.8571428573</v>
      </c>
      <c r="M6" s="221">
        <f>(StockCapital!M6+StockCapital!L6)/2</f>
        <v>1421266.9142857143</v>
      </c>
      <c r="N6" s="221">
        <f>(StockCapital!N6+StockCapital!M6)/2</f>
        <v>1344088.9714285713</v>
      </c>
      <c r="O6" s="221">
        <f>(StockCapital!O6+StockCapital!N6)/2</f>
        <v>1500900</v>
      </c>
      <c r="P6" s="125"/>
    </row>
    <row r="7" spans="1:20" ht="16.5" customHeight="1">
      <c r="A7" s="232" t="s">
        <v>135</v>
      </c>
      <c r="B7" s="232"/>
      <c r="C7" s="222">
        <f>(StockCapital!C7+StockCapital!B7)/2</f>
        <v>0</v>
      </c>
      <c r="D7" s="222">
        <f>(StockCapital!D7+StockCapital!C7)/2</f>
        <v>1642000</v>
      </c>
      <c r="E7" s="222">
        <f>(StockCapital!E7+StockCapital!D7)/2</f>
        <v>3149300</v>
      </c>
      <c r="F7" s="222">
        <f>(StockCapital!F7+StockCapital!E7)/2</f>
        <v>2890950</v>
      </c>
      <c r="G7" s="222">
        <f>(StockCapital!G7+StockCapital!F7)/2</f>
        <v>2595799.9999999995</v>
      </c>
      <c r="H7" s="222">
        <f>(StockCapital!H7+StockCapital!G7)/2</f>
        <v>2424299.9999999995</v>
      </c>
      <c r="I7" s="222">
        <f>(StockCapital!I7+StockCapital!H7)/2</f>
        <v>2366799.9999999995</v>
      </c>
      <c r="J7" s="222">
        <f>(StockCapital!J7+StockCapital!I7)/2</f>
        <v>2128399.9999999995</v>
      </c>
      <c r="K7" s="222">
        <f>(StockCapital!K7+StockCapital!J7)/2</f>
        <v>1566399.9999999995</v>
      </c>
      <c r="L7" s="222">
        <f>(StockCapital!L7+StockCapital!K7)/2</f>
        <v>1081999.9999999993</v>
      </c>
      <c r="M7" s="222">
        <f>(StockCapital!M7+StockCapital!L7)/2</f>
        <v>873899.9999999993</v>
      </c>
      <c r="N7" s="222">
        <f>(StockCapital!N7+StockCapital!M7)/2</f>
        <v>697349.99999999919</v>
      </c>
      <c r="O7" s="222">
        <f>(StockCapital!O7+StockCapital!N7)/2</f>
        <v>443449.99999999919</v>
      </c>
      <c r="P7" s="125"/>
    </row>
    <row r="8" spans="1:20" ht="16.5" customHeight="1">
      <c r="A8" s="219" t="s">
        <v>136</v>
      </c>
      <c r="B8" s="219"/>
      <c r="C8" s="219">
        <f>(StockCapital!C8+StockCapital!B8)/2</f>
        <v>190674.28571428571</v>
      </c>
      <c r="D8" s="219">
        <f>(StockCapital!D8+StockCapital!C8)/2</f>
        <v>425840</v>
      </c>
      <c r="E8" s="219">
        <f>(StockCapital!E8+StockCapital!D8)/2</f>
        <v>463122.85714285716</v>
      </c>
      <c r="F8" s="219">
        <f>(StockCapital!F8+StockCapital!E8)/2</f>
        <v>503330.71428571432</v>
      </c>
      <c r="G8" s="219">
        <f>(StockCapital!G8+StockCapital!F8)/2</f>
        <v>469663.57142857148</v>
      </c>
      <c r="H8" s="219">
        <f>(StockCapital!H8+StockCapital!G8)/2</f>
        <v>388580.00000000006</v>
      </c>
      <c r="I8" s="219">
        <f>(StockCapital!I8+StockCapital!H8)/2</f>
        <v>351415</v>
      </c>
      <c r="J8" s="219">
        <f>(StockCapital!J8+StockCapital!I8)/2</f>
        <v>286875</v>
      </c>
      <c r="K8" s="219">
        <f>(StockCapital!K8+StockCapital!J8)/2</f>
        <v>324250</v>
      </c>
      <c r="L8" s="219">
        <f>(StockCapital!L8+StockCapital!K8)/2</f>
        <v>393250</v>
      </c>
      <c r="M8" s="219">
        <f>(StockCapital!M8+StockCapital!L8)/2</f>
        <v>451875</v>
      </c>
      <c r="N8" s="219">
        <f>(StockCapital!N8+StockCapital!M8)/2</f>
        <v>486875</v>
      </c>
      <c r="O8" s="219">
        <f>(StockCapital!O8+StockCapital!N8)/2</f>
        <v>449750</v>
      </c>
      <c r="P8" s="125"/>
    </row>
    <row r="9" spans="1:20" ht="16.5" customHeight="1">
      <c r="A9" s="220" t="s">
        <v>137</v>
      </c>
      <c r="B9" s="220"/>
      <c r="C9" s="220">
        <f>(StockCapital!C9+StockCapital!B9)/2</f>
        <v>184102.28571428571</v>
      </c>
      <c r="D9" s="220">
        <f>(StockCapital!D9+StockCapital!C9)/2</f>
        <v>425704.84285714279</v>
      </c>
      <c r="E9" s="220">
        <f>(StockCapital!E9+StockCapital!D9)/2</f>
        <v>528703.83571428573</v>
      </c>
      <c r="F9" s="220">
        <f>(StockCapital!F9+StockCapital!E9)/2</f>
        <v>579051.2785714285</v>
      </c>
      <c r="G9" s="220">
        <f>(StockCapital!G9+StockCapital!F9)/2</f>
        <v>548948.72142857139</v>
      </c>
      <c r="H9" s="220">
        <f>(StockCapital!H9+StockCapital!G9)/2</f>
        <v>513997.44285714283</v>
      </c>
      <c r="I9" s="220">
        <f>(StockCapital!I9+StockCapital!H9)/2</f>
        <v>1022346.1642857142</v>
      </c>
      <c r="J9" s="220">
        <f>(StockCapital!J9+StockCapital!I9)/2</f>
        <v>1501493.607142857</v>
      </c>
      <c r="K9" s="220">
        <f>(StockCapital!K9+StockCapital!J9)/2</f>
        <v>1606341.0499999998</v>
      </c>
      <c r="L9" s="220">
        <f>(StockCapital!L9+StockCapital!K9)/2</f>
        <v>1701238.4928571428</v>
      </c>
      <c r="M9" s="220">
        <f>(StockCapital!M9+StockCapital!L9)/2</f>
        <v>1652735.9357142856</v>
      </c>
      <c r="N9" s="220">
        <f>(StockCapital!N9+StockCapital!M9)/2</f>
        <v>1553533.3785714284</v>
      </c>
      <c r="O9" s="220">
        <f>(StockCapital!O9+StockCapital!N9)/2</f>
        <v>1967091.0499999998</v>
      </c>
      <c r="P9" s="125"/>
    </row>
    <row r="10" spans="1:20" ht="16.5" customHeight="1">
      <c r="A10" s="219" t="s">
        <v>138</v>
      </c>
      <c r="B10" s="219"/>
      <c r="C10" s="219">
        <f>(StockCapital!C10+StockCapital!B10)/2</f>
        <v>520196.15071737178</v>
      </c>
      <c r="D10" s="219">
        <f>(StockCapital!D10+StockCapital!C10)/2</f>
        <v>588865.77920295903</v>
      </c>
      <c r="E10" s="219">
        <f>(StockCapital!E10+StockCapital!D10)/2</f>
        <v>475800.89464133594</v>
      </c>
      <c r="F10" s="219">
        <f>(StockCapital!F10+StockCapital!E10)/2</f>
        <v>354481.61007971282</v>
      </c>
      <c r="G10" s="219">
        <f>(StockCapital!G10+StockCapital!F10)/2</f>
        <v>226662.3255180897</v>
      </c>
      <c r="H10" s="219">
        <f>(StockCapital!H10+StockCapital!G10)/2</f>
        <v>143252.68323727811</v>
      </c>
      <c r="I10" s="219">
        <f>(StockCapital!I10+StockCapital!H10)/2</f>
        <v>167880.16895156383</v>
      </c>
      <c r="J10" s="219">
        <f>(StockCapital!J10+StockCapital!I10)/2</f>
        <v>208415.25466584956</v>
      </c>
      <c r="K10" s="219">
        <f>(StockCapital!K10+StockCapital!J10)/2</f>
        <v>204022.85466584956</v>
      </c>
      <c r="L10" s="219">
        <f>(StockCapital!L10+StockCapital!K10)/2</f>
        <v>155822.85466584956</v>
      </c>
      <c r="M10" s="219">
        <f>(StockCapital!M10+StockCapital!L10)/2</f>
        <v>134622.85466584959</v>
      </c>
      <c r="N10" s="219">
        <f>(StockCapital!N10+StockCapital!M10)/2</f>
        <v>111422.85466584958</v>
      </c>
      <c r="O10" s="219">
        <f>(StockCapital!O10+StockCapital!N10)/2</f>
        <v>84922.854665849562</v>
      </c>
      <c r="P10" s="125"/>
    </row>
    <row r="11" spans="1:20" ht="16.5" customHeight="1">
      <c r="A11" s="220" t="s">
        <v>33</v>
      </c>
      <c r="B11" s="220"/>
      <c r="C11" s="220">
        <f>(StockCapital!C11+StockCapital!B11)/2</f>
        <v>383971.03492616361</v>
      </c>
      <c r="D11" s="220">
        <f>(StockCapital!D11+StockCapital!C11)/2</f>
        <v>365121.72287182033</v>
      </c>
      <c r="E11" s="220">
        <f>(StockCapital!E11+StockCapital!D11)/2</f>
        <v>349913.99662877881</v>
      </c>
      <c r="F11" s="220">
        <f>(StockCapital!F11+StockCapital!E11)/2</f>
        <v>321009.57038573734</v>
      </c>
      <c r="G11" s="220">
        <f>(StockCapital!G11+StockCapital!F11)/2</f>
        <v>290505.14414269582</v>
      </c>
      <c r="H11" s="220">
        <f>(StockCapital!H11+StockCapital!G11)/2</f>
        <v>275902.93102117511</v>
      </c>
      <c r="I11" s="220">
        <f>(StockCapital!I11+StockCapital!H11)/2</f>
        <v>767900.71789965441</v>
      </c>
      <c r="J11" s="220">
        <f>(StockCapital!J11+StockCapital!I11)/2</f>
        <v>1194746.2916566129</v>
      </c>
      <c r="K11" s="220">
        <f>(StockCapital!K11+StockCapital!J11)/2</f>
        <v>1107841.8654135712</v>
      </c>
      <c r="L11" s="220">
        <f>(StockCapital!L11+StockCapital!K11)/2</f>
        <v>1070287.4391705301</v>
      </c>
      <c r="M11" s="220">
        <f>(StockCapital!M11+StockCapital!L11)/2</f>
        <v>980483.01292748854</v>
      </c>
      <c r="N11" s="220">
        <f>(StockCapital!N11+StockCapital!M11)/2</f>
        <v>878959.32837739633</v>
      </c>
      <c r="O11" s="220">
        <f>(StockCapital!O11+StockCapital!N11)/2</f>
        <v>859238.15694882488</v>
      </c>
      <c r="P11" s="125"/>
    </row>
    <row r="12" spans="1:20" ht="16.5" customHeight="1" thickBot="1">
      <c r="A12" s="88" t="s">
        <v>139</v>
      </c>
      <c r="B12" s="88"/>
      <c r="C12" s="88">
        <f t="shared" ref="C12:O12" si="0">SUM(C4:C11)</f>
        <v>41878758.207297973</v>
      </c>
      <c r="D12" s="88">
        <f t="shared" si="0"/>
        <v>47020739.812320508</v>
      </c>
      <c r="E12" s="88">
        <f t="shared" si="0"/>
        <v>47928060.42491845</v>
      </c>
      <c r="F12" s="88">
        <f t="shared" si="0"/>
        <v>46881745.34153939</v>
      </c>
      <c r="G12" s="88">
        <f t="shared" si="0"/>
        <v>116793392.29510656</v>
      </c>
      <c r="H12" s="88">
        <f t="shared" si="0"/>
        <v>189837214.49479634</v>
      </c>
      <c r="I12" s="88">
        <f t="shared" si="0"/>
        <v>199735105.35696352</v>
      </c>
      <c r="J12" s="88">
        <f t="shared" si="0"/>
        <v>205203207.70625776</v>
      </c>
      <c r="K12" s="88">
        <f t="shared" si="0"/>
        <v>199838696.42041245</v>
      </c>
      <c r="L12" s="88">
        <f t="shared" si="0"/>
        <v>219194973.22422224</v>
      </c>
      <c r="M12" s="88">
        <f t="shared" si="0"/>
        <v>239892342.26941139</v>
      </c>
      <c r="N12" s="88">
        <f t="shared" si="0"/>
        <v>233828149.81491414</v>
      </c>
      <c r="O12" s="88">
        <f t="shared" si="0"/>
        <v>240607820.28043497</v>
      </c>
      <c r="P12" s="125"/>
    </row>
    <row r="13" spans="1:20" ht="16.5" customHeight="1" thickTop="1">
      <c r="A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</row>
    <row r="14" spans="1:20" ht="16.5" customHeight="1">
      <c r="A14" s="345"/>
      <c r="B14" s="126"/>
      <c r="C14" s="127"/>
      <c r="D14" s="127"/>
      <c r="E14" s="127"/>
      <c r="F14" s="127"/>
      <c r="G14" s="127"/>
      <c r="H14" s="333"/>
      <c r="I14" s="127"/>
      <c r="J14" s="127"/>
      <c r="K14" s="127"/>
      <c r="L14" s="127"/>
      <c r="M14" s="127"/>
      <c r="N14" s="127"/>
      <c r="O14" s="127"/>
      <c r="P14" s="126"/>
      <c r="Q14" s="126"/>
      <c r="R14" s="126"/>
    </row>
    <row r="15" spans="1:20" ht="16.5" customHeight="1">
      <c r="A15" s="129"/>
      <c r="B15" s="129"/>
      <c r="K15" s="126"/>
      <c r="L15" s="126"/>
      <c r="M15" s="126"/>
      <c r="N15" s="126"/>
      <c r="O15" s="126"/>
      <c r="P15" s="126"/>
      <c r="Q15" s="126"/>
      <c r="R15" s="126"/>
    </row>
    <row r="16" spans="1:20" ht="16.5" customHeight="1">
      <c r="A16" s="129"/>
      <c r="B16" s="129"/>
      <c r="K16" s="154"/>
      <c r="L16" s="154"/>
      <c r="M16" s="154"/>
      <c r="N16" s="154"/>
      <c r="O16" s="154"/>
      <c r="P16" s="154"/>
    </row>
    <row r="17" spans="1:26">
      <c r="A17" s="129"/>
      <c r="B17" s="129"/>
      <c r="K17" s="154"/>
      <c r="L17" s="154"/>
      <c r="M17" s="154"/>
      <c r="N17" s="154"/>
      <c r="O17" s="154"/>
      <c r="P17" s="154"/>
      <c r="Q17" s="128"/>
      <c r="R17" s="128"/>
    </row>
    <row r="18" spans="1:26" s="129" customFormat="1">
      <c r="K18" s="130"/>
      <c r="L18" s="130"/>
      <c r="M18" s="130"/>
      <c r="N18" s="130"/>
      <c r="O18" s="130"/>
      <c r="S18" s="122"/>
      <c r="T18" s="122"/>
      <c r="U18" s="122"/>
      <c r="V18" s="122"/>
      <c r="W18" s="122"/>
      <c r="X18" s="122"/>
      <c r="Y18" s="122"/>
      <c r="Z18" s="122"/>
    </row>
    <row r="19" spans="1:26">
      <c r="A19" s="129"/>
      <c r="B19" s="129"/>
      <c r="K19" s="155"/>
      <c r="L19" s="155"/>
      <c r="M19" s="155"/>
      <c r="N19" s="155"/>
      <c r="O19" s="155"/>
      <c r="P19" s="134"/>
      <c r="Q19" s="134"/>
      <c r="R19" s="134"/>
      <c r="S19" s="134"/>
    </row>
    <row r="20" spans="1:26">
      <c r="A20" s="129"/>
      <c r="B20" s="129"/>
      <c r="K20" s="155"/>
      <c r="L20" s="155"/>
      <c r="M20" s="155"/>
      <c r="N20" s="155"/>
      <c r="O20" s="155"/>
      <c r="P20" s="134"/>
      <c r="Q20" s="134"/>
      <c r="R20" s="134"/>
      <c r="S20" s="134"/>
    </row>
    <row r="21" spans="1:26">
      <c r="A21" s="129"/>
      <c r="B21" s="129"/>
      <c r="K21" s="155"/>
      <c r="L21" s="155"/>
      <c r="M21" s="155"/>
      <c r="N21" s="155"/>
      <c r="O21" s="155"/>
      <c r="P21" s="134"/>
      <c r="Q21" s="134"/>
      <c r="R21" s="134"/>
      <c r="S21" s="134"/>
    </row>
    <row r="22" spans="1:26">
      <c r="A22" s="129"/>
      <c r="B22" s="129"/>
      <c r="K22" s="154"/>
      <c r="L22" s="154"/>
      <c r="M22" s="154"/>
      <c r="N22" s="154"/>
      <c r="O22" s="154"/>
      <c r="P22" s="134"/>
      <c r="Q22" s="134"/>
      <c r="R22" s="134"/>
      <c r="S22" s="134"/>
    </row>
    <row r="23" spans="1:26">
      <c r="A23" s="129"/>
      <c r="B23" s="129"/>
      <c r="K23" s="154"/>
      <c r="L23" s="154"/>
      <c r="M23" s="154"/>
      <c r="N23" s="154"/>
      <c r="O23" s="154"/>
      <c r="P23" s="134"/>
      <c r="Q23" s="134"/>
      <c r="R23" s="134"/>
      <c r="S23" s="134"/>
    </row>
    <row r="24" spans="1:26">
      <c r="A24" s="129"/>
      <c r="B24" s="129"/>
      <c r="K24" s="154"/>
      <c r="L24" s="154"/>
      <c r="M24" s="154"/>
      <c r="N24" s="154"/>
      <c r="O24" s="154"/>
      <c r="P24" s="134"/>
      <c r="Q24" s="134"/>
      <c r="R24" s="134"/>
      <c r="S24" s="134"/>
    </row>
    <row r="25" spans="1:26">
      <c r="A25" s="129"/>
      <c r="B25" s="129"/>
      <c r="K25" s="154"/>
      <c r="L25" s="154"/>
      <c r="M25" s="154"/>
      <c r="N25" s="154"/>
      <c r="O25" s="154"/>
      <c r="P25" s="134"/>
      <c r="Q25" s="134"/>
      <c r="R25" s="134"/>
      <c r="S25" s="134"/>
    </row>
    <row r="26" spans="1:26">
      <c r="A26" s="129"/>
      <c r="B26" s="129"/>
      <c r="K26" s="154"/>
      <c r="L26" s="154"/>
      <c r="M26" s="154"/>
      <c r="N26" s="154"/>
      <c r="O26" s="154"/>
      <c r="P26" s="134"/>
      <c r="Q26" s="134"/>
      <c r="R26" s="134"/>
      <c r="S26" s="134"/>
    </row>
    <row r="27" spans="1:26">
      <c r="A27" s="129"/>
      <c r="B27" s="129"/>
      <c r="K27" s="154"/>
      <c r="L27" s="154"/>
      <c r="M27" s="154"/>
      <c r="N27" s="154"/>
      <c r="O27" s="154"/>
      <c r="P27" s="134"/>
      <c r="Q27" s="134"/>
      <c r="R27" s="134"/>
      <c r="S27" s="134"/>
    </row>
    <row r="28" spans="1:26">
      <c r="A28" s="129"/>
      <c r="B28" s="129"/>
    </row>
    <row r="29" spans="1:26">
      <c r="A29" s="129"/>
      <c r="B29" s="129"/>
    </row>
    <row r="30" spans="1:26">
      <c r="A30" s="129"/>
      <c r="B30" s="129"/>
    </row>
    <row r="31" spans="1:26">
      <c r="A31" s="129"/>
      <c r="B31" s="129"/>
    </row>
    <row r="32" spans="1:26">
      <c r="A32" s="129"/>
      <c r="B32" s="129"/>
    </row>
    <row r="33" spans="1:2">
      <c r="A33" s="129"/>
      <c r="B33" s="129"/>
    </row>
    <row r="34" spans="1:2">
      <c r="A34" s="129"/>
      <c r="B34" s="129"/>
    </row>
    <row r="35" spans="1:2">
      <c r="A35" s="129"/>
      <c r="B35" s="129"/>
    </row>
    <row r="36" spans="1:2">
      <c r="A36" s="129"/>
      <c r="B36" s="129"/>
    </row>
    <row r="37" spans="1:2">
      <c r="A37" s="129"/>
      <c r="B37" s="129"/>
    </row>
    <row r="38" spans="1:2">
      <c r="A38" s="129"/>
      <c r="B38" s="129"/>
    </row>
    <row r="39" spans="1:2">
      <c r="A39" s="129"/>
      <c r="B39" s="129"/>
    </row>
    <row r="40" spans="1:2">
      <c r="A40" s="129"/>
      <c r="B40" s="129"/>
    </row>
    <row r="41" spans="1:2">
      <c r="A41" s="129"/>
      <c r="B41" s="129"/>
    </row>
    <row r="42" spans="1:2">
      <c r="A42" s="129"/>
      <c r="B42" s="129"/>
    </row>
    <row r="43" spans="1:2">
      <c r="A43" s="129"/>
      <c r="B43" s="129"/>
    </row>
  </sheetData>
  <mergeCells count="1">
    <mergeCell ref="E1:H1"/>
  </mergeCells>
  <hyperlinks>
    <hyperlink ref="E1:H1" location="Indice!D3" display="ÍNDICE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42">
    <tabColor rgb="FF92D050"/>
  </sheetPr>
  <dimension ref="A1:S15"/>
  <sheetViews>
    <sheetView showGridLines="0" workbookViewId="0">
      <selection activeCell="E2" sqref="E2:H2"/>
    </sheetView>
  </sheetViews>
  <sheetFormatPr baseColWidth="10" defaultRowHeight="9"/>
  <cols>
    <col min="1" max="1" width="35" style="122" bestFit="1" customWidth="1"/>
    <col min="2" max="2" width="7.42578125" style="122" customWidth="1"/>
    <col min="3" max="15" width="7.42578125" style="129" customWidth="1"/>
    <col min="16" max="16" width="13.85546875" style="122" customWidth="1"/>
    <col min="17" max="17" width="11.42578125" style="122" customWidth="1"/>
    <col min="18" max="21" width="7.42578125" style="122" customWidth="1"/>
    <col min="22" max="222" width="11.42578125" style="122"/>
    <col min="223" max="223" width="8.85546875" style="122" customWidth="1"/>
    <col min="224" max="224" width="35.7109375" style="122" bestFit="1" customWidth="1"/>
    <col min="225" max="225" width="5" style="122" customWidth="1"/>
    <col min="226" max="228" width="12.85546875" style="122" bestFit="1" customWidth="1"/>
    <col min="229" max="239" width="15.140625" style="122" customWidth="1"/>
    <col min="240" max="240" width="13.85546875" style="122" customWidth="1"/>
    <col min="241" max="241" width="11.42578125" style="122" customWidth="1"/>
    <col min="242" max="242" width="12" style="122" bestFit="1" customWidth="1"/>
    <col min="243" max="243" width="31.7109375" style="122" customWidth="1"/>
    <col min="244" max="244" width="13.85546875" style="122" customWidth="1"/>
    <col min="245" max="245" width="13.42578125" style="122" customWidth="1"/>
    <col min="246" max="249" width="16.140625" style="122" bestFit="1" customWidth="1"/>
    <col min="250" max="253" width="17.42578125" style="122" bestFit="1" customWidth="1"/>
    <col min="254" max="257" width="17.42578125" style="122" customWidth="1"/>
    <col min="258" max="258" width="27.28515625" style="122" customWidth="1"/>
    <col min="259" max="259" width="15.85546875" style="122" bestFit="1" customWidth="1"/>
    <col min="260" max="260" width="12.42578125" style="122" bestFit="1" customWidth="1"/>
    <col min="261" max="271" width="11.42578125" style="122" customWidth="1"/>
    <col min="272" max="272" width="17.140625" style="122" customWidth="1"/>
    <col min="273" max="273" width="11.42578125" style="122" customWidth="1"/>
    <col min="274" max="274" width="34.28515625" style="122" bestFit="1" customWidth="1"/>
    <col min="275" max="478" width="11.42578125" style="122"/>
    <col min="479" max="479" width="8.85546875" style="122" customWidth="1"/>
    <col min="480" max="480" width="35.7109375" style="122" bestFit="1" customWidth="1"/>
    <col min="481" max="481" width="5" style="122" customWidth="1"/>
    <col min="482" max="484" width="12.85546875" style="122" bestFit="1" customWidth="1"/>
    <col min="485" max="495" width="15.140625" style="122" customWidth="1"/>
    <col min="496" max="496" width="13.85546875" style="122" customWidth="1"/>
    <col min="497" max="497" width="11.42578125" style="122" customWidth="1"/>
    <col min="498" max="498" width="12" style="122" bestFit="1" customWidth="1"/>
    <col min="499" max="499" width="31.7109375" style="122" customWidth="1"/>
    <col min="500" max="500" width="13.85546875" style="122" customWidth="1"/>
    <col min="501" max="501" width="13.42578125" style="122" customWidth="1"/>
    <col min="502" max="505" width="16.140625" style="122" bestFit="1" customWidth="1"/>
    <col min="506" max="509" width="17.42578125" style="122" bestFit="1" customWidth="1"/>
    <col min="510" max="513" width="17.42578125" style="122" customWidth="1"/>
    <col min="514" max="514" width="27.28515625" style="122" customWidth="1"/>
    <col min="515" max="515" width="15.85546875" style="122" bestFit="1" customWidth="1"/>
    <col min="516" max="516" width="12.42578125" style="122" bestFit="1" customWidth="1"/>
    <col min="517" max="527" width="11.42578125" style="122" customWidth="1"/>
    <col min="528" max="528" width="17.140625" style="122" customWidth="1"/>
    <col min="529" max="529" width="11.42578125" style="122" customWidth="1"/>
    <col min="530" max="530" width="34.28515625" style="122" bestFit="1" customWidth="1"/>
    <col min="531" max="734" width="11.42578125" style="122"/>
    <col min="735" max="735" width="8.85546875" style="122" customWidth="1"/>
    <col min="736" max="736" width="35.7109375" style="122" bestFit="1" customWidth="1"/>
    <col min="737" max="737" width="5" style="122" customWidth="1"/>
    <col min="738" max="740" width="12.85546875" style="122" bestFit="1" customWidth="1"/>
    <col min="741" max="751" width="15.140625" style="122" customWidth="1"/>
    <col min="752" max="752" width="13.85546875" style="122" customWidth="1"/>
    <col min="753" max="753" width="11.42578125" style="122" customWidth="1"/>
    <col min="754" max="754" width="12" style="122" bestFit="1" customWidth="1"/>
    <col min="755" max="755" width="31.7109375" style="122" customWidth="1"/>
    <col min="756" max="756" width="13.85546875" style="122" customWidth="1"/>
    <col min="757" max="757" width="13.42578125" style="122" customWidth="1"/>
    <col min="758" max="761" width="16.140625" style="122" bestFit="1" customWidth="1"/>
    <col min="762" max="765" width="17.42578125" style="122" bestFit="1" customWidth="1"/>
    <col min="766" max="769" width="17.42578125" style="122" customWidth="1"/>
    <col min="770" max="770" width="27.28515625" style="122" customWidth="1"/>
    <col min="771" max="771" width="15.85546875" style="122" bestFit="1" customWidth="1"/>
    <col min="772" max="772" width="12.42578125" style="122" bestFit="1" customWidth="1"/>
    <col min="773" max="783" width="11.42578125" style="122" customWidth="1"/>
    <col min="784" max="784" width="17.140625" style="122" customWidth="1"/>
    <col min="785" max="785" width="11.42578125" style="122" customWidth="1"/>
    <col min="786" max="786" width="34.28515625" style="122" bestFit="1" customWidth="1"/>
    <col min="787" max="990" width="11.42578125" style="122"/>
    <col min="991" max="991" width="8.85546875" style="122" customWidth="1"/>
    <col min="992" max="992" width="35.7109375" style="122" bestFit="1" customWidth="1"/>
    <col min="993" max="993" width="5" style="122" customWidth="1"/>
    <col min="994" max="996" width="12.85546875" style="122" bestFit="1" customWidth="1"/>
    <col min="997" max="1007" width="15.140625" style="122" customWidth="1"/>
    <col min="1008" max="1008" width="13.85546875" style="122" customWidth="1"/>
    <col min="1009" max="1009" width="11.42578125" style="122" customWidth="1"/>
    <col min="1010" max="1010" width="12" style="122" bestFit="1" customWidth="1"/>
    <col min="1011" max="1011" width="31.7109375" style="122" customWidth="1"/>
    <col min="1012" max="1012" width="13.85546875" style="122" customWidth="1"/>
    <col min="1013" max="1013" width="13.42578125" style="122" customWidth="1"/>
    <col min="1014" max="1017" width="16.140625" style="122" bestFit="1" customWidth="1"/>
    <col min="1018" max="1021" width="17.42578125" style="122" bestFit="1" customWidth="1"/>
    <col min="1022" max="1025" width="17.42578125" style="122" customWidth="1"/>
    <col min="1026" max="1026" width="27.28515625" style="122" customWidth="1"/>
    <col min="1027" max="1027" width="15.85546875" style="122" bestFit="1" customWidth="1"/>
    <col min="1028" max="1028" width="12.42578125" style="122" bestFit="1" customWidth="1"/>
    <col min="1029" max="1039" width="11.42578125" style="122" customWidth="1"/>
    <col min="1040" max="1040" width="17.140625" style="122" customWidth="1"/>
    <col min="1041" max="1041" width="11.42578125" style="122" customWidth="1"/>
    <col min="1042" max="1042" width="34.28515625" style="122" bestFit="1" customWidth="1"/>
    <col min="1043" max="1246" width="11.42578125" style="122"/>
    <col min="1247" max="1247" width="8.85546875" style="122" customWidth="1"/>
    <col min="1248" max="1248" width="35.7109375" style="122" bestFit="1" customWidth="1"/>
    <col min="1249" max="1249" width="5" style="122" customWidth="1"/>
    <col min="1250" max="1252" width="12.85546875" style="122" bestFit="1" customWidth="1"/>
    <col min="1253" max="1263" width="15.140625" style="122" customWidth="1"/>
    <col min="1264" max="1264" width="13.85546875" style="122" customWidth="1"/>
    <col min="1265" max="1265" width="11.42578125" style="122" customWidth="1"/>
    <col min="1266" max="1266" width="12" style="122" bestFit="1" customWidth="1"/>
    <col min="1267" max="1267" width="31.7109375" style="122" customWidth="1"/>
    <col min="1268" max="1268" width="13.85546875" style="122" customWidth="1"/>
    <col min="1269" max="1269" width="13.42578125" style="122" customWidth="1"/>
    <col min="1270" max="1273" width="16.140625" style="122" bestFit="1" customWidth="1"/>
    <col min="1274" max="1277" width="17.42578125" style="122" bestFit="1" customWidth="1"/>
    <col min="1278" max="1281" width="17.42578125" style="122" customWidth="1"/>
    <col min="1282" max="1282" width="27.28515625" style="122" customWidth="1"/>
    <col min="1283" max="1283" width="15.85546875" style="122" bestFit="1" customWidth="1"/>
    <col min="1284" max="1284" width="12.42578125" style="122" bestFit="1" customWidth="1"/>
    <col min="1285" max="1295" width="11.42578125" style="122" customWidth="1"/>
    <col min="1296" max="1296" width="17.140625" style="122" customWidth="1"/>
    <col min="1297" max="1297" width="11.42578125" style="122" customWidth="1"/>
    <col min="1298" max="1298" width="34.28515625" style="122" bestFit="1" customWidth="1"/>
    <col min="1299" max="1502" width="11.42578125" style="122"/>
    <col min="1503" max="1503" width="8.85546875" style="122" customWidth="1"/>
    <col min="1504" max="1504" width="35.7109375" style="122" bestFit="1" customWidth="1"/>
    <col min="1505" max="1505" width="5" style="122" customWidth="1"/>
    <col min="1506" max="1508" width="12.85546875" style="122" bestFit="1" customWidth="1"/>
    <col min="1509" max="1519" width="15.140625" style="122" customWidth="1"/>
    <col min="1520" max="1520" width="13.85546875" style="122" customWidth="1"/>
    <col min="1521" max="1521" width="11.42578125" style="122" customWidth="1"/>
    <col min="1522" max="1522" width="12" style="122" bestFit="1" customWidth="1"/>
    <col min="1523" max="1523" width="31.7109375" style="122" customWidth="1"/>
    <col min="1524" max="1524" width="13.85546875" style="122" customWidth="1"/>
    <col min="1525" max="1525" width="13.42578125" style="122" customWidth="1"/>
    <col min="1526" max="1529" width="16.140625" style="122" bestFit="1" customWidth="1"/>
    <col min="1530" max="1533" width="17.42578125" style="122" bestFit="1" customWidth="1"/>
    <col min="1534" max="1537" width="17.42578125" style="122" customWidth="1"/>
    <col min="1538" max="1538" width="27.28515625" style="122" customWidth="1"/>
    <col min="1539" max="1539" width="15.85546875" style="122" bestFit="1" customWidth="1"/>
    <col min="1540" max="1540" width="12.42578125" style="122" bestFit="1" customWidth="1"/>
    <col min="1541" max="1551" width="11.42578125" style="122" customWidth="1"/>
    <col min="1552" max="1552" width="17.140625" style="122" customWidth="1"/>
    <col min="1553" max="1553" width="11.42578125" style="122" customWidth="1"/>
    <col min="1554" max="1554" width="34.28515625" style="122" bestFit="1" customWidth="1"/>
    <col min="1555" max="1758" width="11.42578125" style="122"/>
    <col min="1759" max="1759" width="8.85546875" style="122" customWidth="1"/>
    <col min="1760" max="1760" width="35.7109375" style="122" bestFit="1" customWidth="1"/>
    <col min="1761" max="1761" width="5" style="122" customWidth="1"/>
    <col min="1762" max="1764" width="12.85546875" style="122" bestFit="1" customWidth="1"/>
    <col min="1765" max="1775" width="15.140625" style="122" customWidth="1"/>
    <col min="1776" max="1776" width="13.85546875" style="122" customWidth="1"/>
    <col min="1777" max="1777" width="11.42578125" style="122" customWidth="1"/>
    <col min="1778" max="1778" width="12" style="122" bestFit="1" customWidth="1"/>
    <col min="1779" max="1779" width="31.7109375" style="122" customWidth="1"/>
    <col min="1780" max="1780" width="13.85546875" style="122" customWidth="1"/>
    <col min="1781" max="1781" width="13.42578125" style="122" customWidth="1"/>
    <col min="1782" max="1785" width="16.140625" style="122" bestFit="1" customWidth="1"/>
    <col min="1786" max="1789" width="17.42578125" style="122" bestFit="1" customWidth="1"/>
    <col min="1790" max="1793" width="17.42578125" style="122" customWidth="1"/>
    <col min="1794" max="1794" width="27.28515625" style="122" customWidth="1"/>
    <col min="1795" max="1795" width="15.85546875" style="122" bestFit="1" customWidth="1"/>
    <col min="1796" max="1796" width="12.42578125" style="122" bestFit="1" customWidth="1"/>
    <col min="1797" max="1807" width="11.42578125" style="122" customWidth="1"/>
    <col min="1808" max="1808" width="17.140625" style="122" customWidth="1"/>
    <col min="1809" max="1809" width="11.42578125" style="122" customWidth="1"/>
    <col min="1810" max="1810" width="34.28515625" style="122" bestFit="1" customWidth="1"/>
    <col min="1811" max="2014" width="11.42578125" style="122"/>
    <col min="2015" max="2015" width="8.85546875" style="122" customWidth="1"/>
    <col min="2016" max="2016" width="35.7109375" style="122" bestFit="1" customWidth="1"/>
    <col min="2017" max="2017" width="5" style="122" customWidth="1"/>
    <col min="2018" max="2020" width="12.85546875" style="122" bestFit="1" customWidth="1"/>
    <col min="2021" max="2031" width="15.140625" style="122" customWidth="1"/>
    <col min="2032" max="2032" width="13.85546875" style="122" customWidth="1"/>
    <col min="2033" max="2033" width="11.42578125" style="122" customWidth="1"/>
    <col min="2034" max="2034" width="12" style="122" bestFit="1" customWidth="1"/>
    <col min="2035" max="2035" width="31.7109375" style="122" customWidth="1"/>
    <col min="2036" max="2036" width="13.85546875" style="122" customWidth="1"/>
    <col min="2037" max="2037" width="13.42578125" style="122" customWidth="1"/>
    <col min="2038" max="2041" width="16.140625" style="122" bestFit="1" customWidth="1"/>
    <col min="2042" max="2045" width="17.42578125" style="122" bestFit="1" customWidth="1"/>
    <col min="2046" max="2049" width="17.42578125" style="122" customWidth="1"/>
    <col min="2050" max="2050" width="27.28515625" style="122" customWidth="1"/>
    <col min="2051" max="2051" width="15.85546875" style="122" bestFit="1" customWidth="1"/>
    <col min="2052" max="2052" width="12.42578125" style="122" bestFit="1" customWidth="1"/>
    <col min="2053" max="2063" width="11.42578125" style="122" customWidth="1"/>
    <col min="2064" max="2064" width="17.140625" style="122" customWidth="1"/>
    <col min="2065" max="2065" width="11.42578125" style="122" customWidth="1"/>
    <col min="2066" max="2066" width="34.28515625" style="122" bestFit="1" customWidth="1"/>
    <col min="2067" max="2270" width="11.42578125" style="122"/>
    <col min="2271" max="2271" width="8.85546875" style="122" customWidth="1"/>
    <col min="2272" max="2272" width="35.7109375" style="122" bestFit="1" customWidth="1"/>
    <col min="2273" max="2273" width="5" style="122" customWidth="1"/>
    <col min="2274" max="2276" width="12.85546875" style="122" bestFit="1" customWidth="1"/>
    <col min="2277" max="2287" width="15.140625" style="122" customWidth="1"/>
    <col min="2288" max="2288" width="13.85546875" style="122" customWidth="1"/>
    <col min="2289" max="2289" width="11.42578125" style="122" customWidth="1"/>
    <col min="2290" max="2290" width="12" style="122" bestFit="1" customWidth="1"/>
    <col min="2291" max="2291" width="31.7109375" style="122" customWidth="1"/>
    <col min="2292" max="2292" width="13.85546875" style="122" customWidth="1"/>
    <col min="2293" max="2293" width="13.42578125" style="122" customWidth="1"/>
    <col min="2294" max="2297" width="16.140625" style="122" bestFit="1" customWidth="1"/>
    <col min="2298" max="2301" width="17.42578125" style="122" bestFit="1" customWidth="1"/>
    <col min="2302" max="2305" width="17.42578125" style="122" customWidth="1"/>
    <col min="2306" max="2306" width="27.28515625" style="122" customWidth="1"/>
    <col min="2307" max="2307" width="15.85546875" style="122" bestFit="1" customWidth="1"/>
    <col min="2308" max="2308" width="12.42578125" style="122" bestFit="1" customWidth="1"/>
    <col min="2309" max="2319" width="11.42578125" style="122" customWidth="1"/>
    <col min="2320" max="2320" width="17.140625" style="122" customWidth="1"/>
    <col min="2321" max="2321" width="11.42578125" style="122" customWidth="1"/>
    <col min="2322" max="2322" width="34.28515625" style="122" bestFit="1" customWidth="1"/>
    <col min="2323" max="2526" width="11.42578125" style="122"/>
    <col min="2527" max="2527" width="8.85546875" style="122" customWidth="1"/>
    <col min="2528" max="2528" width="35.7109375" style="122" bestFit="1" customWidth="1"/>
    <col min="2529" max="2529" width="5" style="122" customWidth="1"/>
    <col min="2530" max="2532" width="12.85546875" style="122" bestFit="1" customWidth="1"/>
    <col min="2533" max="2543" width="15.140625" style="122" customWidth="1"/>
    <col min="2544" max="2544" width="13.85546875" style="122" customWidth="1"/>
    <col min="2545" max="2545" width="11.42578125" style="122" customWidth="1"/>
    <col min="2546" max="2546" width="12" style="122" bestFit="1" customWidth="1"/>
    <col min="2547" max="2547" width="31.7109375" style="122" customWidth="1"/>
    <col min="2548" max="2548" width="13.85546875" style="122" customWidth="1"/>
    <col min="2549" max="2549" width="13.42578125" style="122" customWidth="1"/>
    <col min="2550" max="2553" width="16.140625" style="122" bestFit="1" customWidth="1"/>
    <col min="2554" max="2557" width="17.42578125" style="122" bestFit="1" customWidth="1"/>
    <col min="2558" max="2561" width="17.42578125" style="122" customWidth="1"/>
    <col min="2562" max="2562" width="27.28515625" style="122" customWidth="1"/>
    <col min="2563" max="2563" width="15.85546875" style="122" bestFit="1" customWidth="1"/>
    <col min="2564" max="2564" width="12.42578125" style="122" bestFit="1" customWidth="1"/>
    <col min="2565" max="2575" width="11.42578125" style="122" customWidth="1"/>
    <col min="2576" max="2576" width="17.140625" style="122" customWidth="1"/>
    <col min="2577" max="2577" width="11.42578125" style="122" customWidth="1"/>
    <col min="2578" max="2578" width="34.28515625" style="122" bestFit="1" customWidth="1"/>
    <col min="2579" max="2782" width="11.42578125" style="122"/>
    <col min="2783" max="2783" width="8.85546875" style="122" customWidth="1"/>
    <col min="2784" max="2784" width="35.7109375" style="122" bestFit="1" customWidth="1"/>
    <col min="2785" max="2785" width="5" style="122" customWidth="1"/>
    <col min="2786" max="2788" width="12.85546875" style="122" bestFit="1" customWidth="1"/>
    <col min="2789" max="2799" width="15.140625" style="122" customWidth="1"/>
    <col min="2800" max="2800" width="13.85546875" style="122" customWidth="1"/>
    <col min="2801" max="2801" width="11.42578125" style="122" customWidth="1"/>
    <col min="2802" max="2802" width="12" style="122" bestFit="1" customWidth="1"/>
    <col min="2803" max="2803" width="31.7109375" style="122" customWidth="1"/>
    <col min="2804" max="2804" width="13.85546875" style="122" customWidth="1"/>
    <col min="2805" max="2805" width="13.42578125" style="122" customWidth="1"/>
    <col min="2806" max="2809" width="16.140625" style="122" bestFit="1" customWidth="1"/>
    <col min="2810" max="2813" width="17.42578125" style="122" bestFit="1" customWidth="1"/>
    <col min="2814" max="2817" width="17.42578125" style="122" customWidth="1"/>
    <col min="2818" max="2818" width="27.28515625" style="122" customWidth="1"/>
    <col min="2819" max="2819" width="15.85546875" style="122" bestFit="1" customWidth="1"/>
    <col min="2820" max="2820" width="12.42578125" style="122" bestFit="1" customWidth="1"/>
    <col min="2821" max="2831" width="11.42578125" style="122" customWidth="1"/>
    <col min="2832" max="2832" width="17.140625" style="122" customWidth="1"/>
    <col min="2833" max="2833" width="11.42578125" style="122" customWidth="1"/>
    <col min="2834" max="2834" width="34.28515625" style="122" bestFit="1" customWidth="1"/>
    <col min="2835" max="3038" width="11.42578125" style="122"/>
    <col min="3039" max="3039" width="8.85546875" style="122" customWidth="1"/>
    <col min="3040" max="3040" width="35.7109375" style="122" bestFit="1" customWidth="1"/>
    <col min="3041" max="3041" width="5" style="122" customWidth="1"/>
    <col min="3042" max="3044" width="12.85546875" style="122" bestFit="1" customWidth="1"/>
    <col min="3045" max="3055" width="15.140625" style="122" customWidth="1"/>
    <col min="3056" max="3056" width="13.85546875" style="122" customWidth="1"/>
    <col min="3057" max="3057" width="11.42578125" style="122" customWidth="1"/>
    <col min="3058" max="3058" width="12" style="122" bestFit="1" customWidth="1"/>
    <col min="3059" max="3059" width="31.7109375" style="122" customWidth="1"/>
    <col min="3060" max="3060" width="13.85546875" style="122" customWidth="1"/>
    <col min="3061" max="3061" width="13.42578125" style="122" customWidth="1"/>
    <col min="3062" max="3065" width="16.140625" style="122" bestFit="1" customWidth="1"/>
    <col min="3066" max="3069" width="17.42578125" style="122" bestFit="1" customWidth="1"/>
    <col min="3070" max="3073" width="17.42578125" style="122" customWidth="1"/>
    <col min="3074" max="3074" width="27.28515625" style="122" customWidth="1"/>
    <col min="3075" max="3075" width="15.85546875" style="122" bestFit="1" customWidth="1"/>
    <col min="3076" max="3076" width="12.42578125" style="122" bestFit="1" customWidth="1"/>
    <col min="3077" max="3087" width="11.42578125" style="122" customWidth="1"/>
    <col min="3088" max="3088" width="17.140625" style="122" customWidth="1"/>
    <col min="3089" max="3089" width="11.42578125" style="122" customWidth="1"/>
    <col min="3090" max="3090" width="34.28515625" style="122" bestFit="1" customWidth="1"/>
    <col min="3091" max="3294" width="11.42578125" style="122"/>
    <col min="3295" max="3295" width="8.85546875" style="122" customWidth="1"/>
    <col min="3296" max="3296" width="35.7109375" style="122" bestFit="1" customWidth="1"/>
    <col min="3297" max="3297" width="5" style="122" customWidth="1"/>
    <col min="3298" max="3300" width="12.85546875" style="122" bestFit="1" customWidth="1"/>
    <col min="3301" max="3311" width="15.140625" style="122" customWidth="1"/>
    <col min="3312" max="3312" width="13.85546875" style="122" customWidth="1"/>
    <col min="3313" max="3313" width="11.42578125" style="122" customWidth="1"/>
    <col min="3314" max="3314" width="12" style="122" bestFit="1" customWidth="1"/>
    <col min="3315" max="3315" width="31.7109375" style="122" customWidth="1"/>
    <col min="3316" max="3316" width="13.85546875" style="122" customWidth="1"/>
    <col min="3317" max="3317" width="13.42578125" style="122" customWidth="1"/>
    <col min="3318" max="3321" width="16.140625" style="122" bestFit="1" customWidth="1"/>
    <col min="3322" max="3325" width="17.42578125" style="122" bestFit="1" customWidth="1"/>
    <col min="3326" max="3329" width="17.42578125" style="122" customWidth="1"/>
    <col min="3330" max="3330" width="27.28515625" style="122" customWidth="1"/>
    <col min="3331" max="3331" width="15.85546875" style="122" bestFit="1" customWidth="1"/>
    <col min="3332" max="3332" width="12.42578125" style="122" bestFit="1" customWidth="1"/>
    <col min="3333" max="3343" width="11.42578125" style="122" customWidth="1"/>
    <col min="3344" max="3344" width="17.140625" style="122" customWidth="1"/>
    <col min="3345" max="3345" width="11.42578125" style="122" customWidth="1"/>
    <col min="3346" max="3346" width="34.28515625" style="122" bestFit="1" customWidth="1"/>
    <col min="3347" max="3550" width="11.42578125" style="122"/>
    <col min="3551" max="3551" width="8.85546875" style="122" customWidth="1"/>
    <col min="3552" max="3552" width="35.7109375" style="122" bestFit="1" customWidth="1"/>
    <col min="3553" max="3553" width="5" style="122" customWidth="1"/>
    <col min="3554" max="3556" width="12.85546875" style="122" bestFit="1" customWidth="1"/>
    <col min="3557" max="3567" width="15.140625" style="122" customWidth="1"/>
    <col min="3568" max="3568" width="13.85546875" style="122" customWidth="1"/>
    <col min="3569" max="3569" width="11.42578125" style="122" customWidth="1"/>
    <col min="3570" max="3570" width="12" style="122" bestFit="1" customWidth="1"/>
    <col min="3571" max="3571" width="31.7109375" style="122" customWidth="1"/>
    <col min="3572" max="3572" width="13.85546875" style="122" customWidth="1"/>
    <col min="3573" max="3573" width="13.42578125" style="122" customWidth="1"/>
    <col min="3574" max="3577" width="16.140625" style="122" bestFit="1" customWidth="1"/>
    <col min="3578" max="3581" width="17.42578125" style="122" bestFit="1" customWidth="1"/>
    <col min="3582" max="3585" width="17.42578125" style="122" customWidth="1"/>
    <col min="3586" max="3586" width="27.28515625" style="122" customWidth="1"/>
    <col min="3587" max="3587" width="15.85546875" style="122" bestFit="1" customWidth="1"/>
    <col min="3588" max="3588" width="12.42578125" style="122" bestFit="1" customWidth="1"/>
    <col min="3589" max="3599" width="11.42578125" style="122" customWidth="1"/>
    <col min="3600" max="3600" width="17.140625" style="122" customWidth="1"/>
    <col min="3601" max="3601" width="11.42578125" style="122" customWidth="1"/>
    <col min="3602" max="3602" width="34.28515625" style="122" bestFit="1" customWidth="1"/>
    <col min="3603" max="3806" width="11.42578125" style="122"/>
    <col min="3807" max="3807" width="8.85546875" style="122" customWidth="1"/>
    <col min="3808" max="3808" width="35.7109375" style="122" bestFit="1" customWidth="1"/>
    <col min="3809" max="3809" width="5" style="122" customWidth="1"/>
    <col min="3810" max="3812" width="12.85546875" style="122" bestFit="1" customWidth="1"/>
    <col min="3813" max="3823" width="15.140625" style="122" customWidth="1"/>
    <col min="3824" max="3824" width="13.85546875" style="122" customWidth="1"/>
    <col min="3825" max="3825" width="11.42578125" style="122" customWidth="1"/>
    <col min="3826" max="3826" width="12" style="122" bestFit="1" customWidth="1"/>
    <col min="3827" max="3827" width="31.7109375" style="122" customWidth="1"/>
    <col min="3828" max="3828" width="13.85546875" style="122" customWidth="1"/>
    <col min="3829" max="3829" width="13.42578125" style="122" customWidth="1"/>
    <col min="3830" max="3833" width="16.140625" style="122" bestFit="1" customWidth="1"/>
    <col min="3834" max="3837" width="17.42578125" style="122" bestFit="1" customWidth="1"/>
    <col min="3838" max="3841" width="17.42578125" style="122" customWidth="1"/>
    <col min="3842" max="3842" width="27.28515625" style="122" customWidth="1"/>
    <col min="3843" max="3843" width="15.85546875" style="122" bestFit="1" customWidth="1"/>
    <col min="3844" max="3844" width="12.42578125" style="122" bestFit="1" customWidth="1"/>
    <col min="3845" max="3855" width="11.42578125" style="122" customWidth="1"/>
    <col min="3856" max="3856" width="17.140625" style="122" customWidth="1"/>
    <col min="3857" max="3857" width="11.42578125" style="122" customWidth="1"/>
    <col min="3858" max="3858" width="34.28515625" style="122" bestFit="1" customWidth="1"/>
    <col min="3859" max="4062" width="11.42578125" style="122"/>
    <col min="4063" max="4063" width="8.85546875" style="122" customWidth="1"/>
    <col min="4064" max="4064" width="35.7109375" style="122" bestFit="1" customWidth="1"/>
    <col min="4065" max="4065" width="5" style="122" customWidth="1"/>
    <col min="4066" max="4068" width="12.85546875" style="122" bestFit="1" customWidth="1"/>
    <col min="4069" max="4079" width="15.140625" style="122" customWidth="1"/>
    <col min="4080" max="4080" width="13.85546875" style="122" customWidth="1"/>
    <col min="4081" max="4081" width="11.42578125" style="122" customWidth="1"/>
    <col min="4082" max="4082" width="12" style="122" bestFit="1" customWidth="1"/>
    <col min="4083" max="4083" width="31.7109375" style="122" customWidth="1"/>
    <col min="4084" max="4084" width="13.85546875" style="122" customWidth="1"/>
    <col min="4085" max="4085" width="13.42578125" style="122" customWidth="1"/>
    <col min="4086" max="4089" width="16.140625" style="122" bestFit="1" customWidth="1"/>
    <col min="4090" max="4093" width="17.42578125" style="122" bestFit="1" customWidth="1"/>
    <col min="4094" max="4097" width="17.42578125" style="122" customWidth="1"/>
    <col min="4098" max="4098" width="27.28515625" style="122" customWidth="1"/>
    <col min="4099" max="4099" width="15.85546875" style="122" bestFit="1" customWidth="1"/>
    <col min="4100" max="4100" width="12.42578125" style="122" bestFit="1" customWidth="1"/>
    <col min="4101" max="4111" width="11.42578125" style="122" customWidth="1"/>
    <col min="4112" max="4112" width="17.140625" style="122" customWidth="1"/>
    <col min="4113" max="4113" width="11.42578125" style="122" customWidth="1"/>
    <col min="4114" max="4114" width="34.28515625" style="122" bestFit="1" customWidth="1"/>
    <col min="4115" max="4318" width="11.42578125" style="122"/>
    <col min="4319" max="4319" width="8.85546875" style="122" customWidth="1"/>
    <col min="4320" max="4320" width="35.7109375" style="122" bestFit="1" customWidth="1"/>
    <col min="4321" max="4321" width="5" style="122" customWidth="1"/>
    <col min="4322" max="4324" width="12.85546875" style="122" bestFit="1" customWidth="1"/>
    <col min="4325" max="4335" width="15.140625" style="122" customWidth="1"/>
    <col min="4336" max="4336" width="13.85546875" style="122" customWidth="1"/>
    <col min="4337" max="4337" width="11.42578125" style="122" customWidth="1"/>
    <col min="4338" max="4338" width="12" style="122" bestFit="1" customWidth="1"/>
    <col min="4339" max="4339" width="31.7109375" style="122" customWidth="1"/>
    <col min="4340" max="4340" width="13.85546875" style="122" customWidth="1"/>
    <col min="4341" max="4341" width="13.42578125" style="122" customWidth="1"/>
    <col min="4342" max="4345" width="16.140625" style="122" bestFit="1" customWidth="1"/>
    <col min="4346" max="4349" width="17.42578125" style="122" bestFit="1" customWidth="1"/>
    <col min="4350" max="4353" width="17.42578125" style="122" customWidth="1"/>
    <col min="4354" max="4354" width="27.28515625" style="122" customWidth="1"/>
    <col min="4355" max="4355" width="15.85546875" style="122" bestFit="1" customWidth="1"/>
    <col min="4356" max="4356" width="12.42578125" style="122" bestFit="1" customWidth="1"/>
    <col min="4357" max="4367" width="11.42578125" style="122" customWidth="1"/>
    <col min="4368" max="4368" width="17.140625" style="122" customWidth="1"/>
    <col min="4369" max="4369" width="11.42578125" style="122" customWidth="1"/>
    <col min="4370" max="4370" width="34.28515625" style="122" bestFit="1" customWidth="1"/>
    <col min="4371" max="4574" width="11.42578125" style="122"/>
    <col min="4575" max="4575" width="8.85546875" style="122" customWidth="1"/>
    <col min="4576" max="4576" width="35.7109375" style="122" bestFit="1" customWidth="1"/>
    <col min="4577" max="4577" width="5" style="122" customWidth="1"/>
    <col min="4578" max="4580" width="12.85546875" style="122" bestFit="1" customWidth="1"/>
    <col min="4581" max="4591" width="15.140625" style="122" customWidth="1"/>
    <col min="4592" max="4592" width="13.85546875" style="122" customWidth="1"/>
    <col min="4593" max="4593" width="11.42578125" style="122" customWidth="1"/>
    <col min="4594" max="4594" width="12" style="122" bestFit="1" customWidth="1"/>
    <col min="4595" max="4595" width="31.7109375" style="122" customWidth="1"/>
    <col min="4596" max="4596" width="13.85546875" style="122" customWidth="1"/>
    <col min="4597" max="4597" width="13.42578125" style="122" customWidth="1"/>
    <col min="4598" max="4601" width="16.140625" style="122" bestFit="1" customWidth="1"/>
    <col min="4602" max="4605" width="17.42578125" style="122" bestFit="1" customWidth="1"/>
    <col min="4606" max="4609" width="17.42578125" style="122" customWidth="1"/>
    <col min="4610" max="4610" width="27.28515625" style="122" customWidth="1"/>
    <col min="4611" max="4611" width="15.85546875" style="122" bestFit="1" customWidth="1"/>
    <col min="4612" max="4612" width="12.42578125" style="122" bestFit="1" customWidth="1"/>
    <col min="4613" max="4623" width="11.42578125" style="122" customWidth="1"/>
    <col min="4624" max="4624" width="17.140625" style="122" customWidth="1"/>
    <col min="4625" max="4625" width="11.42578125" style="122" customWidth="1"/>
    <col min="4626" max="4626" width="34.28515625" style="122" bestFit="1" customWidth="1"/>
    <col min="4627" max="4830" width="11.42578125" style="122"/>
    <col min="4831" max="4831" width="8.85546875" style="122" customWidth="1"/>
    <col min="4832" max="4832" width="35.7109375" style="122" bestFit="1" customWidth="1"/>
    <col min="4833" max="4833" width="5" style="122" customWidth="1"/>
    <col min="4834" max="4836" width="12.85546875" style="122" bestFit="1" customWidth="1"/>
    <col min="4837" max="4847" width="15.140625" style="122" customWidth="1"/>
    <col min="4848" max="4848" width="13.85546875" style="122" customWidth="1"/>
    <col min="4849" max="4849" width="11.42578125" style="122" customWidth="1"/>
    <col min="4850" max="4850" width="12" style="122" bestFit="1" customWidth="1"/>
    <col min="4851" max="4851" width="31.7109375" style="122" customWidth="1"/>
    <col min="4852" max="4852" width="13.85546875" style="122" customWidth="1"/>
    <col min="4853" max="4853" width="13.42578125" style="122" customWidth="1"/>
    <col min="4854" max="4857" width="16.140625" style="122" bestFit="1" customWidth="1"/>
    <col min="4858" max="4861" width="17.42578125" style="122" bestFit="1" customWidth="1"/>
    <col min="4862" max="4865" width="17.42578125" style="122" customWidth="1"/>
    <col min="4866" max="4866" width="27.28515625" style="122" customWidth="1"/>
    <col min="4867" max="4867" width="15.85546875" style="122" bestFit="1" customWidth="1"/>
    <col min="4868" max="4868" width="12.42578125" style="122" bestFit="1" customWidth="1"/>
    <col min="4869" max="4879" width="11.42578125" style="122" customWidth="1"/>
    <col min="4880" max="4880" width="17.140625" style="122" customWidth="1"/>
    <col min="4881" max="4881" width="11.42578125" style="122" customWidth="1"/>
    <col min="4882" max="4882" width="34.28515625" style="122" bestFit="1" customWidth="1"/>
    <col min="4883" max="5086" width="11.42578125" style="122"/>
    <col min="5087" max="5087" width="8.85546875" style="122" customWidth="1"/>
    <col min="5088" max="5088" width="35.7109375" style="122" bestFit="1" customWidth="1"/>
    <col min="5089" max="5089" width="5" style="122" customWidth="1"/>
    <col min="5090" max="5092" width="12.85546875" style="122" bestFit="1" customWidth="1"/>
    <col min="5093" max="5103" width="15.140625" style="122" customWidth="1"/>
    <col min="5104" max="5104" width="13.85546875" style="122" customWidth="1"/>
    <col min="5105" max="5105" width="11.42578125" style="122" customWidth="1"/>
    <col min="5106" max="5106" width="12" style="122" bestFit="1" customWidth="1"/>
    <col min="5107" max="5107" width="31.7109375" style="122" customWidth="1"/>
    <col min="5108" max="5108" width="13.85546875" style="122" customWidth="1"/>
    <col min="5109" max="5109" width="13.42578125" style="122" customWidth="1"/>
    <col min="5110" max="5113" width="16.140625" style="122" bestFit="1" customWidth="1"/>
    <col min="5114" max="5117" width="17.42578125" style="122" bestFit="1" customWidth="1"/>
    <col min="5118" max="5121" width="17.42578125" style="122" customWidth="1"/>
    <col min="5122" max="5122" width="27.28515625" style="122" customWidth="1"/>
    <col min="5123" max="5123" width="15.85546875" style="122" bestFit="1" customWidth="1"/>
    <col min="5124" max="5124" width="12.42578125" style="122" bestFit="1" customWidth="1"/>
    <col min="5125" max="5135" width="11.42578125" style="122" customWidth="1"/>
    <col min="5136" max="5136" width="17.140625" style="122" customWidth="1"/>
    <col min="5137" max="5137" width="11.42578125" style="122" customWidth="1"/>
    <col min="5138" max="5138" width="34.28515625" style="122" bestFit="1" customWidth="1"/>
    <col min="5139" max="5342" width="11.42578125" style="122"/>
    <col min="5343" max="5343" width="8.85546875" style="122" customWidth="1"/>
    <col min="5344" max="5344" width="35.7109375" style="122" bestFit="1" customWidth="1"/>
    <col min="5345" max="5345" width="5" style="122" customWidth="1"/>
    <col min="5346" max="5348" width="12.85546875" style="122" bestFit="1" customWidth="1"/>
    <col min="5349" max="5359" width="15.140625" style="122" customWidth="1"/>
    <col min="5360" max="5360" width="13.85546875" style="122" customWidth="1"/>
    <col min="5361" max="5361" width="11.42578125" style="122" customWidth="1"/>
    <col min="5362" max="5362" width="12" style="122" bestFit="1" customWidth="1"/>
    <col min="5363" max="5363" width="31.7109375" style="122" customWidth="1"/>
    <col min="5364" max="5364" width="13.85546875" style="122" customWidth="1"/>
    <col min="5365" max="5365" width="13.42578125" style="122" customWidth="1"/>
    <col min="5366" max="5369" width="16.140625" style="122" bestFit="1" customWidth="1"/>
    <col min="5370" max="5373" width="17.42578125" style="122" bestFit="1" customWidth="1"/>
    <col min="5374" max="5377" width="17.42578125" style="122" customWidth="1"/>
    <col min="5378" max="5378" width="27.28515625" style="122" customWidth="1"/>
    <col min="5379" max="5379" width="15.85546875" style="122" bestFit="1" customWidth="1"/>
    <col min="5380" max="5380" width="12.42578125" style="122" bestFit="1" customWidth="1"/>
    <col min="5381" max="5391" width="11.42578125" style="122" customWidth="1"/>
    <col min="5392" max="5392" width="17.140625" style="122" customWidth="1"/>
    <col min="5393" max="5393" width="11.42578125" style="122" customWidth="1"/>
    <col min="5394" max="5394" width="34.28515625" style="122" bestFit="1" customWidth="1"/>
    <col min="5395" max="5598" width="11.42578125" style="122"/>
    <col min="5599" max="5599" width="8.85546875" style="122" customWidth="1"/>
    <col min="5600" max="5600" width="35.7109375" style="122" bestFit="1" customWidth="1"/>
    <col min="5601" max="5601" width="5" style="122" customWidth="1"/>
    <col min="5602" max="5604" width="12.85546875" style="122" bestFit="1" customWidth="1"/>
    <col min="5605" max="5615" width="15.140625" style="122" customWidth="1"/>
    <col min="5616" max="5616" width="13.85546875" style="122" customWidth="1"/>
    <col min="5617" max="5617" width="11.42578125" style="122" customWidth="1"/>
    <col min="5618" max="5618" width="12" style="122" bestFit="1" customWidth="1"/>
    <col min="5619" max="5619" width="31.7109375" style="122" customWidth="1"/>
    <col min="5620" max="5620" width="13.85546875" style="122" customWidth="1"/>
    <col min="5621" max="5621" width="13.42578125" style="122" customWidth="1"/>
    <col min="5622" max="5625" width="16.140625" style="122" bestFit="1" customWidth="1"/>
    <col min="5626" max="5629" width="17.42578125" style="122" bestFit="1" customWidth="1"/>
    <col min="5630" max="5633" width="17.42578125" style="122" customWidth="1"/>
    <col min="5634" max="5634" width="27.28515625" style="122" customWidth="1"/>
    <col min="5635" max="5635" width="15.85546875" style="122" bestFit="1" customWidth="1"/>
    <col min="5636" max="5636" width="12.42578125" style="122" bestFit="1" customWidth="1"/>
    <col min="5637" max="5647" width="11.42578125" style="122" customWidth="1"/>
    <col min="5648" max="5648" width="17.140625" style="122" customWidth="1"/>
    <col min="5649" max="5649" width="11.42578125" style="122" customWidth="1"/>
    <col min="5650" max="5650" width="34.28515625" style="122" bestFit="1" customWidth="1"/>
    <col min="5651" max="5854" width="11.42578125" style="122"/>
    <col min="5855" max="5855" width="8.85546875" style="122" customWidth="1"/>
    <col min="5856" max="5856" width="35.7109375" style="122" bestFit="1" customWidth="1"/>
    <col min="5857" max="5857" width="5" style="122" customWidth="1"/>
    <col min="5858" max="5860" width="12.85546875" style="122" bestFit="1" customWidth="1"/>
    <col min="5861" max="5871" width="15.140625" style="122" customWidth="1"/>
    <col min="5872" max="5872" width="13.85546875" style="122" customWidth="1"/>
    <col min="5873" max="5873" width="11.42578125" style="122" customWidth="1"/>
    <col min="5874" max="5874" width="12" style="122" bestFit="1" customWidth="1"/>
    <col min="5875" max="5875" width="31.7109375" style="122" customWidth="1"/>
    <col min="5876" max="5876" width="13.85546875" style="122" customWidth="1"/>
    <col min="5877" max="5877" width="13.42578125" style="122" customWidth="1"/>
    <col min="5878" max="5881" width="16.140625" style="122" bestFit="1" customWidth="1"/>
    <col min="5882" max="5885" width="17.42578125" style="122" bestFit="1" customWidth="1"/>
    <col min="5886" max="5889" width="17.42578125" style="122" customWidth="1"/>
    <col min="5890" max="5890" width="27.28515625" style="122" customWidth="1"/>
    <col min="5891" max="5891" width="15.85546875" style="122" bestFit="1" customWidth="1"/>
    <col min="5892" max="5892" width="12.42578125" style="122" bestFit="1" customWidth="1"/>
    <col min="5893" max="5903" width="11.42578125" style="122" customWidth="1"/>
    <col min="5904" max="5904" width="17.140625" style="122" customWidth="1"/>
    <col min="5905" max="5905" width="11.42578125" style="122" customWidth="1"/>
    <col min="5906" max="5906" width="34.28515625" style="122" bestFit="1" customWidth="1"/>
    <col min="5907" max="6110" width="11.42578125" style="122"/>
    <col min="6111" max="6111" width="8.85546875" style="122" customWidth="1"/>
    <col min="6112" max="6112" width="35.7109375" style="122" bestFit="1" customWidth="1"/>
    <col min="6113" max="6113" width="5" style="122" customWidth="1"/>
    <col min="6114" max="6116" width="12.85546875" style="122" bestFit="1" customWidth="1"/>
    <col min="6117" max="6127" width="15.140625" style="122" customWidth="1"/>
    <col min="6128" max="6128" width="13.85546875" style="122" customWidth="1"/>
    <col min="6129" max="6129" width="11.42578125" style="122" customWidth="1"/>
    <col min="6130" max="6130" width="12" style="122" bestFit="1" customWidth="1"/>
    <col min="6131" max="6131" width="31.7109375" style="122" customWidth="1"/>
    <col min="6132" max="6132" width="13.85546875" style="122" customWidth="1"/>
    <col min="6133" max="6133" width="13.42578125" style="122" customWidth="1"/>
    <col min="6134" max="6137" width="16.140625" style="122" bestFit="1" customWidth="1"/>
    <col min="6138" max="6141" width="17.42578125" style="122" bestFit="1" customWidth="1"/>
    <col min="6142" max="6145" width="17.42578125" style="122" customWidth="1"/>
    <col min="6146" max="6146" width="27.28515625" style="122" customWidth="1"/>
    <col min="6147" max="6147" width="15.85546875" style="122" bestFit="1" customWidth="1"/>
    <col min="6148" max="6148" width="12.42578125" style="122" bestFit="1" customWidth="1"/>
    <col min="6149" max="6159" width="11.42578125" style="122" customWidth="1"/>
    <col min="6160" max="6160" width="17.140625" style="122" customWidth="1"/>
    <col min="6161" max="6161" width="11.42578125" style="122" customWidth="1"/>
    <col min="6162" max="6162" width="34.28515625" style="122" bestFit="1" customWidth="1"/>
    <col min="6163" max="6366" width="11.42578125" style="122"/>
    <col min="6367" max="6367" width="8.85546875" style="122" customWidth="1"/>
    <col min="6368" max="6368" width="35.7109375" style="122" bestFit="1" customWidth="1"/>
    <col min="6369" max="6369" width="5" style="122" customWidth="1"/>
    <col min="6370" max="6372" width="12.85546875" style="122" bestFit="1" customWidth="1"/>
    <col min="6373" max="6383" width="15.140625" style="122" customWidth="1"/>
    <col min="6384" max="6384" width="13.85546875" style="122" customWidth="1"/>
    <col min="6385" max="6385" width="11.42578125" style="122" customWidth="1"/>
    <col min="6386" max="6386" width="12" style="122" bestFit="1" customWidth="1"/>
    <col min="6387" max="6387" width="31.7109375" style="122" customWidth="1"/>
    <col min="6388" max="6388" width="13.85546875" style="122" customWidth="1"/>
    <col min="6389" max="6389" width="13.42578125" style="122" customWidth="1"/>
    <col min="6390" max="6393" width="16.140625" style="122" bestFit="1" customWidth="1"/>
    <col min="6394" max="6397" width="17.42578125" style="122" bestFit="1" customWidth="1"/>
    <col min="6398" max="6401" width="17.42578125" style="122" customWidth="1"/>
    <col min="6402" max="6402" width="27.28515625" style="122" customWidth="1"/>
    <col min="6403" max="6403" width="15.85546875" style="122" bestFit="1" customWidth="1"/>
    <col min="6404" max="6404" width="12.42578125" style="122" bestFit="1" customWidth="1"/>
    <col min="6405" max="6415" width="11.42578125" style="122" customWidth="1"/>
    <col min="6416" max="6416" width="17.140625" style="122" customWidth="1"/>
    <col min="6417" max="6417" width="11.42578125" style="122" customWidth="1"/>
    <col min="6418" max="6418" width="34.28515625" style="122" bestFit="1" customWidth="1"/>
    <col min="6419" max="6622" width="11.42578125" style="122"/>
    <col min="6623" max="6623" width="8.85546875" style="122" customWidth="1"/>
    <col min="6624" max="6624" width="35.7109375" style="122" bestFit="1" customWidth="1"/>
    <col min="6625" max="6625" width="5" style="122" customWidth="1"/>
    <col min="6626" max="6628" width="12.85546875" style="122" bestFit="1" customWidth="1"/>
    <col min="6629" max="6639" width="15.140625" style="122" customWidth="1"/>
    <col min="6640" max="6640" width="13.85546875" style="122" customWidth="1"/>
    <col min="6641" max="6641" width="11.42578125" style="122" customWidth="1"/>
    <col min="6642" max="6642" width="12" style="122" bestFit="1" customWidth="1"/>
    <col min="6643" max="6643" width="31.7109375" style="122" customWidth="1"/>
    <col min="6644" max="6644" width="13.85546875" style="122" customWidth="1"/>
    <col min="6645" max="6645" width="13.42578125" style="122" customWidth="1"/>
    <col min="6646" max="6649" width="16.140625" style="122" bestFit="1" customWidth="1"/>
    <col min="6650" max="6653" width="17.42578125" style="122" bestFit="1" customWidth="1"/>
    <col min="6654" max="6657" width="17.42578125" style="122" customWidth="1"/>
    <col min="6658" max="6658" width="27.28515625" style="122" customWidth="1"/>
    <col min="6659" max="6659" width="15.85546875" style="122" bestFit="1" customWidth="1"/>
    <col min="6660" max="6660" width="12.42578125" style="122" bestFit="1" customWidth="1"/>
    <col min="6661" max="6671" width="11.42578125" style="122" customWidth="1"/>
    <col min="6672" max="6672" width="17.140625" style="122" customWidth="1"/>
    <col min="6673" max="6673" width="11.42578125" style="122" customWidth="1"/>
    <col min="6674" max="6674" width="34.28515625" style="122" bestFit="1" customWidth="1"/>
    <col min="6675" max="6878" width="11.42578125" style="122"/>
    <col min="6879" max="6879" width="8.85546875" style="122" customWidth="1"/>
    <col min="6880" max="6880" width="35.7109375" style="122" bestFit="1" customWidth="1"/>
    <col min="6881" max="6881" width="5" style="122" customWidth="1"/>
    <col min="6882" max="6884" width="12.85546875" style="122" bestFit="1" customWidth="1"/>
    <col min="6885" max="6895" width="15.140625" style="122" customWidth="1"/>
    <col min="6896" max="6896" width="13.85546875" style="122" customWidth="1"/>
    <col min="6897" max="6897" width="11.42578125" style="122" customWidth="1"/>
    <col min="6898" max="6898" width="12" style="122" bestFit="1" customWidth="1"/>
    <col min="6899" max="6899" width="31.7109375" style="122" customWidth="1"/>
    <col min="6900" max="6900" width="13.85546875" style="122" customWidth="1"/>
    <col min="6901" max="6901" width="13.42578125" style="122" customWidth="1"/>
    <col min="6902" max="6905" width="16.140625" style="122" bestFit="1" customWidth="1"/>
    <col min="6906" max="6909" width="17.42578125" style="122" bestFit="1" customWidth="1"/>
    <col min="6910" max="6913" width="17.42578125" style="122" customWidth="1"/>
    <col min="6914" max="6914" width="27.28515625" style="122" customWidth="1"/>
    <col min="6915" max="6915" width="15.85546875" style="122" bestFit="1" customWidth="1"/>
    <col min="6916" max="6916" width="12.42578125" style="122" bestFit="1" customWidth="1"/>
    <col min="6917" max="6927" width="11.42578125" style="122" customWidth="1"/>
    <col min="6928" max="6928" width="17.140625" style="122" customWidth="1"/>
    <col min="6929" max="6929" width="11.42578125" style="122" customWidth="1"/>
    <col min="6930" max="6930" width="34.28515625" style="122" bestFit="1" customWidth="1"/>
    <col min="6931" max="7134" width="11.42578125" style="122"/>
    <col min="7135" max="7135" width="8.85546875" style="122" customWidth="1"/>
    <col min="7136" max="7136" width="35.7109375" style="122" bestFit="1" customWidth="1"/>
    <col min="7137" max="7137" width="5" style="122" customWidth="1"/>
    <col min="7138" max="7140" width="12.85546875" style="122" bestFit="1" customWidth="1"/>
    <col min="7141" max="7151" width="15.140625" style="122" customWidth="1"/>
    <col min="7152" max="7152" width="13.85546875" style="122" customWidth="1"/>
    <col min="7153" max="7153" width="11.42578125" style="122" customWidth="1"/>
    <col min="7154" max="7154" width="12" style="122" bestFit="1" customWidth="1"/>
    <col min="7155" max="7155" width="31.7109375" style="122" customWidth="1"/>
    <col min="7156" max="7156" width="13.85546875" style="122" customWidth="1"/>
    <col min="7157" max="7157" width="13.42578125" style="122" customWidth="1"/>
    <col min="7158" max="7161" width="16.140625" style="122" bestFit="1" customWidth="1"/>
    <col min="7162" max="7165" width="17.42578125" style="122" bestFit="1" customWidth="1"/>
    <col min="7166" max="7169" width="17.42578125" style="122" customWidth="1"/>
    <col min="7170" max="7170" width="27.28515625" style="122" customWidth="1"/>
    <col min="7171" max="7171" width="15.85546875" style="122" bestFit="1" customWidth="1"/>
    <col min="7172" max="7172" width="12.42578125" style="122" bestFit="1" customWidth="1"/>
    <col min="7173" max="7183" width="11.42578125" style="122" customWidth="1"/>
    <col min="7184" max="7184" width="17.140625" style="122" customWidth="1"/>
    <col min="7185" max="7185" width="11.42578125" style="122" customWidth="1"/>
    <col min="7186" max="7186" width="34.28515625" style="122" bestFit="1" customWidth="1"/>
    <col min="7187" max="7390" width="11.42578125" style="122"/>
    <col min="7391" max="7391" width="8.85546875" style="122" customWidth="1"/>
    <col min="7392" max="7392" width="35.7109375" style="122" bestFit="1" customWidth="1"/>
    <col min="7393" max="7393" width="5" style="122" customWidth="1"/>
    <col min="7394" max="7396" width="12.85546875" style="122" bestFit="1" customWidth="1"/>
    <col min="7397" max="7407" width="15.140625" style="122" customWidth="1"/>
    <col min="7408" max="7408" width="13.85546875" style="122" customWidth="1"/>
    <col min="7409" max="7409" width="11.42578125" style="122" customWidth="1"/>
    <col min="7410" max="7410" width="12" style="122" bestFit="1" customWidth="1"/>
    <col min="7411" max="7411" width="31.7109375" style="122" customWidth="1"/>
    <col min="7412" max="7412" width="13.85546875" style="122" customWidth="1"/>
    <col min="7413" max="7413" width="13.42578125" style="122" customWidth="1"/>
    <col min="7414" max="7417" width="16.140625" style="122" bestFit="1" customWidth="1"/>
    <col min="7418" max="7421" width="17.42578125" style="122" bestFit="1" customWidth="1"/>
    <col min="7422" max="7425" width="17.42578125" style="122" customWidth="1"/>
    <col min="7426" max="7426" width="27.28515625" style="122" customWidth="1"/>
    <col min="7427" max="7427" width="15.85546875" style="122" bestFit="1" customWidth="1"/>
    <col min="7428" max="7428" width="12.42578125" style="122" bestFit="1" customWidth="1"/>
    <col min="7429" max="7439" width="11.42578125" style="122" customWidth="1"/>
    <col min="7440" max="7440" width="17.140625" style="122" customWidth="1"/>
    <col min="7441" max="7441" width="11.42578125" style="122" customWidth="1"/>
    <col min="7442" max="7442" width="34.28515625" style="122" bestFit="1" customWidth="1"/>
    <col min="7443" max="7646" width="11.42578125" style="122"/>
    <col min="7647" max="7647" width="8.85546875" style="122" customWidth="1"/>
    <col min="7648" max="7648" width="35.7109375" style="122" bestFit="1" customWidth="1"/>
    <col min="7649" max="7649" width="5" style="122" customWidth="1"/>
    <col min="7650" max="7652" width="12.85546875" style="122" bestFit="1" customWidth="1"/>
    <col min="7653" max="7663" width="15.140625" style="122" customWidth="1"/>
    <col min="7664" max="7664" width="13.85546875" style="122" customWidth="1"/>
    <col min="7665" max="7665" width="11.42578125" style="122" customWidth="1"/>
    <col min="7666" max="7666" width="12" style="122" bestFit="1" customWidth="1"/>
    <col min="7667" max="7667" width="31.7109375" style="122" customWidth="1"/>
    <col min="7668" max="7668" width="13.85546875" style="122" customWidth="1"/>
    <col min="7669" max="7669" width="13.42578125" style="122" customWidth="1"/>
    <col min="7670" max="7673" width="16.140625" style="122" bestFit="1" customWidth="1"/>
    <col min="7674" max="7677" width="17.42578125" style="122" bestFit="1" customWidth="1"/>
    <col min="7678" max="7681" width="17.42578125" style="122" customWidth="1"/>
    <col min="7682" max="7682" width="27.28515625" style="122" customWidth="1"/>
    <col min="7683" max="7683" width="15.85546875" style="122" bestFit="1" customWidth="1"/>
    <col min="7684" max="7684" width="12.42578125" style="122" bestFit="1" customWidth="1"/>
    <col min="7685" max="7695" width="11.42578125" style="122" customWidth="1"/>
    <col min="7696" max="7696" width="17.140625" style="122" customWidth="1"/>
    <col min="7697" max="7697" width="11.42578125" style="122" customWidth="1"/>
    <col min="7698" max="7698" width="34.28515625" style="122" bestFit="1" customWidth="1"/>
    <col min="7699" max="7902" width="11.42578125" style="122"/>
    <col min="7903" max="7903" width="8.85546875" style="122" customWidth="1"/>
    <col min="7904" max="7904" width="35.7109375" style="122" bestFit="1" customWidth="1"/>
    <col min="7905" max="7905" width="5" style="122" customWidth="1"/>
    <col min="7906" max="7908" width="12.85546875" style="122" bestFit="1" customWidth="1"/>
    <col min="7909" max="7919" width="15.140625" style="122" customWidth="1"/>
    <col min="7920" max="7920" width="13.85546875" style="122" customWidth="1"/>
    <col min="7921" max="7921" width="11.42578125" style="122" customWidth="1"/>
    <col min="7922" max="7922" width="12" style="122" bestFit="1" customWidth="1"/>
    <col min="7923" max="7923" width="31.7109375" style="122" customWidth="1"/>
    <col min="7924" max="7924" width="13.85546875" style="122" customWidth="1"/>
    <col min="7925" max="7925" width="13.42578125" style="122" customWidth="1"/>
    <col min="7926" max="7929" width="16.140625" style="122" bestFit="1" customWidth="1"/>
    <col min="7930" max="7933" width="17.42578125" style="122" bestFit="1" customWidth="1"/>
    <col min="7934" max="7937" width="17.42578125" style="122" customWidth="1"/>
    <col min="7938" max="7938" width="27.28515625" style="122" customWidth="1"/>
    <col min="7939" max="7939" width="15.85546875" style="122" bestFit="1" customWidth="1"/>
    <col min="7940" max="7940" width="12.42578125" style="122" bestFit="1" customWidth="1"/>
    <col min="7941" max="7951" width="11.42578125" style="122" customWidth="1"/>
    <col min="7952" max="7952" width="17.140625" style="122" customWidth="1"/>
    <col min="7953" max="7953" width="11.42578125" style="122" customWidth="1"/>
    <col min="7954" max="7954" width="34.28515625" style="122" bestFit="1" customWidth="1"/>
    <col min="7955" max="8158" width="11.42578125" style="122"/>
    <col min="8159" max="8159" width="8.85546875" style="122" customWidth="1"/>
    <col min="8160" max="8160" width="35.7109375" style="122" bestFit="1" customWidth="1"/>
    <col min="8161" max="8161" width="5" style="122" customWidth="1"/>
    <col min="8162" max="8164" width="12.85546875" style="122" bestFit="1" customWidth="1"/>
    <col min="8165" max="8175" width="15.140625" style="122" customWidth="1"/>
    <col min="8176" max="8176" width="13.85546875" style="122" customWidth="1"/>
    <col min="8177" max="8177" width="11.42578125" style="122" customWidth="1"/>
    <col min="8178" max="8178" width="12" style="122" bestFit="1" customWidth="1"/>
    <col min="8179" max="8179" width="31.7109375" style="122" customWidth="1"/>
    <col min="8180" max="8180" width="13.85546875" style="122" customWidth="1"/>
    <col min="8181" max="8181" width="13.42578125" style="122" customWidth="1"/>
    <col min="8182" max="8185" width="16.140625" style="122" bestFit="1" customWidth="1"/>
    <col min="8186" max="8189" width="17.42578125" style="122" bestFit="1" customWidth="1"/>
    <col min="8190" max="8193" width="17.42578125" style="122" customWidth="1"/>
    <col min="8194" max="8194" width="27.28515625" style="122" customWidth="1"/>
    <col min="8195" max="8195" width="15.85546875" style="122" bestFit="1" customWidth="1"/>
    <col min="8196" max="8196" width="12.42578125" style="122" bestFit="1" customWidth="1"/>
    <col min="8197" max="8207" width="11.42578125" style="122" customWidth="1"/>
    <col min="8208" max="8208" width="17.140625" style="122" customWidth="1"/>
    <col min="8209" max="8209" width="11.42578125" style="122" customWidth="1"/>
    <col min="8210" max="8210" width="34.28515625" style="122" bestFit="1" customWidth="1"/>
    <col min="8211" max="8414" width="11.42578125" style="122"/>
    <col min="8415" max="8415" width="8.85546875" style="122" customWidth="1"/>
    <col min="8416" max="8416" width="35.7109375" style="122" bestFit="1" customWidth="1"/>
    <col min="8417" max="8417" width="5" style="122" customWidth="1"/>
    <col min="8418" max="8420" width="12.85546875" style="122" bestFit="1" customWidth="1"/>
    <col min="8421" max="8431" width="15.140625" style="122" customWidth="1"/>
    <col min="8432" max="8432" width="13.85546875" style="122" customWidth="1"/>
    <col min="8433" max="8433" width="11.42578125" style="122" customWidth="1"/>
    <col min="8434" max="8434" width="12" style="122" bestFit="1" customWidth="1"/>
    <col min="8435" max="8435" width="31.7109375" style="122" customWidth="1"/>
    <col min="8436" max="8436" width="13.85546875" style="122" customWidth="1"/>
    <col min="8437" max="8437" width="13.42578125" style="122" customWidth="1"/>
    <col min="8438" max="8441" width="16.140625" style="122" bestFit="1" customWidth="1"/>
    <col min="8442" max="8445" width="17.42578125" style="122" bestFit="1" customWidth="1"/>
    <col min="8446" max="8449" width="17.42578125" style="122" customWidth="1"/>
    <col min="8450" max="8450" width="27.28515625" style="122" customWidth="1"/>
    <col min="8451" max="8451" width="15.85546875" style="122" bestFit="1" customWidth="1"/>
    <col min="8452" max="8452" width="12.42578125" style="122" bestFit="1" customWidth="1"/>
    <col min="8453" max="8463" width="11.42578125" style="122" customWidth="1"/>
    <col min="8464" max="8464" width="17.140625" style="122" customWidth="1"/>
    <col min="8465" max="8465" width="11.42578125" style="122" customWidth="1"/>
    <col min="8466" max="8466" width="34.28515625" style="122" bestFit="1" customWidth="1"/>
    <col min="8467" max="8670" width="11.42578125" style="122"/>
    <col min="8671" max="8671" width="8.85546875" style="122" customWidth="1"/>
    <col min="8672" max="8672" width="35.7109375" style="122" bestFit="1" customWidth="1"/>
    <col min="8673" max="8673" width="5" style="122" customWidth="1"/>
    <col min="8674" max="8676" width="12.85546875" style="122" bestFit="1" customWidth="1"/>
    <col min="8677" max="8687" width="15.140625" style="122" customWidth="1"/>
    <col min="8688" max="8688" width="13.85546875" style="122" customWidth="1"/>
    <col min="8689" max="8689" width="11.42578125" style="122" customWidth="1"/>
    <col min="8690" max="8690" width="12" style="122" bestFit="1" customWidth="1"/>
    <col min="8691" max="8691" width="31.7109375" style="122" customWidth="1"/>
    <col min="8692" max="8692" width="13.85546875" style="122" customWidth="1"/>
    <col min="8693" max="8693" width="13.42578125" style="122" customWidth="1"/>
    <col min="8694" max="8697" width="16.140625" style="122" bestFit="1" customWidth="1"/>
    <col min="8698" max="8701" width="17.42578125" style="122" bestFit="1" customWidth="1"/>
    <col min="8702" max="8705" width="17.42578125" style="122" customWidth="1"/>
    <col min="8706" max="8706" width="27.28515625" style="122" customWidth="1"/>
    <col min="8707" max="8707" width="15.85546875" style="122" bestFit="1" customWidth="1"/>
    <col min="8708" max="8708" width="12.42578125" style="122" bestFit="1" customWidth="1"/>
    <col min="8709" max="8719" width="11.42578125" style="122" customWidth="1"/>
    <col min="8720" max="8720" width="17.140625" style="122" customWidth="1"/>
    <col min="8721" max="8721" width="11.42578125" style="122" customWidth="1"/>
    <col min="8722" max="8722" width="34.28515625" style="122" bestFit="1" customWidth="1"/>
    <col min="8723" max="8926" width="11.42578125" style="122"/>
    <col min="8927" max="8927" width="8.85546875" style="122" customWidth="1"/>
    <col min="8928" max="8928" width="35.7109375" style="122" bestFit="1" customWidth="1"/>
    <col min="8929" max="8929" width="5" style="122" customWidth="1"/>
    <col min="8930" max="8932" width="12.85546875" style="122" bestFit="1" customWidth="1"/>
    <col min="8933" max="8943" width="15.140625" style="122" customWidth="1"/>
    <col min="8944" max="8944" width="13.85546875" style="122" customWidth="1"/>
    <col min="8945" max="8945" width="11.42578125" style="122" customWidth="1"/>
    <col min="8946" max="8946" width="12" style="122" bestFit="1" customWidth="1"/>
    <col min="8947" max="8947" width="31.7109375" style="122" customWidth="1"/>
    <col min="8948" max="8948" width="13.85546875" style="122" customWidth="1"/>
    <col min="8949" max="8949" width="13.42578125" style="122" customWidth="1"/>
    <col min="8950" max="8953" width="16.140625" style="122" bestFit="1" customWidth="1"/>
    <col min="8954" max="8957" width="17.42578125" style="122" bestFit="1" customWidth="1"/>
    <col min="8958" max="8961" width="17.42578125" style="122" customWidth="1"/>
    <col min="8962" max="8962" width="27.28515625" style="122" customWidth="1"/>
    <col min="8963" max="8963" width="15.85546875" style="122" bestFit="1" customWidth="1"/>
    <col min="8964" max="8964" width="12.42578125" style="122" bestFit="1" customWidth="1"/>
    <col min="8965" max="8975" width="11.42578125" style="122" customWidth="1"/>
    <col min="8976" max="8976" width="17.140625" style="122" customWidth="1"/>
    <col min="8977" max="8977" width="11.42578125" style="122" customWidth="1"/>
    <col min="8978" max="8978" width="34.28515625" style="122" bestFit="1" customWidth="1"/>
    <col min="8979" max="9182" width="11.42578125" style="122"/>
    <col min="9183" max="9183" width="8.85546875" style="122" customWidth="1"/>
    <col min="9184" max="9184" width="35.7109375" style="122" bestFit="1" customWidth="1"/>
    <col min="9185" max="9185" width="5" style="122" customWidth="1"/>
    <col min="9186" max="9188" width="12.85546875" style="122" bestFit="1" customWidth="1"/>
    <col min="9189" max="9199" width="15.140625" style="122" customWidth="1"/>
    <col min="9200" max="9200" width="13.85546875" style="122" customWidth="1"/>
    <col min="9201" max="9201" width="11.42578125" style="122" customWidth="1"/>
    <col min="9202" max="9202" width="12" style="122" bestFit="1" customWidth="1"/>
    <col min="9203" max="9203" width="31.7109375" style="122" customWidth="1"/>
    <col min="9204" max="9204" width="13.85546875" style="122" customWidth="1"/>
    <col min="9205" max="9205" width="13.42578125" style="122" customWidth="1"/>
    <col min="9206" max="9209" width="16.140625" style="122" bestFit="1" customWidth="1"/>
    <col min="9210" max="9213" width="17.42578125" style="122" bestFit="1" customWidth="1"/>
    <col min="9214" max="9217" width="17.42578125" style="122" customWidth="1"/>
    <col min="9218" max="9218" width="27.28515625" style="122" customWidth="1"/>
    <col min="9219" max="9219" width="15.85546875" style="122" bestFit="1" customWidth="1"/>
    <col min="9220" max="9220" width="12.42578125" style="122" bestFit="1" customWidth="1"/>
    <col min="9221" max="9231" width="11.42578125" style="122" customWidth="1"/>
    <col min="9232" max="9232" width="17.140625" style="122" customWidth="1"/>
    <col min="9233" max="9233" width="11.42578125" style="122" customWidth="1"/>
    <col min="9234" max="9234" width="34.28515625" style="122" bestFit="1" customWidth="1"/>
    <col min="9235" max="9438" width="11.42578125" style="122"/>
    <col min="9439" max="9439" width="8.85546875" style="122" customWidth="1"/>
    <col min="9440" max="9440" width="35.7109375" style="122" bestFit="1" customWidth="1"/>
    <col min="9441" max="9441" width="5" style="122" customWidth="1"/>
    <col min="9442" max="9444" width="12.85546875" style="122" bestFit="1" customWidth="1"/>
    <col min="9445" max="9455" width="15.140625" style="122" customWidth="1"/>
    <col min="9456" max="9456" width="13.85546875" style="122" customWidth="1"/>
    <col min="9457" max="9457" width="11.42578125" style="122" customWidth="1"/>
    <col min="9458" max="9458" width="12" style="122" bestFit="1" customWidth="1"/>
    <col min="9459" max="9459" width="31.7109375" style="122" customWidth="1"/>
    <col min="9460" max="9460" width="13.85546875" style="122" customWidth="1"/>
    <col min="9461" max="9461" width="13.42578125" style="122" customWidth="1"/>
    <col min="9462" max="9465" width="16.140625" style="122" bestFit="1" customWidth="1"/>
    <col min="9466" max="9469" width="17.42578125" style="122" bestFit="1" customWidth="1"/>
    <col min="9470" max="9473" width="17.42578125" style="122" customWidth="1"/>
    <col min="9474" max="9474" width="27.28515625" style="122" customWidth="1"/>
    <col min="9475" max="9475" width="15.85546875" style="122" bestFit="1" customWidth="1"/>
    <col min="9476" max="9476" width="12.42578125" style="122" bestFit="1" customWidth="1"/>
    <col min="9477" max="9487" width="11.42578125" style="122" customWidth="1"/>
    <col min="9488" max="9488" width="17.140625" style="122" customWidth="1"/>
    <col min="9489" max="9489" width="11.42578125" style="122" customWidth="1"/>
    <col min="9490" max="9490" width="34.28515625" style="122" bestFit="1" customWidth="1"/>
    <col min="9491" max="9694" width="11.42578125" style="122"/>
    <col min="9695" max="9695" width="8.85546875" style="122" customWidth="1"/>
    <col min="9696" max="9696" width="35.7109375" style="122" bestFit="1" customWidth="1"/>
    <col min="9697" max="9697" width="5" style="122" customWidth="1"/>
    <col min="9698" max="9700" width="12.85546875" style="122" bestFit="1" customWidth="1"/>
    <col min="9701" max="9711" width="15.140625" style="122" customWidth="1"/>
    <col min="9712" max="9712" width="13.85546875" style="122" customWidth="1"/>
    <col min="9713" max="9713" width="11.42578125" style="122" customWidth="1"/>
    <col min="9714" max="9714" width="12" style="122" bestFit="1" customWidth="1"/>
    <col min="9715" max="9715" width="31.7109375" style="122" customWidth="1"/>
    <col min="9716" max="9716" width="13.85546875" style="122" customWidth="1"/>
    <col min="9717" max="9717" width="13.42578125" style="122" customWidth="1"/>
    <col min="9718" max="9721" width="16.140625" style="122" bestFit="1" customWidth="1"/>
    <col min="9722" max="9725" width="17.42578125" style="122" bestFit="1" customWidth="1"/>
    <col min="9726" max="9729" width="17.42578125" style="122" customWidth="1"/>
    <col min="9730" max="9730" width="27.28515625" style="122" customWidth="1"/>
    <col min="9731" max="9731" width="15.85546875" style="122" bestFit="1" customWidth="1"/>
    <col min="9732" max="9732" width="12.42578125" style="122" bestFit="1" customWidth="1"/>
    <col min="9733" max="9743" width="11.42578125" style="122" customWidth="1"/>
    <col min="9744" max="9744" width="17.140625" style="122" customWidth="1"/>
    <col min="9745" max="9745" width="11.42578125" style="122" customWidth="1"/>
    <col min="9746" max="9746" width="34.28515625" style="122" bestFit="1" customWidth="1"/>
    <col min="9747" max="9950" width="11.42578125" style="122"/>
    <col min="9951" max="9951" width="8.85546875" style="122" customWidth="1"/>
    <col min="9952" max="9952" width="35.7109375" style="122" bestFit="1" customWidth="1"/>
    <col min="9953" max="9953" width="5" style="122" customWidth="1"/>
    <col min="9954" max="9956" width="12.85546875" style="122" bestFit="1" customWidth="1"/>
    <col min="9957" max="9967" width="15.140625" style="122" customWidth="1"/>
    <col min="9968" max="9968" width="13.85546875" style="122" customWidth="1"/>
    <col min="9969" max="9969" width="11.42578125" style="122" customWidth="1"/>
    <col min="9970" max="9970" width="12" style="122" bestFit="1" customWidth="1"/>
    <col min="9971" max="9971" width="31.7109375" style="122" customWidth="1"/>
    <col min="9972" max="9972" width="13.85546875" style="122" customWidth="1"/>
    <col min="9973" max="9973" width="13.42578125" style="122" customWidth="1"/>
    <col min="9974" max="9977" width="16.140625" style="122" bestFit="1" customWidth="1"/>
    <col min="9978" max="9981" width="17.42578125" style="122" bestFit="1" customWidth="1"/>
    <col min="9982" max="9985" width="17.42578125" style="122" customWidth="1"/>
    <col min="9986" max="9986" width="27.28515625" style="122" customWidth="1"/>
    <col min="9987" max="9987" width="15.85546875" style="122" bestFit="1" customWidth="1"/>
    <col min="9988" max="9988" width="12.42578125" style="122" bestFit="1" customWidth="1"/>
    <col min="9989" max="9999" width="11.42578125" style="122" customWidth="1"/>
    <col min="10000" max="10000" width="17.140625" style="122" customWidth="1"/>
    <col min="10001" max="10001" width="11.42578125" style="122" customWidth="1"/>
    <col min="10002" max="10002" width="34.28515625" style="122" bestFit="1" customWidth="1"/>
    <col min="10003" max="10206" width="11.42578125" style="122"/>
    <col min="10207" max="10207" width="8.85546875" style="122" customWidth="1"/>
    <col min="10208" max="10208" width="35.7109375" style="122" bestFit="1" customWidth="1"/>
    <col min="10209" max="10209" width="5" style="122" customWidth="1"/>
    <col min="10210" max="10212" width="12.85546875" style="122" bestFit="1" customWidth="1"/>
    <col min="10213" max="10223" width="15.140625" style="122" customWidth="1"/>
    <col min="10224" max="10224" width="13.85546875" style="122" customWidth="1"/>
    <col min="10225" max="10225" width="11.42578125" style="122" customWidth="1"/>
    <col min="10226" max="10226" width="12" style="122" bestFit="1" customWidth="1"/>
    <col min="10227" max="10227" width="31.7109375" style="122" customWidth="1"/>
    <col min="10228" max="10228" width="13.85546875" style="122" customWidth="1"/>
    <col min="10229" max="10229" width="13.42578125" style="122" customWidth="1"/>
    <col min="10230" max="10233" width="16.140625" style="122" bestFit="1" customWidth="1"/>
    <col min="10234" max="10237" width="17.42578125" style="122" bestFit="1" customWidth="1"/>
    <col min="10238" max="10241" width="17.42578125" style="122" customWidth="1"/>
    <col min="10242" max="10242" width="27.28515625" style="122" customWidth="1"/>
    <col min="10243" max="10243" width="15.85546875" style="122" bestFit="1" customWidth="1"/>
    <col min="10244" max="10244" width="12.42578125" style="122" bestFit="1" customWidth="1"/>
    <col min="10245" max="10255" width="11.42578125" style="122" customWidth="1"/>
    <col min="10256" max="10256" width="17.140625" style="122" customWidth="1"/>
    <col min="10257" max="10257" width="11.42578125" style="122" customWidth="1"/>
    <col min="10258" max="10258" width="34.28515625" style="122" bestFit="1" customWidth="1"/>
    <col min="10259" max="10462" width="11.42578125" style="122"/>
    <col min="10463" max="10463" width="8.85546875" style="122" customWidth="1"/>
    <col min="10464" max="10464" width="35.7109375" style="122" bestFit="1" customWidth="1"/>
    <col min="10465" max="10465" width="5" style="122" customWidth="1"/>
    <col min="10466" max="10468" width="12.85546875" style="122" bestFit="1" customWidth="1"/>
    <col min="10469" max="10479" width="15.140625" style="122" customWidth="1"/>
    <col min="10480" max="10480" width="13.85546875" style="122" customWidth="1"/>
    <col min="10481" max="10481" width="11.42578125" style="122" customWidth="1"/>
    <col min="10482" max="10482" width="12" style="122" bestFit="1" customWidth="1"/>
    <col min="10483" max="10483" width="31.7109375" style="122" customWidth="1"/>
    <col min="10484" max="10484" width="13.85546875" style="122" customWidth="1"/>
    <col min="10485" max="10485" width="13.42578125" style="122" customWidth="1"/>
    <col min="10486" max="10489" width="16.140625" style="122" bestFit="1" customWidth="1"/>
    <col min="10490" max="10493" width="17.42578125" style="122" bestFit="1" customWidth="1"/>
    <col min="10494" max="10497" width="17.42578125" style="122" customWidth="1"/>
    <col min="10498" max="10498" width="27.28515625" style="122" customWidth="1"/>
    <col min="10499" max="10499" width="15.85546875" style="122" bestFit="1" customWidth="1"/>
    <col min="10500" max="10500" width="12.42578125" style="122" bestFit="1" customWidth="1"/>
    <col min="10501" max="10511" width="11.42578125" style="122" customWidth="1"/>
    <col min="10512" max="10512" width="17.140625" style="122" customWidth="1"/>
    <col min="10513" max="10513" width="11.42578125" style="122" customWidth="1"/>
    <col min="10514" max="10514" width="34.28515625" style="122" bestFit="1" customWidth="1"/>
    <col min="10515" max="10718" width="11.42578125" style="122"/>
    <col min="10719" max="10719" width="8.85546875" style="122" customWidth="1"/>
    <col min="10720" max="10720" width="35.7109375" style="122" bestFit="1" customWidth="1"/>
    <col min="10721" max="10721" width="5" style="122" customWidth="1"/>
    <col min="10722" max="10724" width="12.85546875" style="122" bestFit="1" customWidth="1"/>
    <col min="10725" max="10735" width="15.140625" style="122" customWidth="1"/>
    <col min="10736" max="10736" width="13.85546875" style="122" customWidth="1"/>
    <col min="10737" max="10737" width="11.42578125" style="122" customWidth="1"/>
    <col min="10738" max="10738" width="12" style="122" bestFit="1" customWidth="1"/>
    <col min="10739" max="10739" width="31.7109375" style="122" customWidth="1"/>
    <col min="10740" max="10740" width="13.85546875" style="122" customWidth="1"/>
    <col min="10741" max="10741" width="13.42578125" style="122" customWidth="1"/>
    <col min="10742" max="10745" width="16.140625" style="122" bestFit="1" customWidth="1"/>
    <col min="10746" max="10749" width="17.42578125" style="122" bestFit="1" customWidth="1"/>
    <col min="10750" max="10753" width="17.42578125" style="122" customWidth="1"/>
    <col min="10754" max="10754" width="27.28515625" style="122" customWidth="1"/>
    <col min="10755" max="10755" width="15.85546875" style="122" bestFit="1" customWidth="1"/>
    <col min="10756" max="10756" width="12.42578125" style="122" bestFit="1" customWidth="1"/>
    <col min="10757" max="10767" width="11.42578125" style="122" customWidth="1"/>
    <col min="10768" max="10768" width="17.140625" style="122" customWidth="1"/>
    <col min="10769" max="10769" width="11.42578125" style="122" customWidth="1"/>
    <col min="10770" max="10770" width="34.28515625" style="122" bestFit="1" customWidth="1"/>
    <col min="10771" max="10974" width="11.42578125" style="122"/>
    <col min="10975" max="10975" width="8.85546875" style="122" customWidth="1"/>
    <col min="10976" max="10976" width="35.7109375" style="122" bestFit="1" customWidth="1"/>
    <col min="10977" max="10977" width="5" style="122" customWidth="1"/>
    <col min="10978" max="10980" width="12.85546875" style="122" bestFit="1" customWidth="1"/>
    <col min="10981" max="10991" width="15.140625" style="122" customWidth="1"/>
    <col min="10992" max="10992" width="13.85546875" style="122" customWidth="1"/>
    <col min="10993" max="10993" width="11.42578125" style="122" customWidth="1"/>
    <col min="10994" max="10994" width="12" style="122" bestFit="1" customWidth="1"/>
    <col min="10995" max="10995" width="31.7109375" style="122" customWidth="1"/>
    <col min="10996" max="10996" width="13.85546875" style="122" customWidth="1"/>
    <col min="10997" max="10997" width="13.42578125" style="122" customWidth="1"/>
    <col min="10998" max="11001" width="16.140625" style="122" bestFit="1" customWidth="1"/>
    <col min="11002" max="11005" width="17.42578125" style="122" bestFit="1" customWidth="1"/>
    <col min="11006" max="11009" width="17.42578125" style="122" customWidth="1"/>
    <col min="11010" max="11010" width="27.28515625" style="122" customWidth="1"/>
    <col min="11011" max="11011" width="15.85546875" style="122" bestFit="1" customWidth="1"/>
    <col min="11012" max="11012" width="12.42578125" style="122" bestFit="1" customWidth="1"/>
    <col min="11013" max="11023" width="11.42578125" style="122" customWidth="1"/>
    <col min="11024" max="11024" width="17.140625" style="122" customWidth="1"/>
    <col min="11025" max="11025" width="11.42578125" style="122" customWidth="1"/>
    <col min="11026" max="11026" width="34.28515625" style="122" bestFit="1" customWidth="1"/>
    <col min="11027" max="11230" width="11.42578125" style="122"/>
    <col min="11231" max="11231" width="8.85546875" style="122" customWidth="1"/>
    <col min="11232" max="11232" width="35.7109375" style="122" bestFit="1" customWidth="1"/>
    <col min="11233" max="11233" width="5" style="122" customWidth="1"/>
    <col min="11234" max="11236" width="12.85546875" style="122" bestFit="1" customWidth="1"/>
    <col min="11237" max="11247" width="15.140625" style="122" customWidth="1"/>
    <col min="11248" max="11248" width="13.85546875" style="122" customWidth="1"/>
    <col min="11249" max="11249" width="11.42578125" style="122" customWidth="1"/>
    <col min="11250" max="11250" width="12" style="122" bestFit="1" customWidth="1"/>
    <col min="11251" max="11251" width="31.7109375" style="122" customWidth="1"/>
    <col min="11252" max="11252" width="13.85546875" style="122" customWidth="1"/>
    <col min="11253" max="11253" width="13.42578125" style="122" customWidth="1"/>
    <col min="11254" max="11257" width="16.140625" style="122" bestFit="1" customWidth="1"/>
    <col min="11258" max="11261" width="17.42578125" style="122" bestFit="1" customWidth="1"/>
    <col min="11262" max="11265" width="17.42578125" style="122" customWidth="1"/>
    <col min="11266" max="11266" width="27.28515625" style="122" customWidth="1"/>
    <col min="11267" max="11267" width="15.85546875" style="122" bestFit="1" customWidth="1"/>
    <col min="11268" max="11268" width="12.42578125" style="122" bestFit="1" customWidth="1"/>
    <col min="11269" max="11279" width="11.42578125" style="122" customWidth="1"/>
    <col min="11280" max="11280" width="17.140625" style="122" customWidth="1"/>
    <col min="11281" max="11281" width="11.42578125" style="122" customWidth="1"/>
    <col min="11282" max="11282" width="34.28515625" style="122" bestFit="1" customWidth="1"/>
    <col min="11283" max="11486" width="11.42578125" style="122"/>
    <col min="11487" max="11487" width="8.85546875" style="122" customWidth="1"/>
    <col min="11488" max="11488" width="35.7109375" style="122" bestFit="1" customWidth="1"/>
    <col min="11489" max="11489" width="5" style="122" customWidth="1"/>
    <col min="11490" max="11492" width="12.85546875" style="122" bestFit="1" customWidth="1"/>
    <col min="11493" max="11503" width="15.140625" style="122" customWidth="1"/>
    <col min="11504" max="11504" width="13.85546875" style="122" customWidth="1"/>
    <col min="11505" max="11505" width="11.42578125" style="122" customWidth="1"/>
    <col min="11506" max="11506" width="12" style="122" bestFit="1" customWidth="1"/>
    <col min="11507" max="11507" width="31.7109375" style="122" customWidth="1"/>
    <col min="11508" max="11508" width="13.85546875" style="122" customWidth="1"/>
    <col min="11509" max="11509" width="13.42578125" style="122" customWidth="1"/>
    <col min="11510" max="11513" width="16.140625" style="122" bestFit="1" customWidth="1"/>
    <col min="11514" max="11517" width="17.42578125" style="122" bestFit="1" customWidth="1"/>
    <col min="11518" max="11521" width="17.42578125" style="122" customWidth="1"/>
    <col min="11522" max="11522" width="27.28515625" style="122" customWidth="1"/>
    <col min="11523" max="11523" width="15.85546875" style="122" bestFit="1" customWidth="1"/>
    <col min="11524" max="11524" width="12.42578125" style="122" bestFit="1" customWidth="1"/>
    <col min="11525" max="11535" width="11.42578125" style="122" customWidth="1"/>
    <col min="11536" max="11536" width="17.140625" style="122" customWidth="1"/>
    <col min="11537" max="11537" width="11.42578125" style="122" customWidth="1"/>
    <col min="11538" max="11538" width="34.28515625" style="122" bestFit="1" customWidth="1"/>
    <col min="11539" max="11742" width="11.42578125" style="122"/>
    <col min="11743" max="11743" width="8.85546875" style="122" customWidth="1"/>
    <col min="11744" max="11744" width="35.7109375" style="122" bestFit="1" customWidth="1"/>
    <col min="11745" max="11745" width="5" style="122" customWidth="1"/>
    <col min="11746" max="11748" width="12.85546875" style="122" bestFit="1" customWidth="1"/>
    <col min="11749" max="11759" width="15.140625" style="122" customWidth="1"/>
    <col min="11760" max="11760" width="13.85546875" style="122" customWidth="1"/>
    <col min="11761" max="11761" width="11.42578125" style="122" customWidth="1"/>
    <col min="11762" max="11762" width="12" style="122" bestFit="1" customWidth="1"/>
    <col min="11763" max="11763" width="31.7109375" style="122" customWidth="1"/>
    <col min="11764" max="11764" width="13.85546875" style="122" customWidth="1"/>
    <col min="11765" max="11765" width="13.42578125" style="122" customWidth="1"/>
    <col min="11766" max="11769" width="16.140625" style="122" bestFit="1" customWidth="1"/>
    <col min="11770" max="11773" width="17.42578125" style="122" bestFit="1" customWidth="1"/>
    <col min="11774" max="11777" width="17.42578125" style="122" customWidth="1"/>
    <col min="11778" max="11778" width="27.28515625" style="122" customWidth="1"/>
    <col min="11779" max="11779" width="15.85546875" style="122" bestFit="1" customWidth="1"/>
    <col min="11780" max="11780" width="12.42578125" style="122" bestFit="1" customWidth="1"/>
    <col min="11781" max="11791" width="11.42578125" style="122" customWidth="1"/>
    <col min="11792" max="11792" width="17.140625" style="122" customWidth="1"/>
    <col min="11793" max="11793" width="11.42578125" style="122" customWidth="1"/>
    <col min="11794" max="11794" width="34.28515625" style="122" bestFit="1" customWidth="1"/>
    <col min="11795" max="11998" width="11.42578125" style="122"/>
    <col min="11999" max="11999" width="8.85546875" style="122" customWidth="1"/>
    <col min="12000" max="12000" width="35.7109375" style="122" bestFit="1" customWidth="1"/>
    <col min="12001" max="12001" width="5" style="122" customWidth="1"/>
    <col min="12002" max="12004" width="12.85546875" style="122" bestFit="1" customWidth="1"/>
    <col min="12005" max="12015" width="15.140625" style="122" customWidth="1"/>
    <col min="12016" max="12016" width="13.85546875" style="122" customWidth="1"/>
    <col min="12017" max="12017" width="11.42578125" style="122" customWidth="1"/>
    <col min="12018" max="12018" width="12" style="122" bestFit="1" customWidth="1"/>
    <col min="12019" max="12019" width="31.7109375" style="122" customWidth="1"/>
    <col min="12020" max="12020" width="13.85546875" style="122" customWidth="1"/>
    <col min="12021" max="12021" width="13.42578125" style="122" customWidth="1"/>
    <col min="12022" max="12025" width="16.140625" style="122" bestFit="1" customWidth="1"/>
    <col min="12026" max="12029" width="17.42578125" style="122" bestFit="1" customWidth="1"/>
    <col min="12030" max="12033" width="17.42578125" style="122" customWidth="1"/>
    <col min="12034" max="12034" width="27.28515625" style="122" customWidth="1"/>
    <col min="12035" max="12035" width="15.85546875" style="122" bestFit="1" customWidth="1"/>
    <col min="12036" max="12036" width="12.42578125" style="122" bestFit="1" customWidth="1"/>
    <col min="12037" max="12047" width="11.42578125" style="122" customWidth="1"/>
    <col min="12048" max="12048" width="17.140625" style="122" customWidth="1"/>
    <col min="12049" max="12049" width="11.42578125" style="122" customWidth="1"/>
    <col min="12050" max="12050" width="34.28515625" style="122" bestFit="1" customWidth="1"/>
    <col min="12051" max="12254" width="11.42578125" style="122"/>
    <col min="12255" max="12255" width="8.85546875" style="122" customWidth="1"/>
    <col min="12256" max="12256" width="35.7109375" style="122" bestFit="1" customWidth="1"/>
    <col min="12257" max="12257" width="5" style="122" customWidth="1"/>
    <col min="12258" max="12260" width="12.85546875" style="122" bestFit="1" customWidth="1"/>
    <col min="12261" max="12271" width="15.140625" style="122" customWidth="1"/>
    <col min="12272" max="12272" width="13.85546875" style="122" customWidth="1"/>
    <col min="12273" max="12273" width="11.42578125" style="122" customWidth="1"/>
    <col min="12274" max="12274" width="12" style="122" bestFit="1" customWidth="1"/>
    <col min="12275" max="12275" width="31.7109375" style="122" customWidth="1"/>
    <col min="12276" max="12276" width="13.85546875" style="122" customWidth="1"/>
    <col min="12277" max="12277" width="13.42578125" style="122" customWidth="1"/>
    <col min="12278" max="12281" width="16.140625" style="122" bestFit="1" customWidth="1"/>
    <col min="12282" max="12285" width="17.42578125" style="122" bestFit="1" customWidth="1"/>
    <col min="12286" max="12289" width="17.42578125" style="122" customWidth="1"/>
    <col min="12290" max="12290" width="27.28515625" style="122" customWidth="1"/>
    <col min="12291" max="12291" width="15.85546875" style="122" bestFit="1" customWidth="1"/>
    <col min="12292" max="12292" width="12.42578125" style="122" bestFit="1" customWidth="1"/>
    <col min="12293" max="12303" width="11.42578125" style="122" customWidth="1"/>
    <col min="12304" max="12304" width="17.140625" style="122" customWidth="1"/>
    <col min="12305" max="12305" width="11.42578125" style="122" customWidth="1"/>
    <col min="12306" max="12306" width="34.28515625" style="122" bestFit="1" customWidth="1"/>
    <col min="12307" max="12510" width="11.42578125" style="122"/>
    <col min="12511" max="12511" width="8.85546875" style="122" customWidth="1"/>
    <col min="12512" max="12512" width="35.7109375" style="122" bestFit="1" customWidth="1"/>
    <col min="12513" max="12513" width="5" style="122" customWidth="1"/>
    <col min="12514" max="12516" width="12.85546875" style="122" bestFit="1" customWidth="1"/>
    <col min="12517" max="12527" width="15.140625" style="122" customWidth="1"/>
    <col min="12528" max="12528" width="13.85546875" style="122" customWidth="1"/>
    <col min="12529" max="12529" width="11.42578125" style="122" customWidth="1"/>
    <col min="12530" max="12530" width="12" style="122" bestFit="1" customWidth="1"/>
    <col min="12531" max="12531" width="31.7109375" style="122" customWidth="1"/>
    <col min="12532" max="12532" width="13.85546875" style="122" customWidth="1"/>
    <col min="12533" max="12533" width="13.42578125" style="122" customWidth="1"/>
    <col min="12534" max="12537" width="16.140625" style="122" bestFit="1" customWidth="1"/>
    <col min="12538" max="12541" width="17.42578125" style="122" bestFit="1" customWidth="1"/>
    <col min="12542" max="12545" width="17.42578125" style="122" customWidth="1"/>
    <col min="12546" max="12546" width="27.28515625" style="122" customWidth="1"/>
    <col min="12547" max="12547" width="15.85546875" style="122" bestFit="1" customWidth="1"/>
    <col min="12548" max="12548" width="12.42578125" style="122" bestFit="1" customWidth="1"/>
    <col min="12549" max="12559" width="11.42578125" style="122" customWidth="1"/>
    <col min="12560" max="12560" width="17.140625" style="122" customWidth="1"/>
    <col min="12561" max="12561" width="11.42578125" style="122" customWidth="1"/>
    <col min="12562" max="12562" width="34.28515625" style="122" bestFit="1" customWidth="1"/>
    <col min="12563" max="12766" width="11.42578125" style="122"/>
    <col min="12767" max="12767" width="8.85546875" style="122" customWidth="1"/>
    <col min="12768" max="12768" width="35.7109375" style="122" bestFit="1" customWidth="1"/>
    <col min="12769" max="12769" width="5" style="122" customWidth="1"/>
    <col min="12770" max="12772" width="12.85546875" style="122" bestFit="1" customWidth="1"/>
    <col min="12773" max="12783" width="15.140625" style="122" customWidth="1"/>
    <col min="12784" max="12784" width="13.85546875" style="122" customWidth="1"/>
    <col min="12785" max="12785" width="11.42578125" style="122" customWidth="1"/>
    <col min="12786" max="12786" width="12" style="122" bestFit="1" customWidth="1"/>
    <col min="12787" max="12787" width="31.7109375" style="122" customWidth="1"/>
    <col min="12788" max="12788" width="13.85546875" style="122" customWidth="1"/>
    <col min="12789" max="12789" width="13.42578125" style="122" customWidth="1"/>
    <col min="12790" max="12793" width="16.140625" style="122" bestFit="1" customWidth="1"/>
    <col min="12794" max="12797" width="17.42578125" style="122" bestFit="1" customWidth="1"/>
    <col min="12798" max="12801" width="17.42578125" style="122" customWidth="1"/>
    <col min="12802" max="12802" width="27.28515625" style="122" customWidth="1"/>
    <col min="12803" max="12803" width="15.85546875" style="122" bestFit="1" customWidth="1"/>
    <col min="12804" max="12804" width="12.42578125" style="122" bestFit="1" customWidth="1"/>
    <col min="12805" max="12815" width="11.42578125" style="122" customWidth="1"/>
    <col min="12816" max="12816" width="17.140625" style="122" customWidth="1"/>
    <col min="12817" max="12817" width="11.42578125" style="122" customWidth="1"/>
    <col min="12818" max="12818" width="34.28515625" style="122" bestFit="1" customWidth="1"/>
    <col min="12819" max="13022" width="11.42578125" style="122"/>
    <col min="13023" max="13023" width="8.85546875" style="122" customWidth="1"/>
    <col min="13024" max="13024" width="35.7109375" style="122" bestFit="1" customWidth="1"/>
    <col min="13025" max="13025" width="5" style="122" customWidth="1"/>
    <col min="13026" max="13028" width="12.85546875" style="122" bestFit="1" customWidth="1"/>
    <col min="13029" max="13039" width="15.140625" style="122" customWidth="1"/>
    <col min="13040" max="13040" width="13.85546875" style="122" customWidth="1"/>
    <col min="13041" max="13041" width="11.42578125" style="122" customWidth="1"/>
    <col min="13042" max="13042" width="12" style="122" bestFit="1" customWidth="1"/>
    <col min="13043" max="13043" width="31.7109375" style="122" customWidth="1"/>
    <col min="13044" max="13044" width="13.85546875" style="122" customWidth="1"/>
    <col min="13045" max="13045" width="13.42578125" style="122" customWidth="1"/>
    <col min="13046" max="13049" width="16.140625" style="122" bestFit="1" customWidth="1"/>
    <col min="13050" max="13053" width="17.42578125" style="122" bestFit="1" customWidth="1"/>
    <col min="13054" max="13057" width="17.42578125" style="122" customWidth="1"/>
    <col min="13058" max="13058" width="27.28515625" style="122" customWidth="1"/>
    <col min="13059" max="13059" width="15.85546875" style="122" bestFit="1" customWidth="1"/>
    <col min="13060" max="13060" width="12.42578125" style="122" bestFit="1" customWidth="1"/>
    <col min="13061" max="13071" width="11.42578125" style="122" customWidth="1"/>
    <col min="13072" max="13072" width="17.140625" style="122" customWidth="1"/>
    <col min="13073" max="13073" width="11.42578125" style="122" customWidth="1"/>
    <col min="13074" max="13074" width="34.28515625" style="122" bestFit="1" customWidth="1"/>
    <col min="13075" max="13278" width="11.42578125" style="122"/>
    <col min="13279" max="13279" width="8.85546875" style="122" customWidth="1"/>
    <col min="13280" max="13280" width="35.7109375" style="122" bestFit="1" customWidth="1"/>
    <col min="13281" max="13281" width="5" style="122" customWidth="1"/>
    <col min="13282" max="13284" width="12.85546875" style="122" bestFit="1" customWidth="1"/>
    <col min="13285" max="13295" width="15.140625" style="122" customWidth="1"/>
    <col min="13296" max="13296" width="13.85546875" style="122" customWidth="1"/>
    <col min="13297" max="13297" width="11.42578125" style="122" customWidth="1"/>
    <col min="13298" max="13298" width="12" style="122" bestFit="1" customWidth="1"/>
    <col min="13299" max="13299" width="31.7109375" style="122" customWidth="1"/>
    <col min="13300" max="13300" width="13.85546875" style="122" customWidth="1"/>
    <col min="13301" max="13301" width="13.42578125" style="122" customWidth="1"/>
    <col min="13302" max="13305" width="16.140625" style="122" bestFit="1" customWidth="1"/>
    <col min="13306" max="13309" width="17.42578125" style="122" bestFit="1" customWidth="1"/>
    <col min="13310" max="13313" width="17.42578125" style="122" customWidth="1"/>
    <col min="13314" max="13314" width="27.28515625" style="122" customWidth="1"/>
    <col min="13315" max="13315" width="15.85546875" style="122" bestFit="1" customWidth="1"/>
    <col min="13316" max="13316" width="12.42578125" style="122" bestFit="1" customWidth="1"/>
    <col min="13317" max="13327" width="11.42578125" style="122" customWidth="1"/>
    <col min="13328" max="13328" width="17.140625" style="122" customWidth="1"/>
    <col min="13329" max="13329" width="11.42578125" style="122" customWidth="1"/>
    <col min="13330" max="13330" width="34.28515625" style="122" bestFit="1" customWidth="1"/>
    <col min="13331" max="13534" width="11.42578125" style="122"/>
    <col min="13535" max="13535" width="8.85546875" style="122" customWidth="1"/>
    <col min="13536" max="13536" width="35.7109375" style="122" bestFit="1" customWidth="1"/>
    <col min="13537" max="13537" width="5" style="122" customWidth="1"/>
    <col min="13538" max="13540" width="12.85546875" style="122" bestFit="1" customWidth="1"/>
    <col min="13541" max="13551" width="15.140625" style="122" customWidth="1"/>
    <col min="13552" max="13552" width="13.85546875" style="122" customWidth="1"/>
    <col min="13553" max="13553" width="11.42578125" style="122" customWidth="1"/>
    <col min="13554" max="13554" width="12" style="122" bestFit="1" customWidth="1"/>
    <col min="13555" max="13555" width="31.7109375" style="122" customWidth="1"/>
    <col min="13556" max="13556" width="13.85546875" style="122" customWidth="1"/>
    <col min="13557" max="13557" width="13.42578125" style="122" customWidth="1"/>
    <col min="13558" max="13561" width="16.140625" style="122" bestFit="1" customWidth="1"/>
    <col min="13562" max="13565" width="17.42578125" style="122" bestFit="1" customWidth="1"/>
    <col min="13566" max="13569" width="17.42578125" style="122" customWidth="1"/>
    <col min="13570" max="13570" width="27.28515625" style="122" customWidth="1"/>
    <col min="13571" max="13571" width="15.85546875" style="122" bestFit="1" customWidth="1"/>
    <col min="13572" max="13572" width="12.42578125" style="122" bestFit="1" customWidth="1"/>
    <col min="13573" max="13583" width="11.42578125" style="122" customWidth="1"/>
    <col min="13584" max="13584" width="17.140625" style="122" customWidth="1"/>
    <col min="13585" max="13585" width="11.42578125" style="122" customWidth="1"/>
    <col min="13586" max="13586" width="34.28515625" style="122" bestFit="1" customWidth="1"/>
    <col min="13587" max="13790" width="11.42578125" style="122"/>
    <col min="13791" max="13791" width="8.85546875" style="122" customWidth="1"/>
    <col min="13792" max="13792" width="35.7109375" style="122" bestFit="1" customWidth="1"/>
    <col min="13793" max="13793" width="5" style="122" customWidth="1"/>
    <col min="13794" max="13796" width="12.85546875" style="122" bestFit="1" customWidth="1"/>
    <col min="13797" max="13807" width="15.140625" style="122" customWidth="1"/>
    <col min="13808" max="13808" width="13.85546875" style="122" customWidth="1"/>
    <col min="13809" max="13809" width="11.42578125" style="122" customWidth="1"/>
    <col min="13810" max="13810" width="12" style="122" bestFit="1" customWidth="1"/>
    <col min="13811" max="13811" width="31.7109375" style="122" customWidth="1"/>
    <col min="13812" max="13812" width="13.85546875" style="122" customWidth="1"/>
    <col min="13813" max="13813" width="13.42578125" style="122" customWidth="1"/>
    <col min="13814" max="13817" width="16.140625" style="122" bestFit="1" customWidth="1"/>
    <col min="13818" max="13821" width="17.42578125" style="122" bestFit="1" customWidth="1"/>
    <col min="13822" max="13825" width="17.42578125" style="122" customWidth="1"/>
    <col min="13826" max="13826" width="27.28515625" style="122" customWidth="1"/>
    <col min="13827" max="13827" width="15.85546875" style="122" bestFit="1" customWidth="1"/>
    <col min="13828" max="13828" width="12.42578125" style="122" bestFit="1" customWidth="1"/>
    <col min="13829" max="13839" width="11.42578125" style="122" customWidth="1"/>
    <col min="13840" max="13840" width="17.140625" style="122" customWidth="1"/>
    <col min="13841" max="13841" width="11.42578125" style="122" customWidth="1"/>
    <col min="13842" max="13842" width="34.28515625" style="122" bestFit="1" customWidth="1"/>
    <col min="13843" max="14046" width="11.42578125" style="122"/>
    <col min="14047" max="14047" width="8.85546875" style="122" customWidth="1"/>
    <col min="14048" max="14048" width="35.7109375" style="122" bestFit="1" customWidth="1"/>
    <col min="14049" max="14049" width="5" style="122" customWidth="1"/>
    <col min="14050" max="14052" width="12.85546875" style="122" bestFit="1" customWidth="1"/>
    <col min="14053" max="14063" width="15.140625" style="122" customWidth="1"/>
    <col min="14064" max="14064" width="13.85546875" style="122" customWidth="1"/>
    <col min="14065" max="14065" width="11.42578125" style="122" customWidth="1"/>
    <col min="14066" max="14066" width="12" style="122" bestFit="1" customWidth="1"/>
    <col min="14067" max="14067" width="31.7109375" style="122" customWidth="1"/>
    <col min="14068" max="14068" width="13.85546875" style="122" customWidth="1"/>
    <col min="14069" max="14069" width="13.42578125" style="122" customWidth="1"/>
    <col min="14070" max="14073" width="16.140625" style="122" bestFit="1" customWidth="1"/>
    <col min="14074" max="14077" width="17.42578125" style="122" bestFit="1" customWidth="1"/>
    <col min="14078" max="14081" width="17.42578125" style="122" customWidth="1"/>
    <col min="14082" max="14082" width="27.28515625" style="122" customWidth="1"/>
    <col min="14083" max="14083" width="15.85546875" style="122" bestFit="1" customWidth="1"/>
    <col min="14084" max="14084" width="12.42578125" style="122" bestFit="1" customWidth="1"/>
    <col min="14085" max="14095" width="11.42578125" style="122" customWidth="1"/>
    <col min="14096" max="14096" width="17.140625" style="122" customWidth="1"/>
    <col min="14097" max="14097" width="11.42578125" style="122" customWidth="1"/>
    <col min="14098" max="14098" width="34.28515625" style="122" bestFit="1" customWidth="1"/>
    <col min="14099" max="14302" width="11.42578125" style="122"/>
    <col min="14303" max="14303" width="8.85546875" style="122" customWidth="1"/>
    <col min="14304" max="14304" width="35.7109375" style="122" bestFit="1" customWidth="1"/>
    <col min="14305" max="14305" width="5" style="122" customWidth="1"/>
    <col min="14306" max="14308" width="12.85546875" style="122" bestFit="1" customWidth="1"/>
    <col min="14309" max="14319" width="15.140625" style="122" customWidth="1"/>
    <col min="14320" max="14320" width="13.85546875" style="122" customWidth="1"/>
    <col min="14321" max="14321" width="11.42578125" style="122" customWidth="1"/>
    <col min="14322" max="14322" width="12" style="122" bestFit="1" customWidth="1"/>
    <col min="14323" max="14323" width="31.7109375" style="122" customWidth="1"/>
    <col min="14324" max="14324" width="13.85546875" style="122" customWidth="1"/>
    <col min="14325" max="14325" width="13.42578125" style="122" customWidth="1"/>
    <col min="14326" max="14329" width="16.140625" style="122" bestFit="1" customWidth="1"/>
    <col min="14330" max="14333" width="17.42578125" style="122" bestFit="1" customWidth="1"/>
    <col min="14334" max="14337" width="17.42578125" style="122" customWidth="1"/>
    <col min="14338" max="14338" width="27.28515625" style="122" customWidth="1"/>
    <col min="14339" max="14339" width="15.85546875" style="122" bestFit="1" customWidth="1"/>
    <col min="14340" max="14340" width="12.42578125" style="122" bestFit="1" customWidth="1"/>
    <col min="14341" max="14351" width="11.42578125" style="122" customWidth="1"/>
    <col min="14352" max="14352" width="17.140625" style="122" customWidth="1"/>
    <col min="14353" max="14353" width="11.42578125" style="122" customWidth="1"/>
    <col min="14354" max="14354" width="34.28515625" style="122" bestFit="1" customWidth="1"/>
    <col min="14355" max="14558" width="11.42578125" style="122"/>
    <col min="14559" max="14559" width="8.85546875" style="122" customWidth="1"/>
    <col min="14560" max="14560" width="35.7109375" style="122" bestFit="1" customWidth="1"/>
    <col min="14561" max="14561" width="5" style="122" customWidth="1"/>
    <col min="14562" max="14564" width="12.85546875" style="122" bestFit="1" customWidth="1"/>
    <col min="14565" max="14575" width="15.140625" style="122" customWidth="1"/>
    <col min="14576" max="14576" width="13.85546875" style="122" customWidth="1"/>
    <col min="14577" max="14577" width="11.42578125" style="122" customWidth="1"/>
    <col min="14578" max="14578" width="12" style="122" bestFit="1" customWidth="1"/>
    <col min="14579" max="14579" width="31.7109375" style="122" customWidth="1"/>
    <col min="14580" max="14580" width="13.85546875" style="122" customWidth="1"/>
    <col min="14581" max="14581" width="13.42578125" style="122" customWidth="1"/>
    <col min="14582" max="14585" width="16.140625" style="122" bestFit="1" customWidth="1"/>
    <col min="14586" max="14589" width="17.42578125" style="122" bestFit="1" customWidth="1"/>
    <col min="14590" max="14593" width="17.42578125" style="122" customWidth="1"/>
    <col min="14594" max="14594" width="27.28515625" style="122" customWidth="1"/>
    <col min="14595" max="14595" width="15.85546875" style="122" bestFit="1" customWidth="1"/>
    <col min="14596" max="14596" width="12.42578125" style="122" bestFit="1" customWidth="1"/>
    <col min="14597" max="14607" width="11.42578125" style="122" customWidth="1"/>
    <col min="14608" max="14608" width="17.140625" style="122" customWidth="1"/>
    <col min="14609" max="14609" width="11.42578125" style="122" customWidth="1"/>
    <col min="14610" max="14610" width="34.28515625" style="122" bestFit="1" customWidth="1"/>
    <col min="14611" max="14814" width="11.42578125" style="122"/>
    <col min="14815" max="14815" width="8.85546875" style="122" customWidth="1"/>
    <col min="14816" max="14816" width="35.7109375" style="122" bestFit="1" customWidth="1"/>
    <col min="14817" max="14817" width="5" style="122" customWidth="1"/>
    <col min="14818" max="14820" width="12.85546875" style="122" bestFit="1" customWidth="1"/>
    <col min="14821" max="14831" width="15.140625" style="122" customWidth="1"/>
    <col min="14832" max="14832" width="13.85546875" style="122" customWidth="1"/>
    <col min="14833" max="14833" width="11.42578125" style="122" customWidth="1"/>
    <col min="14834" max="14834" width="12" style="122" bestFit="1" customWidth="1"/>
    <col min="14835" max="14835" width="31.7109375" style="122" customWidth="1"/>
    <col min="14836" max="14836" width="13.85546875" style="122" customWidth="1"/>
    <col min="14837" max="14837" width="13.42578125" style="122" customWidth="1"/>
    <col min="14838" max="14841" width="16.140625" style="122" bestFit="1" customWidth="1"/>
    <col min="14842" max="14845" width="17.42578125" style="122" bestFit="1" customWidth="1"/>
    <col min="14846" max="14849" width="17.42578125" style="122" customWidth="1"/>
    <col min="14850" max="14850" width="27.28515625" style="122" customWidth="1"/>
    <col min="14851" max="14851" width="15.85546875" style="122" bestFit="1" customWidth="1"/>
    <col min="14852" max="14852" width="12.42578125" style="122" bestFit="1" customWidth="1"/>
    <col min="14853" max="14863" width="11.42578125" style="122" customWidth="1"/>
    <col min="14864" max="14864" width="17.140625" style="122" customWidth="1"/>
    <col min="14865" max="14865" width="11.42578125" style="122" customWidth="1"/>
    <col min="14866" max="14866" width="34.28515625" style="122" bestFit="1" customWidth="1"/>
    <col min="14867" max="15070" width="11.42578125" style="122"/>
    <col min="15071" max="15071" width="8.85546875" style="122" customWidth="1"/>
    <col min="15072" max="15072" width="35.7109375" style="122" bestFit="1" customWidth="1"/>
    <col min="15073" max="15073" width="5" style="122" customWidth="1"/>
    <col min="15074" max="15076" width="12.85546875" style="122" bestFit="1" customWidth="1"/>
    <col min="15077" max="15087" width="15.140625" style="122" customWidth="1"/>
    <col min="15088" max="15088" width="13.85546875" style="122" customWidth="1"/>
    <col min="15089" max="15089" width="11.42578125" style="122" customWidth="1"/>
    <col min="15090" max="15090" width="12" style="122" bestFit="1" customWidth="1"/>
    <col min="15091" max="15091" width="31.7109375" style="122" customWidth="1"/>
    <col min="15092" max="15092" width="13.85546875" style="122" customWidth="1"/>
    <col min="15093" max="15093" width="13.42578125" style="122" customWidth="1"/>
    <col min="15094" max="15097" width="16.140625" style="122" bestFit="1" customWidth="1"/>
    <col min="15098" max="15101" width="17.42578125" style="122" bestFit="1" customWidth="1"/>
    <col min="15102" max="15105" width="17.42578125" style="122" customWidth="1"/>
    <col min="15106" max="15106" width="27.28515625" style="122" customWidth="1"/>
    <col min="15107" max="15107" width="15.85546875" style="122" bestFit="1" customWidth="1"/>
    <col min="15108" max="15108" width="12.42578125" style="122" bestFit="1" customWidth="1"/>
    <col min="15109" max="15119" width="11.42578125" style="122" customWidth="1"/>
    <col min="15120" max="15120" width="17.140625" style="122" customWidth="1"/>
    <col min="15121" max="15121" width="11.42578125" style="122" customWidth="1"/>
    <col min="15122" max="15122" width="34.28515625" style="122" bestFit="1" customWidth="1"/>
    <col min="15123" max="15326" width="11.42578125" style="122"/>
    <col min="15327" max="15327" width="8.85546875" style="122" customWidth="1"/>
    <col min="15328" max="15328" width="35.7109375" style="122" bestFit="1" customWidth="1"/>
    <col min="15329" max="15329" width="5" style="122" customWidth="1"/>
    <col min="15330" max="15332" width="12.85546875" style="122" bestFit="1" customWidth="1"/>
    <col min="15333" max="15343" width="15.140625" style="122" customWidth="1"/>
    <col min="15344" max="15344" width="13.85546875" style="122" customWidth="1"/>
    <col min="15345" max="15345" width="11.42578125" style="122" customWidth="1"/>
    <col min="15346" max="15346" width="12" style="122" bestFit="1" customWidth="1"/>
    <col min="15347" max="15347" width="31.7109375" style="122" customWidth="1"/>
    <col min="15348" max="15348" width="13.85546875" style="122" customWidth="1"/>
    <col min="15349" max="15349" width="13.42578125" style="122" customWidth="1"/>
    <col min="15350" max="15353" width="16.140625" style="122" bestFit="1" customWidth="1"/>
    <col min="15354" max="15357" width="17.42578125" style="122" bestFit="1" customWidth="1"/>
    <col min="15358" max="15361" width="17.42578125" style="122" customWidth="1"/>
    <col min="15362" max="15362" width="27.28515625" style="122" customWidth="1"/>
    <col min="15363" max="15363" width="15.85546875" style="122" bestFit="1" customWidth="1"/>
    <col min="15364" max="15364" width="12.42578125" style="122" bestFit="1" customWidth="1"/>
    <col min="15365" max="15375" width="11.42578125" style="122" customWidth="1"/>
    <col min="15376" max="15376" width="17.140625" style="122" customWidth="1"/>
    <col min="15377" max="15377" width="11.42578125" style="122" customWidth="1"/>
    <col min="15378" max="15378" width="34.28515625" style="122" bestFit="1" customWidth="1"/>
    <col min="15379" max="15582" width="11.42578125" style="122"/>
    <col min="15583" max="15583" width="8.85546875" style="122" customWidth="1"/>
    <col min="15584" max="15584" width="35.7109375" style="122" bestFit="1" customWidth="1"/>
    <col min="15585" max="15585" width="5" style="122" customWidth="1"/>
    <col min="15586" max="15588" width="12.85546875" style="122" bestFit="1" customWidth="1"/>
    <col min="15589" max="15599" width="15.140625" style="122" customWidth="1"/>
    <col min="15600" max="15600" width="13.85546875" style="122" customWidth="1"/>
    <col min="15601" max="15601" width="11.42578125" style="122" customWidth="1"/>
    <col min="15602" max="15602" width="12" style="122" bestFit="1" customWidth="1"/>
    <col min="15603" max="15603" width="31.7109375" style="122" customWidth="1"/>
    <col min="15604" max="15604" width="13.85546875" style="122" customWidth="1"/>
    <col min="15605" max="15605" width="13.42578125" style="122" customWidth="1"/>
    <col min="15606" max="15609" width="16.140625" style="122" bestFit="1" customWidth="1"/>
    <col min="15610" max="15613" width="17.42578125" style="122" bestFit="1" customWidth="1"/>
    <col min="15614" max="15617" width="17.42578125" style="122" customWidth="1"/>
    <col min="15618" max="15618" width="27.28515625" style="122" customWidth="1"/>
    <col min="15619" max="15619" width="15.85546875" style="122" bestFit="1" customWidth="1"/>
    <col min="15620" max="15620" width="12.42578125" style="122" bestFit="1" customWidth="1"/>
    <col min="15621" max="15631" width="11.42578125" style="122" customWidth="1"/>
    <col min="15632" max="15632" width="17.140625" style="122" customWidth="1"/>
    <col min="15633" max="15633" width="11.42578125" style="122" customWidth="1"/>
    <col min="15634" max="15634" width="34.28515625" style="122" bestFit="1" customWidth="1"/>
    <col min="15635" max="15838" width="11.42578125" style="122"/>
    <col min="15839" max="15839" width="8.85546875" style="122" customWidth="1"/>
    <col min="15840" max="15840" width="35.7109375" style="122" bestFit="1" customWidth="1"/>
    <col min="15841" max="15841" width="5" style="122" customWidth="1"/>
    <col min="15842" max="15844" width="12.85546875" style="122" bestFit="1" customWidth="1"/>
    <col min="15845" max="15855" width="15.140625" style="122" customWidth="1"/>
    <col min="15856" max="15856" width="13.85546875" style="122" customWidth="1"/>
    <col min="15857" max="15857" width="11.42578125" style="122" customWidth="1"/>
    <col min="15858" max="15858" width="12" style="122" bestFit="1" customWidth="1"/>
    <col min="15859" max="15859" width="31.7109375" style="122" customWidth="1"/>
    <col min="15860" max="15860" width="13.85546875" style="122" customWidth="1"/>
    <col min="15861" max="15861" width="13.42578125" style="122" customWidth="1"/>
    <col min="15862" max="15865" width="16.140625" style="122" bestFit="1" customWidth="1"/>
    <col min="15866" max="15869" width="17.42578125" style="122" bestFit="1" customWidth="1"/>
    <col min="15870" max="15873" width="17.42578125" style="122" customWidth="1"/>
    <col min="15874" max="15874" width="27.28515625" style="122" customWidth="1"/>
    <col min="15875" max="15875" width="15.85546875" style="122" bestFit="1" customWidth="1"/>
    <col min="15876" max="15876" width="12.42578125" style="122" bestFit="1" customWidth="1"/>
    <col min="15877" max="15887" width="11.42578125" style="122" customWidth="1"/>
    <col min="15888" max="15888" width="17.140625" style="122" customWidth="1"/>
    <col min="15889" max="15889" width="11.42578125" style="122" customWidth="1"/>
    <col min="15890" max="15890" width="34.28515625" style="122" bestFit="1" customWidth="1"/>
    <col min="15891" max="16094" width="11.42578125" style="122"/>
    <col min="16095" max="16095" width="8.85546875" style="122" customWidth="1"/>
    <col min="16096" max="16096" width="35.7109375" style="122" bestFit="1" customWidth="1"/>
    <col min="16097" max="16097" width="5" style="122" customWidth="1"/>
    <col min="16098" max="16100" width="12.85546875" style="122" bestFit="1" customWidth="1"/>
    <col min="16101" max="16111" width="15.140625" style="122" customWidth="1"/>
    <col min="16112" max="16112" width="13.85546875" style="122" customWidth="1"/>
    <col min="16113" max="16113" width="11.42578125" style="122" customWidth="1"/>
    <col min="16114" max="16114" width="12" style="122" bestFit="1" customWidth="1"/>
    <col min="16115" max="16115" width="31.7109375" style="122" customWidth="1"/>
    <col min="16116" max="16116" width="13.85546875" style="122" customWidth="1"/>
    <col min="16117" max="16117" width="13.42578125" style="122" customWidth="1"/>
    <col min="16118" max="16121" width="16.140625" style="122" bestFit="1" customWidth="1"/>
    <col min="16122" max="16125" width="17.42578125" style="122" bestFit="1" customWidth="1"/>
    <col min="16126" max="16129" width="17.42578125" style="122" customWidth="1"/>
    <col min="16130" max="16130" width="27.28515625" style="122" customWidth="1"/>
    <col min="16131" max="16131" width="15.85546875" style="122" bestFit="1" customWidth="1"/>
    <col min="16132" max="16132" width="12.42578125" style="122" bestFit="1" customWidth="1"/>
    <col min="16133" max="16143" width="11.42578125" style="122" customWidth="1"/>
    <col min="16144" max="16144" width="17.140625" style="122" customWidth="1"/>
    <col min="16145" max="16145" width="11.42578125" style="122" customWidth="1"/>
    <col min="16146" max="16146" width="34.28515625" style="122" bestFit="1" customWidth="1"/>
    <col min="16147" max="16384" width="11.42578125" style="122"/>
  </cols>
  <sheetData>
    <row r="1" spans="1:19" ht="14.25" customHeight="1">
      <c r="A1" s="394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9" ht="12" customHeight="1">
      <c r="A2" s="338"/>
      <c r="B2" s="121"/>
      <c r="E2" s="444" t="s">
        <v>555</v>
      </c>
      <c r="F2" s="444"/>
      <c r="G2" s="444"/>
      <c r="H2" s="444"/>
      <c r="I2" s="121"/>
      <c r="J2" s="121"/>
      <c r="K2" s="121"/>
      <c r="L2" s="121"/>
      <c r="M2" s="121"/>
      <c r="N2" s="121"/>
      <c r="O2" s="121"/>
      <c r="P2" s="126"/>
    </row>
    <row r="3" spans="1:19" ht="12" customHeight="1">
      <c r="A3" s="126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6"/>
      <c r="Q3" s="126"/>
      <c r="R3" s="126"/>
    </row>
    <row r="4" spans="1:19" ht="16.5" customHeight="1" thickBot="1">
      <c r="A4" s="88" t="s">
        <v>534</v>
      </c>
      <c r="B4" s="88">
        <v>2000</v>
      </c>
      <c r="C4" s="88">
        <f>+B4+1</f>
        <v>2001</v>
      </c>
      <c r="D4" s="88">
        <f>+C4+1</f>
        <v>2002</v>
      </c>
      <c r="E4" s="88">
        <f>+D4+1</f>
        <v>2003</v>
      </c>
      <c r="F4" s="88">
        <f>+E4+1</f>
        <v>2004</v>
      </c>
      <c r="G4" s="49" t="s">
        <v>469</v>
      </c>
      <c r="H4" s="88">
        <v>2005</v>
      </c>
      <c r="I4" s="88">
        <f>+H4+1</f>
        <v>2006</v>
      </c>
      <c r="J4" s="88">
        <f t="shared" ref="J4:O4" si="0">+I4+1</f>
        <v>2007</v>
      </c>
      <c r="K4" s="88">
        <f t="shared" si="0"/>
        <v>2008</v>
      </c>
      <c r="L4" s="88">
        <f t="shared" si="0"/>
        <v>2009</v>
      </c>
      <c r="M4" s="88">
        <f t="shared" si="0"/>
        <v>2010</v>
      </c>
      <c r="N4" s="88">
        <f t="shared" si="0"/>
        <v>2011</v>
      </c>
      <c r="O4" s="88">
        <f t="shared" si="0"/>
        <v>2012</v>
      </c>
      <c r="P4" s="125"/>
      <c r="Q4" s="125"/>
      <c r="R4" s="125"/>
      <c r="S4" s="125"/>
    </row>
    <row r="5" spans="1:19" ht="16.5" customHeight="1" thickTop="1">
      <c r="A5" s="227" t="s">
        <v>178</v>
      </c>
      <c r="B5" s="229">
        <v>1</v>
      </c>
      <c r="C5" s="229">
        <f>B$5*(1+IPMAjustado!C$20)</f>
        <v>1.012070755017372</v>
      </c>
      <c r="D5" s="229">
        <f>C$5*(1+IPMAjustado!D$20)</f>
        <v>1.0094480945281583</v>
      </c>
      <c r="E5" s="229">
        <f>D$5*(1+IPMAjustado!E$20)</f>
        <v>1.0421004453812071</v>
      </c>
      <c r="F5" s="229">
        <f>E$5*(1+IPMAjustado!F$20)</f>
        <v>1.0960269810235577</v>
      </c>
      <c r="G5" s="229">
        <f>F$5*(1+IPMAjustado!G$20)</f>
        <v>1.1488208683264207</v>
      </c>
      <c r="H5" s="229">
        <f>+$F$5*(1+IPMAjustado!$G$20)</f>
        <v>1.1488208683264207</v>
      </c>
      <c r="I5" s="229">
        <f>+G$5*(1+IPMAjustado!H$20)</f>
        <v>1.1997590513555685</v>
      </c>
      <c r="J5" s="229">
        <f>+I$5*(1+IPMAjustado!I$20)</f>
        <v>1.204053327023018</v>
      </c>
      <c r="K5" s="229">
        <f>+J$5*(1+IPMAjustado!J$20)</f>
        <v>1.2869018984242706</v>
      </c>
      <c r="L5" s="229">
        <f>+K$5*(1+IPMAjustado!K$20)</f>
        <v>1.2418833163010314</v>
      </c>
      <c r="M5" s="229">
        <f>+L$5*(1+IPMAjustado!L$20)</f>
        <v>1.2699694142134492</v>
      </c>
      <c r="N5" s="229">
        <f>+M$5*(1+IPMAjustado!M$20)</f>
        <v>1.3342608164871119</v>
      </c>
      <c r="O5" s="229">
        <f>+N$5*(1+IPMAjustado!N$20)</f>
        <v>1.3555022671078327</v>
      </c>
      <c r="R5" s="133"/>
    </row>
    <row r="6" spans="1:19" ht="16.5" customHeight="1">
      <c r="A6" s="228" t="s">
        <v>179</v>
      </c>
      <c r="B6" s="230">
        <v>1</v>
      </c>
      <c r="C6" s="230">
        <f>+B6*((1+IPMAjustado!C20)/(1+Devaluacion!C19))</f>
        <v>1.006816219981584</v>
      </c>
      <c r="D6" s="230">
        <f>+C6*((1+IPMAjustado!D20)/(1+Devaluacion!D19))</f>
        <v>1.0014825421636411</v>
      </c>
      <c r="E6" s="230">
        <f>+D6*((1+IPMAjustado!E20)/(1+Devaluacion!E19))</f>
        <v>1.0453030460345583</v>
      </c>
      <c r="F6" s="230">
        <f>+E6*((1+IPMAjustado!F20)/(1+Devaluacion!F19))</f>
        <v>1.120452580763533</v>
      </c>
      <c r="G6" s="230">
        <f>+F6*((1+IPMAjustado!G20)/(1+Devaluacion!G19))</f>
        <v>1.2161499468903367</v>
      </c>
      <c r="H6" s="230">
        <f>+F6*((1+IPMAjustado!G20)/(1+Devaluacion!G19))</f>
        <v>1.2161499468903367</v>
      </c>
      <c r="I6" s="230">
        <f>+G6*((1+IPMAjustado!H20)/(1+Devaluacion!H19))</f>
        <v>1.2786534543161794</v>
      </c>
      <c r="J6" s="230">
        <f>+I6*((1+IPMAjustado!I20)/(1+Devaluacion!I19))</f>
        <v>1.3429458430934558</v>
      </c>
      <c r="K6" s="230">
        <f>+J6*((1+IPMAjustado!J20)/(1+Devaluacion!J19))</f>
        <v>1.5349566098558762</v>
      </c>
      <c r="L6" s="230">
        <f>+K6*((1+IPMAjustado!K20)/(1+Devaluacion!K19))</f>
        <v>1.438829095458835</v>
      </c>
      <c r="M6" s="230">
        <f>+L6*((1+IPMAjustado!L20)/(1+Devaluacion!L19))</f>
        <v>1.5684364588963371</v>
      </c>
      <c r="N6" s="230">
        <f>+M6*((1+IPMAjustado!M20)/(1+Devaluacion!M19))</f>
        <v>1.6903549345678939</v>
      </c>
      <c r="O6" s="230">
        <f>+N6*((1+IPMAjustado!N20)/(1+Devaluacion!N19))</f>
        <v>1.7931087471166935</v>
      </c>
      <c r="R6" s="133"/>
    </row>
    <row r="7" spans="1:19" ht="16.5" customHeight="1"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5"/>
    </row>
    <row r="8" spans="1:19">
      <c r="A8" s="145"/>
      <c r="B8" s="14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34"/>
      <c r="Q8" s="134"/>
      <c r="R8" s="134"/>
      <c r="S8" s="134"/>
    </row>
    <row r="9" spans="1:19">
      <c r="A9" s="145"/>
      <c r="B9" s="14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34"/>
      <c r="Q9" s="134"/>
      <c r="R9" s="134"/>
      <c r="S9" s="134"/>
    </row>
    <row r="10" spans="1:19">
      <c r="A10" s="134"/>
      <c r="B10" s="13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34"/>
      <c r="Q10" s="134"/>
      <c r="R10" s="134"/>
      <c r="S10" s="134"/>
    </row>
    <row r="11" spans="1:19">
      <c r="A11" s="134"/>
      <c r="B11" s="13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34"/>
      <c r="Q11" s="134"/>
      <c r="R11" s="134"/>
      <c r="S11" s="134"/>
    </row>
    <row r="12" spans="1:19">
      <c r="A12" s="134"/>
      <c r="B12" s="13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34"/>
      <c r="Q12" s="134"/>
      <c r="R12" s="134"/>
      <c r="S12" s="134"/>
    </row>
    <row r="13" spans="1:19">
      <c r="A13" s="134"/>
      <c r="B13" s="13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34"/>
      <c r="Q13" s="134"/>
      <c r="R13" s="134"/>
      <c r="S13" s="134"/>
    </row>
    <row r="14" spans="1:19">
      <c r="A14" s="134"/>
      <c r="B14" s="13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34"/>
      <c r="Q14" s="134"/>
      <c r="R14" s="134"/>
      <c r="S14" s="134"/>
    </row>
    <row r="15" spans="1:19">
      <c r="A15" s="134"/>
      <c r="B15" s="134"/>
      <c r="C15" s="154"/>
      <c r="H15" s="154"/>
      <c r="I15" s="154"/>
      <c r="J15" s="154"/>
      <c r="K15" s="154"/>
      <c r="L15" s="154"/>
      <c r="M15" s="154"/>
      <c r="N15" s="154"/>
      <c r="O15" s="154"/>
      <c r="P15" s="134"/>
      <c r="Q15" s="134"/>
      <c r="R15" s="134"/>
      <c r="S15" s="134"/>
    </row>
  </sheetData>
  <mergeCells count="1">
    <mergeCell ref="E2:H2"/>
  </mergeCells>
  <hyperlinks>
    <hyperlink ref="E2:H2" location="Indice!D3" display="ÍNDICE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43">
    <tabColor rgb="FF92D050"/>
  </sheetPr>
  <dimension ref="A1:R38"/>
  <sheetViews>
    <sheetView showGridLines="0" workbookViewId="0">
      <selection activeCell="E1" sqref="E1:H1"/>
    </sheetView>
  </sheetViews>
  <sheetFormatPr baseColWidth="10" defaultRowHeight="9"/>
  <cols>
    <col min="1" max="1" width="23.42578125" style="122" customWidth="1"/>
    <col min="2" max="2" width="22.42578125" style="122" bestFit="1" customWidth="1"/>
    <col min="3" max="15" width="7.140625" style="129" customWidth="1"/>
    <col min="16" max="16" width="13.85546875" style="122" customWidth="1"/>
    <col min="17" max="17" width="11.42578125" style="122" customWidth="1"/>
    <col min="18" max="18" width="12" style="122" bestFit="1" customWidth="1"/>
    <col min="19" max="222" width="11.42578125" style="122"/>
    <col min="223" max="223" width="8.85546875" style="122" customWidth="1"/>
    <col min="224" max="224" width="35.7109375" style="122" bestFit="1" customWidth="1"/>
    <col min="225" max="225" width="5" style="122" customWidth="1"/>
    <col min="226" max="228" width="12.85546875" style="122" bestFit="1" customWidth="1"/>
    <col min="229" max="239" width="15.140625" style="122" customWidth="1"/>
    <col min="240" max="240" width="13.85546875" style="122" customWidth="1"/>
    <col min="241" max="241" width="11.42578125" style="122" customWidth="1"/>
    <col min="242" max="242" width="12" style="122" bestFit="1" customWidth="1"/>
    <col min="243" max="243" width="31.7109375" style="122" customWidth="1"/>
    <col min="244" max="244" width="13.85546875" style="122" customWidth="1"/>
    <col min="245" max="245" width="13.42578125" style="122" customWidth="1"/>
    <col min="246" max="249" width="16.140625" style="122" bestFit="1" customWidth="1"/>
    <col min="250" max="253" width="17.42578125" style="122" bestFit="1" customWidth="1"/>
    <col min="254" max="257" width="17.42578125" style="122" customWidth="1"/>
    <col min="258" max="258" width="27.28515625" style="122" customWidth="1"/>
    <col min="259" max="259" width="15.85546875" style="122" bestFit="1" customWidth="1"/>
    <col min="260" max="260" width="12.42578125" style="122" bestFit="1" customWidth="1"/>
    <col min="261" max="271" width="11.42578125" style="122" customWidth="1"/>
    <col min="272" max="272" width="17.140625" style="122" customWidth="1"/>
    <col min="273" max="273" width="11.42578125" style="122" customWidth="1"/>
    <col min="274" max="274" width="34.28515625" style="122" bestFit="1" customWidth="1"/>
    <col min="275" max="478" width="11.42578125" style="122"/>
    <col min="479" max="479" width="8.85546875" style="122" customWidth="1"/>
    <col min="480" max="480" width="35.7109375" style="122" bestFit="1" customWidth="1"/>
    <col min="481" max="481" width="5" style="122" customWidth="1"/>
    <col min="482" max="484" width="12.85546875" style="122" bestFit="1" customWidth="1"/>
    <col min="485" max="495" width="15.140625" style="122" customWidth="1"/>
    <col min="496" max="496" width="13.85546875" style="122" customWidth="1"/>
    <col min="497" max="497" width="11.42578125" style="122" customWidth="1"/>
    <col min="498" max="498" width="12" style="122" bestFit="1" customWidth="1"/>
    <col min="499" max="499" width="31.7109375" style="122" customWidth="1"/>
    <col min="500" max="500" width="13.85546875" style="122" customWidth="1"/>
    <col min="501" max="501" width="13.42578125" style="122" customWidth="1"/>
    <col min="502" max="505" width="16.140625" style="122" bestFit="1" customWidth="1"/>
    <col min="506" max="509" width="17.42578125" style="122" bestFit="1" customWidth="1"/>
    <col min="510" max="513" width="17.42578125" style="122" customWidth="1"/>
    <col min="514" max="514" width="27.28515625" style="122" customWidth="1"/>
    <col min="515" max="515" width="15.85546875" style="122" bestFit="1" customWidth="1"/>
    <col min="516" max="516" width="12.42578125" style="122" bestFit="1" customWidth="1"/>
    <col min="517" max="527" width="11.42578125" style="122" customWidth="1"/>
    <col min="528" max="528" width="17.140625" style="122" customWidth="1"/>
    <col min="529" max="529" width="11.42578125" style="122" customWidth="1"/>
    <col min="530" max="530" width="34.28515625" style="122" bestFit="1" customWidth="1"/>
    <col min="531" max="734" width="11.42578125" style="122"/>
    <col min="735" max="735" width="8.85546875" style="122" customWidth="1"/>
    <col min="736" max="736" width="35.7109375" style="122" bestFit="1" customWidth="1"/>
    <col min="737" max="737" width="5" style="122" customWidth="1"/>
    <col min="738" max="740" width="12.85546875" style="122" bestFit="1" customWidth="1"/>
    <col min="741" max="751" width="15.140625" style="122" customWidth="1"/>
    <col min="752" max="752" width="13.85546875" style="122" customWidth="1"/>
    <col min="753" max="753" width="11.42578125" style="122" customWidth="1"/>
    <col min="754" max="754" width="12" style="122" bestFit="1" customWidth="1"/>
    <col min="755" max="755" width="31.7109375" style="122" customWidth="1"/>
    <col min="756" max="756" width="13.85546875" style="122" customWidth="1"/>
    <col min="757" max="757" width="13.42578125" style="122" customWidth="1"/>
    <col min="758" max="761" width="16.140625" style="122" bestFit="1" customWidth="1"/>
    <col min="762" max="765" width="17.42578125" style="122" bestFit="1" customWidth="1"/>
    <col min="766" max="769" width="17.42578125" style="122" customWidth="1"/>
    <col min="770" max="770" width="27.28515625" style="122" customWidth="1"/>
    <col min="771" max="771" width="15.85546875" style="122" bestFit="1" customWidth="1"/>
    <col min="772" max="772" width="12.42578125" style="122" bestFit="1" customWidth="1"/>
    <col min="773" max="783" width="11.42578125" style="122" customWidth="1"/>
    <col min="784" max="784" width="17.140625" style="122" customWidth="1"/>
    <col min="785" max="785" width="11.42578125" style="122" customWidth="1"/>
    <col min="786" max="786" width="34.28515625" style="122" bestFit="1" customWidth="1"/>
    <col min="787" max="990" width="11.42578125" style="122"/>
    <col min="991" max="991" width="8.85546875" style="122" customWidth="1"/>
    <col min="992" max="992" width="35.7109375" style="122" bestFit="1" customWidth="1"/>
    <col min="993" max="993" width="5" style="122" customWidth="1"/>
    <col min="994" max="996" width="12.85546875" style="122" bestFit="1" customWidth="1"/>
    <col min="997" max="1007" width="15.140625" style="122" customWidth="1"/>
    <col min="1008" max="1008" width="13.85546875" style="122" customWidth="1"/>
    <col min="1009" max="1009" width="11.42578125" style="122" customWidth="1"/>
    <col min="1010" max="1010" width="12" style="122" bestFit="1" customWidth="1"/>
    <col min="1011" max="1011" width="31.7109375" style="122" customWidth="1"/>
    <col min="1012" max="1012" width="13.85546875" style="122" customWidth="1"/>
    <col min="1013" max="1013" width="13.42578125" style="122" customWidth="1"/>
    <col min="1014" max="1017" width="16.140625" style="122" bestFit="1" customWidth="1"/>
    <col min="1018" max="1021" width="17.42578125" style="122" bestFit="1" customWidth="1"/>
    <col min="1022" max="1025" width="17.42578125" style="122" customWidth="1"/>
    <col min="1026" max="1026" width="27.28515625" style="122" customWidth="1"/>
    <col min="1027" max="1027" width="15.85546875" style="122" bestFit="1" customWidth="1"/>
    <col min="1028" max="1028" width="12.42578125" style="122" bestFit="1" customWidth="1"/>
    <col min="1029" max="1039" width="11.42578125" style="122" customWidth="1"/>
    <col min="1040" max="1040" width="17.140625" style="122" customWidth="1"/>
    <col min="1041" max="1041" width="11.42578125" style="122" customWidth="1"/>
    <col min="1042" max="1042" width="34.28515625" style="122" bestFit="1" customWidth="1"/>
    <col min="1043" max="1246" width="11.42578125" style="122"/>
    <col min="1247" max="1247" width="8.85546875" style="122" customWidth="1"/>
    <col min="1248" max="1248" width="35.7109375" style="122" bestFit="1" customWidth="1"/>
    <col min="1249" max="1249" width="5" style="122" customWidth="1"/>
    <col min="1250" max="1252" width="12.85546875" style="122" bestFit="1" customWidth="1"/>
    <col min="1253" max="1263" width="15.140625" style="122" customWidth="1"/>
    <col min="1264" max="1264" width="13.85546875" style="122" customWidth="1"/>
    <col min="1265" max="1265" width="11.42578125" style="122" customWidth="1"/>
    <col min="1266" max="1266" width="12" style="122" bestFit="1" customWidth="1"/>
    <col min="1267" max="1267" width="31.7109375" style="122" customWidth="1"/>
    <col min="1268" max="1268" width="13.85546875" style="122" customWidth="1"/>
    <col min="1269" max="1269" width="13.42578125" style="122" customWidth="1"/>
    <col min="1270" max="1273" width="16.140625" style="122" bestFit="1" customWidth="1"/>
    <col min="1274" max="1277" width="17.42578125" style="122" bestFit="1" customWidth="1"/>
    <col min="1278" max="1281" width="17.42578125" style="122" customWidth="1"/>
    <col min="1282" max="1282" width="27.28515625" style="122" customWidth="1"/>
    <col min="1283" max="1283" width="15.85546875" style="122" bestFit="1" customWidth="1"/>
    <col min="1284" max="1284" width="12.42578125" style="122" bestFit="1" customWidth="1"/>
    <col min="1285" max="1295" width="11.42578125" style="122" customWidth="1"/>
    <col min="1296" max="1296" width="17.140625" style="122" customWidth="1"/>
    <col min="1297" max="1297" width="11.42578125" style="122" customWidth="1"/>
    <col min="1298" max="1298" width="34.28515625" style="122" bestFit="1" customWidth="1"/>
    <col min="1299" max="1502" width="11.42578125" style="122"/>
    <col min="1503" max="1503" width="8.85546875" style="122" customWidth="1"/>
    <col min="1504" max="1504" width="35.7109375" style="122" bestFit="1" customWidth="1"/>
    <col min="1505" max="1505" width="5" style="122" customWidth="1"/>
    <col min="1506" max="1508" width="12.85546875" style="122" bestFit="1" customWidth="1"/>
    <col min="1509" max="1519" width="15.140625" style="122" customWidth="1"/>
    <col min="1520" max="1520" width="13.85546875" style="122" customWidth="1"/>
    <col min="1521" max="1521" width="11.42578125" style="122" customWidth="1"/>
    <col min="1522" max="1522" width="12" style="122" bestFit="1" customWidth="1"/>
    <col min="1523" max="1523" width="31.7109375" style="122" customWidth="1"/>
    <col min="1524" max="1524" width="13.85546875" style="122" customWidth="1"/>
    <col min="1525" max="1525" width="13.42578125" style="122" customWidth="1"/>
    <col min="1526" max="1529" width="16.140625" style="122" bestFit="1" customWidth="1"/>
    <col min="1530" max="1533" width="17.42578125" style="122" bestFit="1" customWidth="1"/>
    <col min="1534" max="1537" width="17.42578125" style="122" customWidth="1"/>
    <col min="1538" max="1538" width="27.28515625" style="122" customWidth="1"/>
    <col min="1539" max="1539" width="15.85546875" style="122" bestFit="1" customWidth="1"/>
    <col min="1540" max="1540" width="12.42578125" style="122" bestFit="1" customWidth="1"/>
    <col min="1541" max="1551" width="11.42578125" style="122" customWidth="1"/>
    <col min="1552" max="1552" width="17.140625" style="122" customWidth="1"/>
    <col min="1553" max="1553" width="11.42578125" style="122" customWidth="1"/>
    <col min="1554" max="1554" width="34.28515625" style="122" bestFit="1" customWidth="1"/>
    <col min="1555" max="1758" width="11.42578125" style="122"/>
    <col min="1759" max="1759" width="8.85546875" style="122" customWidth="1"/>
    <col min="1760" max="1760" width="35.7109375" style="122" bestFit="1" customWidth="1"/>
    <col min="1761" max="1761" width="5" style="122" customWidth="1"/>
    <col min="1762" max="1764" width="12.85546875" style="122" bestFit="1" customWidth="1"/>
    <col min="1765" max="1775" width="15.140625" style="122" customWidth="1"/>
    <col min="1776" max="1776" width="13.85546875" style="122" customWidth="1"/>
    <col min="1777" max="1777" width="11.42578125" style="122" customWidth="1"/>
    <col min="1778" max="1778" width="12" style="122" bestFit="1" customWidth="1"/>
    <col min="1779" max="1779" width="31.7109375" style="122" customWidth="1"/>
    <col min="1780" max="1780" width="13.85546875" style="122" customWidth="1"/>
    <col min="1781" max="1781" width="13.42578125" style="122" customWidth="1"/>
    <col min="1782" max="1785" width="16.140625" style="122" bestFit="1" customWidth="1"/>
    <col min="1786" max="1789" width="17.42578125" style="122" bestFit="1" customWidth="1"/>
    <col min="1790" max="1793" width="17.42578125" style="122" customWidth="1"/>
    <col min="1794" max="1794" width="27.28515625" style="122" customWidth="1"/>
    <col min="1795" max="1795" width="15.85546875" style="122" bestFit="1" customWidth="1"/>
    <col min="1796" max="1796" width="12.42578125" style="122" bestFit="1" customWidth="1"/>
    <col min="1797" max="1807" width="11.42578125" style="122" customWidth="1"/>
    <col min="1808" max="1808" width="17.140625" style="122" customWidth="1"/>
    <col min="1809" max="1809" width="11.42578125" style="122" customWidth="1"/>
    <col min="1810" max="1810" width="34.28515625" style="122" bestFit="1" customWidth="1"/>
    <col min="1811" max="2014" width="11.42578125" style="122"/>
    <col min="2015" max="2015" width="8.85546875" style="122" customWidth="1"/>
    <col min="2016" max="2016" width="35.7109375" style="122" bestFit="1" customWidth="1"/>
    <col min="2017" max="2017" width="5" style="122" customWidth="1"/>
    <col min="2018" max="2020" width="12.85546875" style="122" bestFit="1" customWidth="1"/>
    <col min="2021" max="2031" width="15.140625" style="122" customWidth="1"/>
    <col min="2032" max="2032" width="13.85546875" style="122" customWidth="1"/>
    <col min="2033" max="2033" width="11.42578125" style="122" customWidth="1"/>
    <col min="2034" max="2034" width="12" style="122" bestFit="1" customWidth="1"/>
    <col min="2035" max="2035" width="31.7109375" style="122" customWidth="1"/>
    <col min="2036" max="2036" width="13.85546875" style="122" customWidth="1"/>
    <col min="2037" max="2037" width="13.42578125" style="122" customWidth="1"/>
    <col min="2038" max="2041" width="16.140625" style="122" bestFit="1" customWidth="1"/>
    <col min="2042" max="2045" width="17.42578125" style="122" bestFit="1" customWidth="1"/>
    <col min="2046" max="2049" width="17.42578125" style="122" customWidth="1"/>
    <col min="2050" max="2050" width="27.28515625" style="122" customWidth="1"/>
    <col min="2051" max="2051" width="15.85546875" style="122" bestFit="1" customWidth="1"/>
    <col min="2052" max="2052" width="12.42578125" style="122" bestFit="1" customWidth="1"/>
    <col min="2053" max="2063" width="11.42578125" style="122" customWidth="1"/>
    <col min="2064" max="2064" width="17.140625" style="122" customWidth="1"/>
    <col min="2065" max="2065" width="11.42578125" style="122" customWidth="1"/>
    <col min="2066" max="2066" width="34.28515625" style="122" bestFit="1" customWidth="1"/>
    <col min="2067" max="2270" width="11.42578125" style="122"/>
    <col min="2271" max="2271" width="8.85546875" style="122" customWidth="1"/>
    <col min="2272" max="2272" width="35.7109375" style="122" bestFit="1" customWidth="1"/>
    <col min="2273" max="2273" width="5" style="122" customWidth="1"/>
    <col min="2274" max="2276" width="12.85546875" style="122" bestFit="1" customWidth="1"/>
    <col min="2277" max="2287" width="15.140625" style="122" customWidth="1"/>
    <col min="2288" max="2288" width="13.85546875" style="122" customWidth="1"/>
    <col min="2289" max="2289" width="11.42578125" style="122" customWidth="1"/>
    <col min="2290" max="2290" width="12" style="122" bestFit="1" customWidth="1"/>
    <col min="2291" max="2291" width="31.7109375" style="122" customWidth="1"/>
    <col min="2292" max="2292" width="13.85546875" style="122" customWidth="1"/>
    <col min="2293" max="2293" width="13.42578125" style="122" customWidth="1"/>
    <col min="2294" max="2297" width="16.140625" style="122" bestFit="1" customWidth="1"/>
    <col min="2298" max="2301" width="17.42578125" style="122" bestFit="1" customWidth="1"/>
    <col min="2302" max="2305" width="17.42578125" style="122" customWidth="1"/>
    <col min="2306" max="2306" width="27.28515625" style="122" customWidth="1"/>
    <col min="2307" max="2307" width="15.85546875" style="122" bestFit="1" customWidth="1"/>
    <col min="2308" max="2308" width="12.42578125" style="122" bestFit="1" customWidth="1"/>
    <col min="2309" max="2319" width="11.42578125" style="122" customWidth="1"/>
    <col min="2320" max="2320" width="17.140625" style="122" customWidth="1"/>
    <col min="2321" max="2321" width="11.42578125" style="122" customWidth="1"/>
    <col min="2322" max="2322" width="34.28515625" style="122" bestFit="1" customWidth="1"/>
    <col min="2323" max="2526" width="11.42578125" style="122"/>
    <col min="2527" max="2527" width="8.85546875" style="122" customWidth="1"/>
    <col min="2528" max="2528" width="35.7109375" style="122" bestFit="1" customWidth="1"/>
    <col min="2529" max="2529" width="5" style="122" customWidth="1"/>
    <col min="2530" max="2532" width="12.85546875" style="122" bestFit="1" customWidth="1"/>
    <col min="2533" max="2543" width="15.140625" style="122" customWidth="1"/>
    <col min="2544" max="2544" width="13.85546875" style="122" customWidth="1"/>
    <col min="2545" max="2545" width="11.42578125" style="122" customWidth="1"/>
    <col min="2546" max="2546" width="12" style="122" bestFit="1" customWidth="1"/>
    <col min="2547" max="2547" width="31.7109375" style="122" customWidth="1"/>
    <col min="2548" max="2548" width="13.85546875" style="122" customWidth="1"/>
    <col min="2549" max="2549" width="13.42578125" style="122" customWidth="1"/>
    <col min="2550" max="2553" width="16.140625" style="122" bestFit="1" customWidth="1"/>
    <col min="2554" max="2557" width="17.42578125" style="122" bestFit="1" customWidth="1"/>
    <col min="2558" max="2561" width="17.42578125" style="122" customWidth="1"/>
    <col min="2562" max="2562" width="27.28515625" style="122" customWidth="1"/>
    <col min="2563" max="2563" width="15.85546875" style="122" bestFit="1" customWidth="1"/>
    <col min="2564" max="2564" width="12.42578125" style="122" bestFit="1" customWidth="1"/>
    <col min="2565" max="2575" width="11.42578125" style="122" customWidth="1"/>
    <col min="2576" max="2576" width="17.140625" style="122" customWidth="1"/>
    <col min="2577" max="2577" width="11.42578125" style="122" customWidth="1"/>
    <col min="2578" max="2578" width="34.28515625" style="122" bestFit="1" customWidth="1"/>
    <col min="2579" max="2782" width="11.42578125" style="122"/>
    <col min="2783" max="2783" width="8.85546875" style="122" customWidth="1"/>
    <col min="2784" max="2784" width="35.7109375" style="122" bestFit="1" customWidth="1"/>
    <col min="2785" max="2785" width="5" style="122" customWidth="1"/>
    <col min="2786" max="2788" width="12.85546875" style="122" bestFit="1" customWidth="1"/>
    <col min="2789" max="2799" width="15.140625" style="122" customWidth="1"/>
    <col min="2800" max="2800" width="13.85546875" style="122" customWidth="1"/>
    <col min="2801" max="2801" width="11.42578125" style="122" customWidth="1"/>
    <col min="2802" max="2802" width="12" style="122" bestFit="1" customWidth="1"/>
    <col min="2803" max="2803" width="31.7109375" style="122" customWidth="1"/>
    <col min="2804" max="2804" width="13.85546875" style="122" customWidth="1"/>
    <col min="2805" max="2805" width="13.42578125" style="122" customWidth="1"/>
    <col min="2806" max="2809" width="16.140625" style="122" bestFit="1" customWidth="1"/>
    <col min="2810" max="2813" width="17.42578125" style="122" bestFit="1" customWidth="1"/>
    <col min="2814" max="2817" width="17.42578125" style="122" customWidth="1"/>
    <col min="2818" max="2818" width="27.28515625" style="122" customWidth="1"/>
    <col min="2819" max="2819" width="15.85546875" style="122" bestFit="1" customWidth="1"/>
    <col min="2820" max="2820" width="12.42578125" style="122" bestFit="1" customWidth="1"/>
    <col min="2821" max="2831" width="11.42578125" style="122" customWidth="1"/>
    <col min="2832" max="2832" width="17.140625" style="122" customWidth="1"/>
    <col min="2833" max="2833" width="11.42578125" style="122" customWidth="1"/>
    <col min="2834" max="2834" width="34.28515625" style="122" bestFit="1" customWidth="1"/>
    <col min="2835" max="3038" width="11.42578125" style="122"/>
    <col min="3039" max="3039" width="8.85546875" style="122" customWidth="1"/>
    <col min="3040" max="3040" width="35.7109375" style="122" bestFit="1" customWidth="1"/>
    <col min="3041" max="3041" width="5" style="122" customWidth="1"/>
    <col min="3042" max="3044" width="12.85546875" style="122" bestFit="1" customWidth="1"/>
    <col min="3045" max="3055" width="15.140625" style="122" customWidth="1"/>
    <col min="3056" max="3056" width="13.85546875" style="122" customWidth="1"/>
    <col min="3057" max="3057" width="11.42578125" style="122" customWidth="1"/>
    <col min="3058" max="3058" width="12" style="122" bestFit="1" customWidth="1"/>
    <col min="3059" max="3059" width="31.7109375" style="122" customWidth="1"/>
    <col min="3060" max="3060" width="13.85546875" style="122" customWidth="1"/>
    <col min="3061" max="3061" width="13.42578125" style="122" customWidth="1"/>
    <col min="3062" max="3065" width="16.140625" style="122" bestFit="1" customWidth="1"/>
    <col min="3066" max="3069" width="17.42578125" style="122" bestFit="1" customWidth="1"/>
    <col min="3070" max="3073" width="17.42578125" style="122" customWidth="1"/>
    <col min="3074" max="3074" width="27.28515625" style="122" customWidth="1"/>
    <col min="3075" max="3075" width="15.85546875" style="122" bestFit="1" customWidth="1"/>
    <col min="3076" max="3076" width="12.42578125" style="122" bestFit="1" customWidth="1"/>
    <col min="3077" max="3087" width="11.42578125" style="122" customWidth="1"/>
    <col min="3088" max="3088" width="17.140625" style="122" customWidth="1"/>
    <col min="3089" max="3089" width="11.42578125" style="122" customWidth="1"/>
    <col min="3090" max="3090" width="34.28515625" style="122" bestFit="1" customWidth="1"/>
    <col min="3091" max="3294" width="11.42578125" style="122"/>
    <col min="3295" max="3295" width="8.85546875" style="122" customWidth="1"/>
    <col min="3296" max="3296" width="35.7109375" style="122" bestFit="1" customWidth="1"/>
    <col min="3297" max="3297" width="5" style="122" customWidth="1"/>
    <col min="3298" max="3300" width="12.85546875" style="122" bestFit="1" customWidth="1"/>
    <col min="3301" max="3311" width="15.140625" style="122" customWidth="1"/>
    <col min="3312" max="3312" width="13.85546875" style="122" customWidth="1"/>
    <col min="3313" max="3313" width="11.42578125" style="122" customWidth="1"/>
    <col min="3314" max="3314" width="12" style="122" bestFit="1" customWidth="1"/>
    <col min="3315" max="3315" width="31.7109375" style="122" customWidth="1"/>
    <col min="3316" max="3316" width="13.85546875" style="122" customWidth="1"/>
    <col min="3317" max="3317" width="13.42578125" style="122" customWidth="1"/>
    <col min="3318" max="3321" width="16.140625" style="122" bestFit="1" customWidth="1"/>
    <col min="3322" max="3325" width="17.42578125" style="122" bestFit="1" customWidth="1"/>
    <col min="3326" max="3329" width="17.42578125" style="122" customWidth="1"/>
    <col min="3330" max="3330" width="27.28515625" style="122" customWidth="1"/>
    <col min="3331" max="3331" width="15.85546875" style="122" bestFit="1" customWidth="1"/>
    <col min="3332" max="3332" width="12.42578125" style="122" bestFit="1" customWidth="1"/>
    <col min="3333" max="3343" width="11.42578125" style="122" customWidth="1"/>
    <col min="3344" max="3344" width="17.140625" style="122" customWidth="1"/>
    <col min="3345" max="3345" width="11.42578125" style="122" customWidth="1"/>
    <col min="3346" max="3346" width="34.28515625" style="122" bestFit="1" customWidth="1"/>
    <col min="3347" max="3550" width="11.42578125" style="122"/>
    <col min="3551" max="3551" width="8.85546875" style="122" customWidth="1"/>
    <col min="3552" max="3552" width="35.7109375" style="122" bestFit="1" customWidth="1"/>
    <col min="3553" max="3553" width="5" style="122" customWidth="1"/>
    <col min="3554" max="3556" width="12.85546875" style="122" bestFit="1" customWidth="1"/>
    <col min="3557" max="3567" width="15.140625" style="122" customWidth="1"/>
    <col min="3568" max="3568" width="13.85546875" style="122" customWidth="1"/>
    <col min="3569" max="3569" width="11.42578125" style="122" customWidth="1"/>
    <col min="3570" max="3570" width="12" style="122" bestFit="1" customWidth="1"/>
    <col min="3571" max="3571" width="31.7109375" style="122" customWidth="1"/>
    <col min="3572" max="3572" width="13.85546875" style="122" customWidth="1"/>
    <col min="3573" max="3573" width="13.42578125" style="122" customWidth="1"/>
    <col min="3574" max="3577" width="16.140625" style="122" bestFit="1" customWidth="1"/>
    <col min="3578" max="3581" width="17.42578125" style="122" bestFit="1" customWidth="1"/>
    <col min="3582" max="3585" width="17.42578125" style="122" customWidth="1"/>
    <col min="3586" max="3586" width="27.28515625" style="122" customWidth="1"/>
    <col min="3587" max="3587" width="15.85546875" style="122" bestFit="1" customWidth="1"/>
    <col min="3588" max="3588" width="12.42578125" style="122" bestFit="1" customWidth="1"/>
    <col min="3589" max="3599" width="11.42578125" style="122" customWidth="1"/>
    <col min="3600" max="3600" width="17.140625" style="122" customWidth="1"/>
    <col min="3601" max="3601" width="11.42578125" style="122" customWidth="1"/>
    <col min="3602" max="3602" width="34.28515625" style="122" bestFit="1" customWidth="1"/>
    <col min="3603" max="3806" width="11.42578125" style="122"/>
    <col min="3807" max="3807" width="8.85546875" style="122" customWidth="1"/>
    <col min="3808" max="3808" width="35.7109375" style="122" bestFit="1" customWidth="1"/>
    <col min="3809" max="3809" width="5" style="122" customWidth="1"/>
    <col min="3810" max="3812" width="12.85546875" style="122" bestFit="1" customWidth="1"/>
    <col min="3813" max="3823" width="15.140625" style="122" customWidth="1"/>
    <col min="3824" max="3824" width="13.85546875" style="122" customWidth="1"/>
    <col min="3825" max="3825" width="11.42578125" style="122" customWidth="1"/>
    <col min="3826" max="3826" width="12" style="122" bestFit="1" customWidth="1"/>
    <col min="3827" max="3827" width="31.7109375" style="122" customWidth="1"/>
    <col min="3828" max="3828" width="13.85546875" style="122" customWidth="1"/>
    <col min="3829" max="3829" width="13.42578125" style="122" customWidth="1"/>
    <col min="3830" max="3833" width="16.140625" style="122" bestFit="1" customWidth="1"/>
    <col min="3834" max="3837" width="17.42578125" style="122" bestFit="1" customWidth="1"/>
    <col min="3838" max="3841" width="17.42578125" style="122" customWidth="1"/>
    <col min="3842" max="3842" width="27.28515625" style="122" customWidth="1"/>
    <col min="3843" max="3843" width="15.85546875" style="122" bestFit="1" customWidth="1"/>
    <col min="3844" max="3844" width="12.42578125" style="122" bestFit="1" customWidth="1"/>
    <col min="3845" max="3855" width="11.42578125" style="122" customWidth="1"/>
    <col min="3856" max="3856" width="17.140625" style="122" customWidth="1"/>
    <col min="3857" max="3857" width="11.42578125" style="122" customWidth="1"/>
    <col min="3858" max="3858" width="34.28515625" style="122" bestFit="1" customWidth="1"/>
    <col min="3859" max="4062" width="11.42578125" style="122"/>
    <col min="4063" max="4063" width="8.85546875" style="122" customWidth="1"/>
    <col min="4064" max="4064" width="35.7109375" style="122" bestFit="1" customWidth="1"/>
    <col min="4065" max="4065" width="5" style="122" customWidth="1"/>
    <col min="4066" max="4068" width="12.85546875" style="122" bestFit="1" customWidth="1"/>
    <col min="4069" max="4079" width="15.140625" style="122" customWidth="1"/>
    <col min="4080" max="4080" width="13.85546875" style="122" customWidth="1"/>
    <col min="4081" max="4081" width="11.42578125" style="122" customWidth="1"/>
    <col min="4082" max="4082" width="12" style="122" bestFit="1" customWidth="1"/>
    <col min="4083" max="4083" width="31.7109375" style="122" customWidth="1"/>
    <col min="4084" max="4084" width="13.85546875" style="122" customWidth="1"/>
    <col min="4085" max="4085" width="13.42578125" style="122" customWidth="1"/>
    <col min="4086" max="4089" width="16.140625" style="122" bestFit="1" customWidth="1"/>
    <col min="4090" max="4093" width="17.42578125" style="122" bestFit="1" customWidth="1"/>
    <col min="4094" max="4097" width="17.42578125" style="122" customWidth="1"/>
    <col min="4098" max="4098" width="27.28515625" style="122" customWidth="1"/>
    <col min="4099" max="4099" width="15.85546875" style="122" bestFit="1" customWidth="1"/>
    <col min="4100" max="4100" width="12.42578125" style="122" bestFit="1" customWidth="1"/>
    <col min="4101" max="4111" width="11.42578125" style="122" customWidth="1"/>
    <col min="4112" max="4112" width="17.140625" style="122" customWidth="1"/>
    <col min="4113" max="4113" width="11.42578125" style="122" customWidth="1"/>
    <col min="4114" max="4114" width="34.28515625" style="122" bestFit="1" customWidth="1"/>
    <col min="4115" max="4318" width="11.42578125" style="122"/>
    <col min="4319" max="4319" width="8.85546875" style="122" customWidth="1"/>
    <col min="4320" max="4320" width="35.7109375" style="122" bestFit="1" customWidth="1"/>
    <col min="4321" max="4321" width="5" style="122" customWidth="1"/>
    <col min="4322" max="4324" width="12.85546875" style="122" bestFit="1" customWidth="1"/>
    <col min="4325" max="4335" width="15.140625" style="122" customWidth="1"/>
    <col min="4336" max="4336" width="13.85546875" style="122" customWidth="1"/>
    <col min="4337" max="4337" width="11.42578125" style="122" customWidth="1"/>
    <col min="4338" max="4338" width="12" style="122" bestFit="1" customWidth="1"/>
    <col min="4339" max="4339" width="31.7109375" style="122" customWidth="1"/>
    <col min="4340" max="4340" width="13.85546875" style="122" customWidth="1"/>
    <col min="4341" max="4341" width="13.42578125" style="122" customWidth="1"/>
    <col min="4342" max="4345" width="16.140625" style="122" bestFit="1" customWidth="1"/>
    <col min="4346" max="4349" width="17.42578125" style="122" bestFit="1" customWidth="1"/>
    <col min="4350" max="4353" width="17.42578125" style="122" customWidth="1"/>
    <col min="4354" max="4354" width="27.28515625" style="122" customWidth="1"/>
    <col min="4355" max="4355" width="15.85546875" style="122" bestFit="1" customWidth="1"/>
    <col min="4356" max="4356" width="12.42578125" style="122" bestFit="1" customWidth="1"/>
    <col min="4357" max="4367" width="11.42578125" style="122" customWidth="1"/>
    <col min="4368" max="4368" width="17.140625" style="122" customWidth="1"/>
    <col min="4369" max="4369" width="11.42578125" style="122" customWidth="1"/>
    <col min="4370" max="4370" width="34.28515625" style="122" bestFit="1" customWidth="1"/>
    <col min="4371" max="4574" width="11.42578125" style="122"/>
    <col min="4575" max="4575" width="8.85546875" style="122" customWidth="1"/>
    <col min="4576" max="4576" width="35.7109375" style="122" bestFit="1" customWidth="1"/>
    <col min="4577" max="4577" width="5" style="122" customWidth="1"/>
    <col min="4578" max="4580" width="12.85546875" style="122" bestFit="1" customWidth="1"/>
    <col min="4581" max="4591" width="15.140625" style="122" customWidth="1"/>
    <col min="4592" max="4592" width="13.85546875" style="122" customWidth="1"/>
    <col min="4593" max="4593" width="11.42578125" style="122" customWidth="1"/>
    <col min="4594" max="4594" width="12" style="122" bestFit="1" customWidth="1"/>
    <col min="4595" max="4595" width="31.7109375" style="122" customWidth="1"/>
    <col min="4596" max="4596" width="13.85546875" style="122" customWidth="1"/>
    <col min="4597" max="4597" width="13.42578125" style="122" customWidth="1"/>
    <col min="4598" max="4601" width="16.140625" style="122" bestFit="1" customWidth="1"/>
    <col min="4602" max="4605" width="17.42578125" style="122" bestFit="1" customWidth="1"/>
    <col min="4606" max="4609" width="17.42578125" style="122" customWidth="1"/>
    <col min="4610" max="4610" width="27.28515625" style="122" customWidth="1"/>
    <col min="4611" max="4611" width="15.85546875" style="122" bestFit="1" customWidth="1"/>
    <col min="4612" max="4612" width="12.42578125" style="122" bestFit="1" customWidth="1"/>
    <col min="4613" max="4623" width="11.42578125" style="122" customWidth="1"/>
    <col min="4624" max="4624" width="17.140625" style="122" customWidth="1"/>
    <col min="4625" max="4625" width="11.42578125" style="122" customWidth="1"/>
    <col min="4626" max="4626" width="34.28515625" style="122" bestFit="1" customWidth="1"/>
    <col min="4627" max="4830" width="11.42578125" style="122"/>
    <col min="4831" max="4831" width="8.85546875" style="122" customWidth="1"/>
    <col min="4832" max="4832" width="35.7109375" style="122" bestFit="1" customWidth="1"/>
    <col min="4833" max="4833" width="5" style="122" customWidth="1"/>
    <col min="4834" max="4836" width="12.85546875" style="122" bestFit="1" customWidth="1"/>
    <col min="4837" max="4847" width="15.140625" style="122" customWidth="1"/>
    <col min="4848" max="4848" width="13.85546875" style="122" customWidth="1"/>
    <col min="4849" max="4849" width="11.42578125" style="122" customWidth="1"/>
    <col min="4850" max="4850" width="12" style="122" bestFit="1" customWidth="1"/>
    <col min="4851" max="4851" width="31.7109375" style="122" customWidth="1"/>
    <col min="4852" max="4852" width="13.85546875" style="122" customWidth="1"/>
    <col min="4853" max="4853" width="13.42578125" style="122" customWidth="1"/>
    <col min="4854" max="4857" width="16.140625" style="122" bestFit="1" customWidth="1"/>
    <col min="4858" max="4861" width="17.42578125" style="122" bestFit="1" customWidth="1"/>
    <col min="4862" max="4865" width="17.42578125" style="122" customWidth="1"/>
    <col min="4866" max="4866" width="27.28515625" style="122" customWidth="1"/>
    <col min="4867" max="4867" width="15.85546875" style="122" bestFit="1" customWidth="1"/>
    <col min="4868" max="4868" width="12.42578125" style="122" bestFit="1" customWidth="1"/>
    <col min="4869" max="4879" width="11.42578125" style="122" customWidth="1"/>
    <col min="4880" max="4880" width="17.140625" style="122" customWidth="1"/>
    <col min="4881" max="4881" width="11.42578125" style="122" customWidth="1"/>
    <col min="4882" max="4882" width="34.28515625" style="122" bestFit="1" customWidth="1"/>
    <col min="4883" max="5086" width="11.42578125" style="122"/>
    <col min="5087" max="5087" width="8.85546875" style="122" customWidth="1"/>
    <col min="5088" max="5088" width="35.7109375" style="122" bestFit="1" customWidth="1"/>
    <col min="5089" max="5089" width="5" style="122" customWidth="1"/>
    <col min="5090" max="5092" width="12.85546875" style="122" bestFit="1" customWidth="1"/>
    <col min="5093" max="5103" width="15.140625" style="122" customWidth="1"/>
    <col min="5104" max="5104" width="13.85546875" style="122" customWidth="1"/>
    <col min="5105" max="5105" width="11.42578125" style="122" customWidth="1"/>
    <col min="5106" max="5106" width="12" style="122" bestFit="1" customWidth="1"/>
    <col min="5107" max="5107" width="31.7109375" style="122" customWidth="1"/>
    <col min="5108" max="5108" width="13.85546875" style="122" customWidth="1"/>
    <col min="5109" max="5109" width="13.42578125" style="122" customWidth="1"/>
    <col min="5110" max="5113" width="16.140625" style="122" bestFit="1" customWidth="1"/>
    <col min="5114" max="5117" width="17.42578125" style="122" bestFit="1" customWidth="1"/>
    <col min="5118" max="5121" width="17.42578125" style="122" customWidth="1"/>
    <col min="5122" max="5122" width="27.28515625" style="122" customWidth="1"/>
    <col min="5123" max="5123" width="15.85546875" style="122" bestFit="1" customWidth="1"/>
    <col min="5124" max="5124" width="12.42578125" style="122" bestFit="1" customWidth="1"/>
    <col min="5125" max="5135" width="11.42578125" style="122" customWidth="1"/>
    <col min="5136" max="5136" width="17.140625" style="122" customWidth="1"/>
    <col min="5137" max="5137" width="11.42578125" style="122" customWidth="1"/>
    <col min="5138" max="5138" width="34.28515625" style="122" bestFit="1" customWidth="1"/>
    <col min="5139" max="5342" width="11.42578125" style="122"/>
    <col min="5343" max="5343" width="8.85546875" style="122" customWidth="1"/>
    <col min="5344" max="5344" width="35.7109375" style="122" bestFit="1" customWidth="1"/>
    <col min="5345" max="5345" width="5" style="122" customWidth="1"/>
    <col min="5346" max="5348" width="12.85546875" style="122" bestFit="1" customWidth="1"/>
    <col min="5349" max="5359" width="15.140625" style="122" customWidth="1"/>
    <col min="5360" max="5360" width="13.85546875" style="122" customWidth="1"/>
    <col min="5361" max="5361" width="11.42578125" style="122" customWidth="1"/>
    <col min="5362" max="5362" width="12" style="122" bestFit="1" customWidth="1"/>
    <col min="5363" max="5363" width="31.7109375" style="122" customWidth="1"/>
    <col min="5364" max="5364" width="13.85546875" style="122" customWidth="1"/>
    <col min="5365" max="5365" width="13.42578125" style="122" customWidth="1"/>
    <col min="5366" max="5369" width="16.140625" style="122" bestFit="1" customWidth="1"/>
    <col min="5370" max="5373" width="17.42578125" style="122" bestFit="1" customWidth="1"/>
    <col min="5374" max="5377" width="17.42578125" style="122" customWidth="1"/>
    <col min="5378" max="5378" width="27.28515625" style="122" customWidth="1"/>
    <col min="5379" max="5379" width="15.85546875" style="122" bestFit="1" customWidth="1"/>
    <col min="5380" max="5380" width="12.42578125" style="122" bestFit="1" customWidth="1"/>
    <col min="5381" max="5391" width="11.42578125" style="122" customWidth="1"/>
    <col min="5392" max="5392" width="17.140625" style="122" customWidth="1"/>
    <col min="5393" max="5393" width="11.42578125" style="122" customWidth="1"/>
    <col min="5394" max="5394" width="34.28515625" style="122" bestFit="1" customWidth="1"/>
    <col min="5395" max="5598" width="11.42578125" style="122"/>
    <col min="5599" max="5599" width="8.85546875" style="122" customWidth="1"/>
    <col min="5600" max="5600" width="35.7109375" style="122" bestFit="1" customWidth="1"/>
    <col min="5601" max="5601" width="5" style="122" customWidth="1"/>
    <col min="5602" max="5604" width="12.85546875" style="122" bestFit="1" customWidth="1"/>
    <col min="5605" max="5615" width="15.140625" style="122" customWidth="1"/>
    <col min="5616" max="5616" width="13.85546875" style="122" customWidth="1"/>
    <col min="5617" max="5617" width="11.42578125" style="122" customWidth="1"/>
    <col min="5618" max="5618" width="12" style="122" bestFit="1" customWidth="1"/>
    <col min="5619" max="5619" width="31.7109375" style="122" customWidth="1"/>
    <col min="5620" max="5620" width="13.85546875" style="122" customWidth="1"/>
    <col min="5621" max="5621" width="13.42578125" style="122" customWidth="1"/>
    <col min="5622" max="5625" width="16.140625" style="122" bestFit="1" customWidth="1"/>
    <col min="5626" max="5629" width="17.42578125" style="122" bestFit="1" customWidth="1"/>
    <col min="5630" max="5633" width="17.42578125" style="122" customWidth="1"/>
    <col min="5634" max="5634" width="27.28515625" style="122" customWidth="1"/>
    <col min="5635" max="5635" width="15.85546875" style="122" bestFit="1" customWidth="1"/>
    <col min="5636" max="5636" width="12.42578125" style="122" bestFit="1" customWidth="1"/>
    <col min="5637" max="5647" width="11.42578125" style="122" customWidth="1"/>
    <col min="5648" max="5648" width="17.140625" style="122" customWidth="1"/>
    <col min="5649" max="5649" width="11.42578125" style="122" customWidth="1"/>
    <col min="5650" max="5650" width="34.28515625" style="122" bestFit="1" customWidth="1"/>
    <col min="5651" max="5854" width="11.42578125" style="122"/>
    <col min="5855" max="5855" width="8.85546875" style="122" customWidth="1"/>
    <col min="5856" max="5856" width="35.7109375" style="122" bestFit="1" customWidth="1"/>
    <col min="5857" max="5857" width="5" style="122" customWidth="1"/>
    <col min="5858" max="5860" width="12.85546875" style="122" bestFit="1" customWidth="1"/>
    <col min="5861" max="5871" width="15.140625" style="122" customWidth="1"/>
    <col min="5872" max="5872" width="13.85546875" style="122" customWidth="1"/>
    <col min="5873" max="5873" width="11.42578125" style="122" customWidth="1"/>
    <col min="5874" max="5874" width="12" style="122" bestFit="1" customWidth="1"/>
    <col min="5875" max="5875" width="31.7109375" style="122" customWidth="1"/>
    <col min="5876" max="5876" width="13.85546875" style="122" customWidth="1"/>
    <col min="5877" max="5877" width="13.42578125" style="122" customWidth="1"/>
    <col min="5878" max="5881" width="16.140625" style="122" bestFit="1" customWidth="1"/>
    <col min="5882" max="5885" width="17.42578125" style="122" bestFit="1" customWidth="1"/>
    <col min="5886" max="5889" width="17.42578125" style="122" customWidth="1"/>
    <col min="5890" max="5890" width="27.28515625" style="122" customWidth="1"/>
    <col min="5891" max="5891" width="15.85546875" style="122" bestFit="1" customWidth="1"/>
    <col min="5892" max="5892" width="12.42578125" style="122" bestFit="1" customWidth="1"/>
    <col min="5893" max="5903" width="11.42578125" style="122" customWidth="1"/>
    <col min="5904" max="5904" width="17.140625" style="122" customWidth="1"/>
    <col min="5905" max="5905" width="11.42578125" style="122" customWidth="1"/>
    <col min="5906" max="5906" width="34.28515625" style="122" bestFit="1" customWidth="1"/>
    <col min="5907" max="6110" width="11.42578125" style="122"/>
    <col min="6111" max="6111" width="8.85546875" style="122" customWidth="1"/>
    <col min="6112" max="6112" width="35.7109375" style="122" bestFit="1" customWidth="1"/>
    <col min="6113" max="6113" width="5" style="122" customWidth="1"/>
    <col min="6114" max="6116" width="12.85546875" style="122" bestFit="1" customWidth="1"/>
    <col min="6117" max="6127" width="15.140625" style="122" customWidth="1"/>
    <col min="6128" max="6128" width="13.85546875" style="122" customWidth="1"/>
    <col min="6129" max="6129" width="11.42578125" style="122" customWidth="1"/>
    <col min="6130" max="6130" width="12" style="122" bestFit="1" customWidth="1"/>
    <col min="6131" max="6131" width="31.7109375" style="122" customWidth="1"/>
    <col min="6132" max="6132" width="13.85546875" style="122" customWidth="1"/>
    <col min="6133" max="6133" width="13.42578125" style="122" customWidth="1"/>
    <col min="6134" max="6137" width="16.140625" style="122" bestFit="1" customWidth="1"/>
    <col min="6138" max="6141" width="17.42578125" style="122" bestFit="1" customWidth="1"/>
    <col min="6142" max="6145" width="17.42578125" style="122" customWidth="1"/>
    <col min="6146" max="6146" width="27.28515625" style="122" customWidth="1"/>
    <col min="6147" max="6147" width="15.85546875" style="122" bestFit="1" customWidth="1"/>
    <col min="6148" max="6148" width="12.42578125" style="122" bestFit="1" customWidth="1"/>
    <col min="6149" max="6159" width="11.42578125" style="122" customWidth="1"/>
    <col min="6160" max="6160" width="17.140625" style="122" customWidth="1"/>
    <col min="6161" max="6161" width="11.42578125" style="122" customWidth="1"/>
    <col min="6162" max="6162" width="34.28515625" style="122" bestFit="1" customWidth="1"/>
    <col min="6163" max="6366" width="11.42578125" style="122"/>
    <col min="6367" max="6367" width="8.85546875" style="122" customWidth="1"/>
    <col min="6368" max="6368" width="35.7109375" style="122" bestFit="1" customWidth="1"/>
    <col min="6369" max="6369" width="5" style="122" customWidth="1"/>
    <col min="6370" max="6372" width="12.85546875" style="122" bestFit="1" customWidth="1"/>
    <col min="6373" max="6383" width="15.140625" style="122" customWidth="1"/>
    <col min="6384" max="6384" width="13.85546875" style="122" customWidth="1"/>
    <col min="6385" max="6385" width="11.42578125" style="122" customWidth="1"/>
    <col min="6386" max="6386" width="12" style="122" bestFit="1" customWidth="1"/>
    <col min="6387" max="6387" width="31.7109375" style="122" customWidth="1"/>
    <col min="6388" max="6388" width="13.85546875" style="122" customWidth="1"/>
    <col min="6389" max="6389" width="13.42578125" style="122" customWidth="1"/>
    <col min="6390" max="6393" width="16.140625" style="122" bestFit="1" customWidth="1"/>
    <col min="6394" max="6397" width="17.42578125" style="122" bestFit="1" customWidth="1"/>
    <col min="6398" max="6401" width="17.42578125" style="122" customWidth="1"/>
    <col min="6402" max="6402" width="27.28515625" style="122" customWidth="1"/>
    <col min="6403" max="6403" width="15.85546875" style="122" bestFit="1" customWidth="1"/>
    <col min="6404" max="6404" width="12.42578125" style="122" bestFit="1" customWidth="1"/>
    <col min="6405" max="6415" width="11.42578125" style="122" customWidth="1"/>
    <col min="6416" max="6416" width="17.140625" style="122" customWidth="1"/>
    <col min="6417" max="6417" width="11.42578125" style="122" customWidth="1"/>
    <col min="6418" max="6418" width="34.28515625" style="122" bestFit="1" customWidth="1"/>
    <col min="6419" max="6622" width="11.42578125" style="122"/>
    <col min="6623" max="6623" width="8.85546875" style="122" customWidth="1"/>
    <col min="6624" max="6624" width="35.7109375" style="122" bestFit="1" customWidth="1"/>
    <col min="6625" max="6625" width="5" style="122" customWidth="1"/>
    <col min="6626" max="6628" width="12.85546875" style="122" bestFit="1" customWidth="1"/>
    <col min="6629" max="6639" width="15.140625" style="122" customWidth="1"/>
    <col min="6640" max="6640" width="13.85546875" style="122" customWidth="1"/>
    <col min="6641" max="6641" width="11.42578125" style="122" customWidth="1"/>
    <col min="6642" max="6642" width="12" style="122" bestFit="1" customWidth="1"/>
    <col min="6643" max="6643" width="31.7109375" style="122" customWidth="1"/>
    <col min="6644" max="6644" width="13.85546875" style="122" customWidth="1"/>
    <col min="6645" max="6645" width="13.42578125" style="122" customWidth="1"/>
    <col min="6646" max="6649" width="16.140625" style="122" bestFit="1" customWidth="1"/>
    <col min="6650" max="6653" width="17.42578125" style="122" bestFit="1" customWidth="1"/>
    <col min="6654" max="6657" width="17.42578125" style="122" customWidth="1"/>
    <col min="6658" max="6658" width="27.28515625" style="122" customWidth="1"/>
    <col min="6659" max="6659" width="15.85546875" style="122" bestFit="1" customWidth="1"/>
    <col min="6660" max="6660" width="12.42578125" style="122" bestFit="1" customWidth="1"/>
    <col min="6661" max="6671" width="11.42578125" style="122" customWidth="1"/>
    <col min="6672" max="6672" width="17.140625" style="122" customWidth="1"/>
    <col min="6673" max="6673" width="11.42578125" style="122" customWidth="1"/>
    <col min="6674" max="6674" width="34.28515625" style="122" bestFit="1" customWidth="1"/>
    <col min="6675" max="6878" width="11.42578125" style="122"/>
    <col min="6879" max="6879" width="8.85546875" style="122" customWidth="1"/>
    <col min="6880" max="6880" width="35.7109375" style="122" bestFit="1" customWidth="1"/>
    <col min="6881" max="6881" width="5" style="122" customWidth="1"/>
    <col min="6882" max="6884" width="12.85546875" style="122" bestFit="1" customWidth="1"/>
    <col min="6885" max="6895" width="15.140625" style="122" customWidth="1"/>
    <col min="6896" max="6896" width="13.85546875" style="122" customWidth="1"/>
    <col min="6897" max="6897" width="11.42578125" style="122" customWidth="1"/>
    <col min="6898" max="6898" width="12" style="122" bestFit="1" customWidth="1"/>
    <col min="6899" max="6899" width="31.7109375" style="122" customWidth="1"/>
    <col min="6900" max="6900" width="13.85546875" style="122" customWidth="1"/>
    <col min="6901" max="6901" width="13.42578125" style="122" customWidth="1"/>
    <col min="6902" max="6905" width="16.140625" style="122" bestFit="1" customWidth="1"/>
    <col min="6906" max="6909" width="17.42578125" style="122" bestFit="1" customWidth="1"/>
    <col min="6910" max="6913" width="17.42578125" style="122" customWidth="1"/>
    <col min="6914" max="6914" width="27.28515625" style="122" customWidth="1"/>
    <col min="6915" max="6915" width="15.85546875" style="122" bestFit="1" customWidth="1"/>
    <col min="6916" max="6916" width="12.42578125" style="122" bestFit="1" customWidth="1"/>
    <col min="6917" max="6927" width="11.42578125" style="122" customWidth="1"/>
    <col min="6928" max="6928" width="17.140625" style="122" customWidth="1"/>
    <col min="6929" max="6929" width="11.42578125" style="122" customWidth="1"/>
    <col min="6930" max="6930" width="34.28515625" style="122" bestFit="1" customWidth="1"/>
    <col min="6931" max="7134" width="11.42578125" style="122"/>
    <col min="7135" max="7135" width="8.85546875" style="122" customWidth="1"/>
    <col min="7136" max="7136" width="35.7109375" style="122" bestFit="1" customWidth="1"/>
    <col min="7137" max="7137" width="5" style="122" customWidth="1"/>
    <col min="7138" max="7140" width="12.85546875" style="122" bestFit="1" customWidth="1"/>
    <col min="7141" max="7151" width="15.140625" style="122" customWidth="1"/>
    <col min="7152" max="7152" width="13.85546875" style="122" customWidth="1"/>
    <col min="7153" max="7153" width="11.42578125" style="122" customWidth="1"/>
    <col min="7154" max="7154" width="12" style="122" bestFit="1" customWidth="1"/>
    <col min="7155" max="7155" width="31.7109375" style="122" customWidth="1"/>
    <col min="7156" max="7156" width="13.85546875" style="122" customWidth="1"/>
    <col min="7157" max="7157" width="13.42578125" style="122" customWidth="1"/>
    <col min="7158" max="7161" width="16.140625" style="122" bestFit="1" customWidth="1"/>
    <col min="7162" max="7165" width="17.42578125" style="122" bestFit="1" customWidth="1"/>
    <col min="7166" max="7169" width="17.42578125" style="122" customWidth="1"/>
    <col min="7170" max="7170" width="27.28515625" style="122" customWidth="1"/>
    <col min="7171" max="7171" width="15.85546875" style="122" bestFit="1" customWidth="1"/>
    <col min="7172" max="7172" width="12.42578125" style="122" bestFit="1" customWidth="1"/>
    <col min="7173" max="7183" width="11.42578125" style="122" customWidth="1"/>
    <col min="7184" max="7184" width="17.140625" style="122" customWidth="1"/>
    <col min="7185" max="7185" width="11.42578125" style="122" customWidth="1"/>
    <col min="7186" max="7186" width="34.28515625" style="122" bestFit="1" customWidth="1"/>
    <col min="7187" max="7390" width="11.42578125" style="122"/>
    <col min="7391" max="7391" width="8.85546875" style="122" customWidth="1"/>
    <col min="7392" max="7392" width="35.7109375" style="122" bestFit="1" customWidth="1"/>
    <col min="7393" max="7393" width="5" style="122" customWidth="1"/>
    <col min="7394" max="7396" width="12.85546875" style="122" bestFit="1" customWidth="1"/>
    <col min="7397" max="7407" width="15.140625" style="122" customWidth="1"/>
    <col min="7408" max="7408" width="13.85546875" style="122" customWidth="1"/>
    <col min="7409" max="7409" width="11.42578125" style="122" customWidth="1"/>
    <col min="7410" max="7410" width="12" style="122" bestFit="1" customWidth="1"/>
    <col min="7411" max="7411" width="31.7109375" style="122" customWidth="1"/>
    <col min="7412" max="7412" width="13.85546875" style="122" customWidth="1"/>
    <col min="7413" max="7413" width="13.42578125" style="122" customWidth="1"/>
    <col min="7414" max="7417" width="16.140625" style="122" bestFit="1" customWidth="1"/>
    <col min="7418" max="7421" width="17.42578125" style="122" bestFit="1" customWidth="1"/>
    <col min="7422" max="7425" width="17.42578125" style="122" customWidth="1"/>
    <col min="7426" max="7426" width="27.28515625" style="122" customWidth="1"/>
    <col min="7427" max="7427" width="15.85546875" style="122" bestFit="1" customWidth="1"/>
    <col min="7428" max="7428" width="12.42578125" style="122" bestFit="1" customWidth="1"/>
    <col min="7429" max="7439" width="11.42578125" style="122" customWidth="1"/>
    <col min="7440" max="7440" width="17.140625" style="122" customWidth="1"/>
    <col min="7441" max="7441" width="11.42578125" style="122" customWidth="1"/>
    <col min="7442" max="7442" width="34.28515625" style="122" bestFit="1" customWidth="1"/>
    <col min="7443" max="7646" width="11.42578125" style="122"/>
    <col min="7647" max="7647" width="8.85546875" style="122" customWidth="1"/>
    <col min="7648" max="7648" width="35.7109375" style="122" bestFit="1" customWidth="1"/>
    <col min="7649" max="7649" width="5" style="122" customWidth="1"/>
    <col min="7650" max="7652" width="12.85546875" style="122" bestFit="1" customWidth="1"/>
    <col min="7653" max="7663" width="15.140625" style="122" customWidth="1"/>
    <col min="7664" max="7664" width="13.85546875" style="122" customWidth="1"/>
    <col min="7665" max="7665" width="11.42578125" style="122" customWidth="1"/>
    <col min="7666" max="7666" width="12" style="122" bestFit="1" customWidth="1"/>
    <col min="7667" max="7667" width="31.7109375" style="122" customWidth="1"/>
    <col min="7668" max="7668" width="13.85546875" style="122" customWidth="1"/>
    <col min="7669" max="7669" width="13.42578125" style="122" customWidth="1"/>
    <col min="7670" max="7673" width="16.140625" style="122" bestFit="1" customWidth="1"/>
    <col min="7674" max="7677" width="17.42578125" style="122" bestFit="1" customWidth="1"/>
    <col min="7678" max="7681" width="17.42578125" style="122" customWidth="1"/>
    <col min="7682" max="7682" width="27.28515625" style="122" customWidth="1"/>
    <col min="7683" max="7683" width="15.85546875" style="122" bestFit="1" customWidth="1"/>
    <col min="7684" max="7684" width="12.42578125" style="122" bestFit="1" customWidth="1"/>
    <col min="7685" max="7695" width="11.42578125" style="122" customWidth="1"/>
    <col min="7696" max="7696" width="17.140625" style="122" customWidth="1"/>
    <col min="7697" max="7697" width="11.42578125" style="122" customWidth="1"/>
    <col min="7698" max="7698" width="34.28515625" style="122" bestFit="1" customWidth="1"/>
    <col min="7699" max="7902" width="11.42578125" style="122"/>
    <col min="7903" max="7903" width="8.85546875" style="122" customWidth="1"/>
    <col min="7904" max="7904" width="35.7109375" style="122" bestFit="1" customWidth="1"/>
    <col min="7905" max="7905" width="5" style="122" customWidth="1"/>
    <col min="7906" max="7908" width="12.85546875" style="122" bestFit="1" customWidth="1"/>
    <col min="7909" max="7919" width="15.140625" style="122" customWidth="1"/>
    <col min="7920" max="7920" width="13.85546875" style="122" customWidth="1"/>
    <col min="7921" max="7921" width="11.42578125" style="122" customWidth="1"/>
    <col min="7922" max="7922" width="12" style="122" bestFit="1" customWidth="1"/>
    <col min="7923" max="7923" width="31.7109375" style="122" customWidth="1"/>
    <col min="7924" max="7924" width="13.85546875" style="122" customWidth="1"/>
    <col min="7925" max="7925" width="13.42578125" style="122" customWidth="1"/>
    <col min="7926" max="7929" width="16.140625" style="122" bestFit="1" customWidth="1"/>
    <col min="7930" max="7933" width="17.42578125" style="122" bestFit="1" customWidth="1"/>
    <col min="7934" max="7937" width="17.42578125" style="122" customWidth="1"/>
    <col min="7938" max="7938" width="27.28515625" style="122" customWidth="1"/>
    <col min="7939" max="7939" width="15.85546875" style="122" bestFit="1" customWidth="1"/>
    <col min="7940" max="7940" width="12.42578125" style="122" bestFit="1" customWidth="1"/>
    <col min="7941" max="7951" width="11.42578125" style="122" customWidth="1"/>
    <col min="7952" max="7952" width="17.140625" style="122" customWidth="1"/>
    <col min="7953" max="7953" width="11.42578125" style="122" customWidth="1"/>
    <col min="7954" max="7954" width="34.28515625" style="122" bestFit="1" customWidth="1"/>
    <col min="7955" max="8158" width="11.42578125" style="122"/>
    <col min="8159" max="8159" width="8.85546875" style="122" customWidth="1"/>
    <col min="8160" max="8160" width="35.7109375" style="122" bestFit="1" customWidth="1"/>
    <col min="8161" max="8161" width="5" style="122" customWidth="1"/>
    <col min="8162" max="8164" width="12.85546875" style="122" bestFit="1" customWidth="1"/>
    <col min="8165" max="8175" width="15.140625" style="122" customWidth="1"/>
    <col min="8176" max="8176" width="13.85546875" style="122" customWidth="1"/>
    <col min="8177" max="8177" width="11.42578125" style="122" customWidth="1"/>
    <col min="8178" max="8178" width="12" style="122" bestFit="1" customWidth="1"/>
    <col min="8179" max="8179" width="31.7109375" style="122" customWidth="1"/>
    <col min="8180" max="8180" width="13.85546875" style="122" customWidth="1"/>
    <col min="8181" max="8181" width="13.42578125" style="122" customWidth="1"/>
    <col min="8182" max="8185" width="16.140625" style="122" bestFit="1" customWidth="1"/>
    <col min="8186" max="8189" width="17.42578125" style="122" bestFit="1" customWidth="1"/>
    <col min="8190" max="8193" width="17.42578125" style="122" customWidth="1"/>
    <col min="8194" max="8194" width="27.28515625" style="122" customWidth="1"/>
    <col min="8195" max="8195" width="15.85546875" style="122" bestFit="1" customWidth="1"/>
    <col min="8196" max="8196" width="12.42578125" style="122" bestFit="1" customWidth="1"/>
    <col min="8197" max="8207" width="11.42578125" style="122" customWidth="1"/>
    <col min="8208" max="8208" width="17.140625" style="122" customWidth="1"/>
    <col min="8209" max="8209" width="11.42578125" style="122" customWidth="1"/>
    <col min="8210" max="8210" width="34.28515625" style="122" bestFit="1" customWidth="1"/>
    <col min="8211" max="8414" width="11.42578125" style="122"/>
    <col min="8415" max="8415" width="8.85546875" style="122" customWidth="1"/>
    <col min="8416" max="8416" width="35.7109375" style="122" bestFit="1" customWidth="1"/>
    <col min="8417" max="8417" width="5" style="122" customWidth="1"/>
    <col min="8418" max="8420" width="12.85546875" style="122" bestFit="1" customWidth="1"/>
    <col min="8421" max="8431" width="15.140625" style="122" customWidth="1"/>
    <col min="8432" max="8432" width="13.85546875" style="122" customWidth="1"/>
    <col min="8433" max="8433" width="11.42578125" style="122" customWidth="1"/>
    <col min="8434" max="8434" width="12" style="122" bestFit="1" customWidth="1"/>
    <col min="8435" max="8435" width="31.7109375" style="122" customWidth="1"/>
    <col min="8436" max="8436" width="13.85546875" style="122" customWidth="1"/>
    <col min="8437" max="8437" width="13.42578125" style="122" customWidth="1"/>
    <col min="8438" max="8441" width="16.140625" style="122" bestFit="1" customWidth="1"/>
    <col min="8442" max="8445" width="17.42578125" style="122" bestFit="1" customWidth="1"/>
    <col min="8446" max="8449" width="17.42578125" style="122" customWidth="1"/>
    <col min="8450" max="8450" width="27.28515625" style="122" customWidth="1"/>
    <col min="8451" max="8451" width="15.85546875" style="122" bestFit="1" customWidth="1"/>
    <col min="8452" max="8452" width="12.42578125" style="122" bestFit="1" customWidth="1"/>
    <col min="8453" max="8463" width="11.42578125" style="122" customWidth="1"/>
    <col min="8464" max="8464" width="17.140625" style="122" customWidth="1"/>
    <col min="8465" max="8465" width="11.42578125" style="122" customWidth="1"/>
    <col min="8466" max="8466" width="34.28515625" style="122" bestFit="1" customWidth="1"/>
    <col min="8467" max="8670" width="11.42578125" style="122"/>
    <col min="8671" max="8671" width="8.85546875" style="122" customWidth="1"/>
    <col min="8672" max="8672" width="35.7109375" style="122" bestFit="1" customWidth="1"/>
    <col min="8673" max="8673" width="5" style="122" customWidth="1"/>
    <col min="8674" max="8676" width="12.85546875" style="122" bestFit="1" customWidth="1"/>
    <col min="8677" max="8687" width="15.140625" style="122" customWidth="1"/>
    <col min="8688" max="8688" width="13.85546875" style="122" customWidth="1"/>
    <col min="8689" max="8689" width="11.42578125" style="122" customWidth="1"/>
    <col min="8690" max="8690" width="12" style="122" bestFit="1" customWidth="1"/>
    <col min="8691" max="8691" width="31.7109375" style="122" customWidth="1"/>
    <col min="8692" max="8692" width="13.85546875" style="122" customWidth="1"/>
    <col min="8693" max="8693" width="13.42578125" style="122" customWidth="1"/>
    <col min="8694" max="8697" width="16.140625" style="122" bestFit="1" customWidth="1"/>
    <col min="8698" max="8701" width="17.42578125" style="122" bestFit="1" customWidth="1"/>
    <col min="8702" max="8705" width="17.42578125" style="122" customWidth="1"/>
    <col min="8706" max="8706" width="27.28515625" style="122" customWidth="1"/>
    <col min="8707" max="8707" width="15.85546875" style="122" bestFit="1" customWidth="1"/>
    <col min="8708" max="8708" width="12.42578125" style="122" bestFit="1" customWidth="1"/>
    <col min="8709" max="8719" width="11.42578125" style="122" customWidth="1"/>
    <col min="8720" max="8720" width="17.140625" style="122" customWidth="1"/>
    <col min="8721" max="8721" width="11.42578125" style="122" customWidth="1"/>
    <col min="8722" max="8722" width="34.28515625" style="122" bestFit="1" customWidth="1"/>
    <col min="8723" max="8926" width="11.42578125" style="122"/>
    <col min="8927" max="8927" width="8.85546875" style="122" customWidth="1"/>
    <col min="8928" max="8928" width="35.7109375" style="122" bestFit="1" customWidth="1"/>
    <col min="8929" max="8929" width="5" style="122" customWidth="1"/>
    <col min="8930" max="8932" width="12.85546875" style="122" bestFit="1" customWidth="1"/>
    <col min="8933" max="8943" width="15.140625" style="122" customWidth="1"/>
    <col min="8944" max="8944" width="13.85546875" style="122" customWidth="1"/>
    <col min="8945" max="8945" width="11.42578125" style="122" customWidth="1"/>
    <col min="8946" max="8946" width="12" style="122" bestFit="1" customWidth="1"/>
    <col min="8947" max="8947" width="31.7109375" style="122" customWidth="1"/>
    <col min="8948" max="8948" width="13.85546875" style="122" customWidth="1"/>
    <col min="8949" max="8949" width="13.42578125" style="122" customWidth="1"/>
    <col min="8950" max="8953" width="16.140625" style="122" bestFit="1" customWidth="1"/>
    <col min="8954" max="8957" width="17.42578125" style="122" bestFit="1" customWidth="1"/>
    <col min="8958" max="8961" width="17.42578125" style="122" customWidth="1"/>
    <col min="8962" max="8962" width="27.28515625" style="122" customWidth="1"/>
    <col min="8963" max="8963" width="15.85546875" style="122" bestFit="1" customWidth="1"/>
    <col min="8964" max="8964" width="12.42578125" style="122" bestFit="1" customWidth="1"/>
    <col min="8965" max="8975" width="11.42578125" style="122" customWidth="1"/>
    <col min="8976" max="8976" width="17.140625" style="122" customWidth="1"/>
    <col min="8977" max="8977" width="11.42578125" style="122" customWidth="1"/>
    <col min="8978" max="8978" width="34.28515625" style="122" bestFit="1" customWidth="1"/>
    <col min="8979" max="9182" width="11.42578125" style="122"/>
    <col min="9183" max="9183" width="8.85546875" style="122" customWidth="1"/>
    <col min="9184" max="9184" width="35.7109375" style="122" bestFit="1" customWidth="1"/>
    <col min="9185" max="9185" width="5" style="122" customWidth="1"/>
    <col min="9186" max="9188" width="12.85546875" style="122" bestFit="1" customWidth="1"/>
    <col min="9189" max="9199" width="15.140625" style="122" customWidth="1"/>
    <col min="9200" max="9200" width="13.85546875" style="122" customWidth="1"/>
    <col min="9201" max="9201" width="11.42578125" style="122" customWidth="1"/>
    <col min="9202" max="9202" width="12" style="122" bestFit="1" customWidth="1"/>
    <col min="9203" max="9203" width="31.7109375" style="122" customWidth="1"/>
    <col min="9204" max="9204" width="13.85546875" style="122" customWidth="1"/>
    <col min="9205" max="9205" width="13.42578125" style="122" customWidth="1"/>
    <col min="9206" max="9209" width="16.140625" style="122" bestFit="1" customWidth="1"/>
    <col min="9210" max="9213" width="17.42578125" style="122" bestFit="1" customWidth="1"/>
    <col min="9214" max="9217" width="17.42578125" style="122" customWidth="1"/>
    <col min="9218" max="9218" width="27.28515625" style="122" customWidth="1"/>
    <col min="9219" max="9219" width="15.85546875" style="122" bestFit="1" customWidth="1"/>
    <col min="9220" max="9220" width="12.42578125" style="122" bestFit="1" customWidth="1"/>
    <col min="9221" max="9231" width="11.42578125" style="122" customWidth="1"/>
    <col min="9232" max="9232" width="17.140625" style="122" customWidth="1"/>
    <col min="9233" max="9233" width="11.42578125" style="122" customWidth="1"/>
    <col min="9234" max="9234" width="34.28515625" style="122" bestFit="1" customWidth="1"/>
    <col min="9235" max="9438" width="11.42578125" style="122"/>
    <col min="9439" max="9439" width="8.85546875" style="122" customWidth="1"/>
    <col min="9440" max="9440" width="35.7109375" style="122" bestFit="1" customWidth="1"/>
    <col min="9441" max="9441" width="5" style="122" customWidth="1"/>
    <col min="9442" max="9444" width="12.85546875" style="122" bestFit="1" customWidth="1"/>
    <col min="9445" max="9455" width="15.140625" style="122" customWidth="1"/>
    <col min="9456" max="9456" width="13.85546875" style="122" customWidth="1"/>
    <col min="9457" max="9457" width="11.42578125" style="122" customWidth="1"/>
    <col min="9458" max="9458" width="12" style="122" bestFit="1" customWidth="1"/>
    <col min="9459" max="9459" width="31.7109375" style="122" customWidth="1"/>
    <col min="9460" max="9460" width="13.85546875" style="122" customWidth="1"/>
    <col min="9461" max="9461" width="13.42578125" style="122" customWidth="1"/>
    <col min="9462" max="9465" width="16.140625" style="122" bestFit="1" customWidth="1"/>
    <col min="9466" max="9469" width="17.42578125" style="122" bestFit="1" customWidth="1"/>
    <col min="9470" max="9473" width="17.42578125" style="122" customWidth="1"/>
    <col min="9474" max="9474" width="27.28515625" style="122" customWidth="1"/>
    <col min="9475" max="9475" width="15.85546875" style="122" bestFit="1" customWidth="1"/>
    <col min="9476" max="9476" width="12.42578125" style="122" bestFit="1" customWidth="1"/>
    <col min="9477" max="9487" width="11.42578125" style="122" customWidth="1"/>
    <col min="9488" max="9488" width="17.140625" style="122" customWidth="1"/>
    <col min="9489" max="9489" width="11.42578125" style="122" customWidth="1"/>
    <col min="9490" max="9490" width="34.28515625" style="122" bestFit="1" customWidth="1"/>
    <col min="9491" max="9694" width="11.42578125" style="122"/>
    <col min="9695" max="9695" width="8.85546875" style="122" customWidth="1"/>
    <col min="9696" max="9696" width="35.7109375" style="122" bestFit="1" customWidth="1"/>
    <col min="9697" max="9697" width="5" style="122" customWidth="1"/>
    <col min="9698" max="9700" width="12.85546875" style="122" bestFit="1" customWidth="1"/>
    <col min="9701" max="9711" width="15.140625" style="122" customWidth="1"/>
    <col min="9712" max="9712" width="13.85546875" style="122" customWidth="1"/>
    <col min="9713" max="9713" width="11.42578125" style="122" customWidth="1"/>
    <col min="9714" max="9714" width="12" style="122" bestFit="1" customWidth="1"/>
    <col min="9715" max="9715" width="31.7109375" style="122" customWidth="1"/>
    <col min="9716" max="9716" width="13.85546875" style="122" customWidth="1"/>
    <col min="9717" max="9717" width="13.42578125" style="122" customWidth="1"/>
    <col min="9718" max="9721" width="16.140625" style="122" bestFit="1" customWidth="1"/>
    <col min="9722" max="9725" width="17.42578125" style="122" bestFit="1" customWidth="1"/>
    <col min="9726" max="9729" width="17.42578125" style="122" customWidth="1"/>
    <col min="9730" max="9730" width="27.28515625" style="122" customWidth="1"/>
    <col min="9731" max="9731" width="15.85546875" style="122" bestFit="1" customWidth="1"/>
    <col min="9732" max="9732" width="12.42578125" style="122" bestFit="1" customWidth="1"/>
    <col min="9733" max="9743" width="11.42578125" style="122" customWidth="1"/>
    <col min="9744" max="9744" width="17.140625" style="122" customWidth="1"/>
    <col min="9745" max="9745" width="11.42578125" style="122" customWidth="1"/>
    <col min="9746" max="9746" width="34.28515625" style="122" bestFit="1" customWidth="1"/>
    <col min="9747" max="9950" width="11.42578125" style="122"/>
    <col min="9951" max="9951" width="8.85546875" style="122" customWidth="1"/>
    <col min="9952" max="9952" width="35.7109375" style="122" bestFit="1" customWidth="1"/>
    <col min="9953" max="9953" width="5" style="122" customWidth="1"/>
    <col min="9954" max="9956" width="12.85546875" style="122" bestFit="1" customWidth="1"/>
    <col min="9957" max="9967" width="15.140625" style="122" customWidth="1"/>
    <col min="9968" max="9968" width="13.85546875" style="122" customWidth="1"/>
    <col min="9969" max="9969" width="11.42578125" style="122" customWidth="1"/>
    <col min="9970" max="9970" width="12" style="122" bestFit="1" customWidth="1"/>
    <col min="9971" max="9971" width="31.7109375" style="122" customWidth="1"/>
    <col min="9972" max="9972" width="13.85546875" style="122" customWidth="1"/>
    <col min="9973" max="9973" width="13.42578125" style="122" customWidth="1"/>
    <col min="9974" max="9977" width="16.140625" style="122" bestFit="1" customWidth="1"/>
    <col min="9978" max="9981" width="17.42578125" style="122" bestFit="1" customWidth="1"/>
    <col min="9982" max="9985" width="17.42578125" style="122" customWidth="1"/>
    <col min="9986" max="9986" width="27.28515625" style="122" customWidth="1"/>
    <col min="9987" max="9987" width="15.85546875" style="122" bestFit="1" customWidth="1"/>
    <col min="9988" max="9988" width="12.42578125" style="122" bestFit="1" customWidth="1"/>
    <col min="9989" max="9999" width="11.42578125" style="122" customWidth="1"/>
    <col min="10000" max="10000" width="17.140625" style="122" customWidth="1"/>
    <col min="10001" max="10001" width="11.42578125" style="122" customWidth="1"/>
    <col min="10002" max="10002" width="34.28515625" style="122" bestFit="1" customWidth="1"/>
    <col min="10003" max="10206" width="11.42578125" style="122"/>
    <col min="10207" max="10207" width="8.85546875" style="122" customWidth="1"/>
    <col min="10208" max="10208" width="35.7109375" style="122" bestFit="1" customWidth="1"/>
    <col min="10209" max="10209" width="5" style="122" customWidth="1"/>
    <col min="10210" max="10212" width="12.85546875" style="122" bestFit="1" customWidth="1"/>
    <col min="10213" max="10223" width="15.140625" style="122" customWidth="1"/>
    <col min="10224" max="10224" width="13.85546875" style="122" customWidth="1"/>
    <col min="10225" max="10225" width="11.42578125" style="122" customWidth="1"/>
    <col min="10226" max="10226" width="12" style="122" bestFit="1" customWidth="1"/>
    <col min="10227" max="10227" width="31.7109375" style="122" customWidth="1"/>
    <col min="10228" max="10228" width="13.85546875" style="122" customWidth="1"/>
    <col min="10229" max="10229" width="13.42578125" style="122" customWidth="1"/>
    <col min="10230" max="10233" width="16.140625" style="122" bestFit="1" customWidth="1"/>
    <col min="10234" max="10237" width="17.42578125" style="122" bestFit="1" customWidth="1"/>
    <col min="10238" max="10241" width="17.42578125" style="122" customWidth="1"/>
    <col min="10242" max="10242" width="27.28515625" style="122" customWidth="1"/>
    <col min="10243" max="10243" width="15.85546875" style="122" bestFit="1" customWidth="1"/>
    <col min="10244" max="10244" width="12.42578125" style="122" bestFit="1" customWidth="1"/>
    <col min="10245" max="10255" width="11.42578125" style="122" customWidth="1"/>
    <col min="10256" max="10256" width="17.140625" style="122" customWidth="1"/>
    <col min="10257" max="10257" width="11.42578125" style="122" customWidth="1"/>
    <col min="10258" max="10258" width="34.28515625" style="122" bestFit="1" customWidth="1"/>
    <col min="10259" max="10462" width="11.42578125" style="122"/>
    <col min="10463" max="10463" width="8.85546875" style="122" customWidth="1"/>
    <col min="10464" max="10464" width="35.7109375" style="122" bestFit="1" customWidth="1"/>
    <col min="10465" max="10465" width="5" style="122" customWidth="1"/>
    <col min="10466" max="10468" width="12.85546875" style="122" bestFit="1" customWidth="1"/>
    <col min="10469" max="10479" width="15.140625" style="122" customWidth="1"/>
    <col min="10480" max="10480" width="13.85546875" style="122" customWidth="1"/>
    <col min="10481" max="10481" width="11.42578125" style="122" customWidth="1"/>
    <col min="10482" max="10482" width="12" style="122" bestFit="1" customWidth="1"/>
    <col min="10483" max="10483" width="31.7109375" style="122" customWidth="1"/>
    <col min="10484" max="10484" width="13.85546875" style="122" customWidth="1"/>
    <col min="10485" max="10485" width="13.42578125" style="122" customWidth="1"/>
    <col min="10486" max="10489" width="16.140625" style="122" bestFit="1" customWidth="1"/>
    <col min="10490" max="10493" width="17.42578125" style="122" bestFit="1" customWidth="1"/>
    <col min="10494" max="10497" width="17.42578125" style="122" customWidth="1"/>
    <col min="10498" max="10498" width="27.28515625" style="122" customWidth="1"/>
    <col min="10499" max="10499" width="15.85546875" style="122" bestFit="1" customWidth="1"/>
    <col min="10500" max="10500" width="12.42578125" style="122" bestFit="1" customWidth="1"/>
    <col min="10501" max="10511" width="11.42578125" style="122" customWidth="1"/>
    <col min="10512" max="10512" width="17.140625" style="122" customWidth="1"/>
    <col min="10513" max="10513" width="11.42578125" style="122" customWidth="1"/>
    <col min="10514" max="10514" width="34.28515625" style="122" bestFit="1" customWidth="1"/>
    <col min="10515" max="10718" width="11.42578125" style="122"/>
    <col min="10719" max="10719" width="8.85546875" style="122" customWidth="1"/>
    <col min="10720" max="10720" width="35.7109375" style="122" bestFit="1" customWidth="1"/>
    <col min="10721" max="10721" width="5" style="122" customWidth="1"/>
    <col min="10722" max="10724" width="12.85546875" style="122" bestFit="1" customWidth="1"/>
    <col min="10725" max="10735" width="15.140625" style="122" customWidth="1"/>
    <col min="10736" max="10736" width="13.85546875" style="122" customWidth="1"/>
    <col min="10737" max="10737" width="11.42578125" style="122" customWidth="1"/>
    <col min="10738" max="10738" width="12" style="122" bestFit="1" customWidth="1"/>
    <col min="10739" max="10739" width="31.7109375" style="122" customWidth="1"/>
    <col min="10740" max="10740" width="13.85546875" style="122" customWidth="1"/>
    <col min="10741" max="10741" width="13.42578125" style="122" customWidth="1"/>
    <col min="10742" max="10745" width="16.140625" style="122" bestFit="1" customWidth="1"/>
    <col min="10746" max="10749" width="17.42578125" style="122" bestFit="1" customWidth="1"/>
    <col min="10750" max="10753" width="17.42578125" style="122" customWidth="1"/>
    <col min="10754" max="10754" width="27.28515625" style="122" customWidth="1"/>
    <col min="10755" max="10755" width="15.85546875" style="122" bestFit="1" customWidth="1"/>
    <col min="10756" max="10756" width="12.42578125" style="122" bestFit="1" customWidth="1"/>
    <col min="10757" max="10767" width="11.42578125" style="122" customWidth="1"/>
    <col min="10768" max="10768" width="17.140625" style="122" customWidth="1"/>
    <col min="10769" max="10769" width="11.42578125" style="122" customWidth="1"/>
    <col min="10770" max="10770" width="34.28515625" style="122" bestFit="1" customWidth="1"/>
    <col min="10771" max="10974" width="11.42578125" style="122"/>
    <col min="10975" max="10975" width="8.85546875" style="122" customWidth="1"/>
    <col min="10976" max="10976" width="35.7109375" style="122" bestFit="1" customWidth="1"/>
    <col min="10977" max="10977" width="5" style="122" customWidth="1"/>
    <col min="10978" max="10980" width="12.85546875" style="122" bestFit="1" customWidth="1"/>
    <col min="10981" max="10991" width="15.140625" style="122" customWidth="1"/>
    <col min="10992" max="10992" width="13.85546875" style="122" customWidth="1"/>
    <col min="10993" max="10993" width="11.42578125" style="122" customWidth="1"/>
    <col min="10994" max="10994" width="12" style="122" bestFit="1" customWidth="1"/>
    <col min="10995" max="10995" width="31.7109375" style="122" customWidth="1"/>
    <col min="10996" max="10996" width="13.85546875" style="122" customWidth="1"/>
    <col min="10997" max="10997" width="13.42578125" style="122" customWidth="1"/>
    <col min="10998" max="11001" width="16.140625" style="122" bestFit="1" customWidth="1"/>
    <col min="11002" max="11005" width="17.42578125" style="122" bestFit="1" customWidth="1"/>
    <col min="11006" max="11009" width="17.42578125" style="122" customWidth="1"/>
    <col min="11010" max="11010" width="27.28515625" style="122" customWidth="1"/>
    <col min="11011" max="11011" width="15.85546875" style="122" bestFit="1" customWidth="1"/>
    <col min="11012" max="11012" width="12.42578125" style="122" bestFit="1" customWidth="1"/>
    <col min="11013" max="11023" width="11.42578125" style="122" customWidth="1"/>
    <col min="11024" max="11024" width="17.140625" style="122" customWidth="1"/>
    <col min="11025" max="11025" width="11.42578125" style="122" customWidth="1"/>
    <col min="11026" max="11026" width="34.28515625" style="122" bestFit="1" customWidth="1"/>
    <col min="11027" max="11230" width="11.42578125" style="122"/>
    <col min="11231" max="11231" width="8.85546875" style="122" customWidth="1"/>
    <col min="11232" max="11232" width="35.7109375" style="122" bestFit="1" customWidth="1"/>
    <col min="11233" max="11233" width="5" style="122" customWidth="1"/>
    <col min="11234" max="11236" width="12.85546875" style="122" bestFit="1" customWidth="1"/>
    <col min="11237" max="11247" width="15.140625" style="122" customWidth="1"/>
    <col min="11248" max="11248" width="13.85546875" style="122" customWidth="1"/>
    <col min="11249" max="11249" width="11.42578125" style="122" customWidth="1"/>
    <col min="11250" max="11250" width="12" style="122" bestFit="1" customWidth="1"/>
    <col min="11251" max="11251" width="31.7109375" style="122" customWidth="1"/>
    <col min="11252" max="11252" width="13.85546875" style="122" customWidth="1"/>
    <col min="11253" max="11253" width="13.42578125" style="122" customWidth="1"/>
    <col min="11254" max="11257" width="16.140625" style="122" bestFit="1" customWidth="1"/>
    <col min="11258" max="11261" width="17.42578125" style="122" bestFit="1" customWidth="1"/>
    <col min="11262" max="11265" width="17.42578125" style="122" customWidth="1"/>
    <col min="11266" max="11266" width="27.28515625" style="122" customWidth="1"/>
    <col min="11267" max="11267" width="15.85546875" style="122" bestFit="1" customWidth="1"/>
    <col min="11268" max="11268" width="12.42578125" style="122" bestFit="1" customWidth="1"/>
    <col min="11269" max="11279" width="11.42578125" style="122" customWidth="1"/>
    <col min="11280" max="11280" width="17.140625" style="122" customWidth="1"/>
    <col min="11281" max="11281" width="11.42578125" style="122" customWidth="1"/>
    <col min="11282" max="11282" width="34.28515625" style="122" bestFit="1" customWidth="1"/>
    <col min="11283" max="11486" width="11.42578125" style="122"/>
    <col min="11487" max="11487" width="8.85546875" style="122" customWidth="1"/>
    <col min="11488" max="11488" width="35.7109375" style="122" bestFit="1" customWidth="1"/>
    <col min="11489" max="11489" width="5" style="122" customWidth="1"/>
    <col min="11490" max="11492" width="12.85546875" style="122" bestFit="1" customWidth="1"/>
    <col min="11493" max="11503" width="15.140625" style="122" customWidth="1"/>
    <col min="11504" max="11504" width="13.85546875" style="122" customWidth="1"/>
    <col min="11505" max="11505" width="11.42578125" style="122" customWidth="1"/>
    <col min="11506" max="11506" width="12" style="122" bestFit="1" customWidth="1"/>
    <col min="11507" max="11507" width="31.7109375" style="122" customWidth="1"/>
    <col min="11508" max="11508" width="13.85546875" style="122" customWidth="1"/>
    <col min="11509" max="11509" width="13.42578125" style="122" customWidth="1"/>
    <col min="11510" max="11513" width="16.140625" style="122" bestFit="1" customWidth="1"/>
    <col min="11514" max="11517" width="17.42578125" style="122" bestFit="1" customWidth="1"/>
    <col min="11518" max="11521" width="17.42578125" style="122" customWidth="1"/>
    <col min="11522" max="11522" width="27.28515625" style="122" customWidth="1"/>
    <col min="11523" max="11523" width="15.85546875" style="122" bestFit="1" customWidth="1"/>
    <col min="11524" max="11524" width="12.42578125" style="122" bestFit="1" customWidth="1"/>
    <col min="11525" max="11535" width="11.42578125" style="122" customWidth="1"/>
    <col min="11536" max="11536" width="17.140625" style="122" customWidth="1"/>
    <col min="11537" max="11537" width="11.42578125" style="122" customWidth="1"/>
    <col min="11538" max="11538" width="34.28515625" style="122" bestFit="1" customWidth="1"/>
    <col min="11539" max="11742" width="11.42578125" style="122"/>
    <col min="11743" max="11743" width="8.85546875" style="122" customWidth="1"/>
    <col min="11744" max="11744" width="35.7109375" style="122" bestFit="1" customWidth="1"/>
    <col min="11745" max="11745" width="5" style="122" customWidth="1"/>
    <col min="11746" max="11748" width="12.85546875" style="122" bestFit="1" customWidth="1"/>
    <col min="11749" max="11759" width="15.140625" style="122" customWidth="1"/>
    <col min="11760" max="11760" width="13.85546875" style="122" customWidth="1"/>
    <col min="11761" max="11761" width="11.42578125" style="122" customWidth="1"/>
    <col min="11762" max="11762" width="12" style="122" bestFit="1" customWidth="1"/>
    <col min="11763" max="11763" width="31.7109375" style="122" customWidth="1"/>
    <col min="11764" max="11764" width="13.85546875" style="122" customWidth="1"/>
    <col min="11765" max="11765" width="13.42578125" style="122" customWidth="1"/>
    <col min="11766" max="11769" width="16.140625" style="122" bestFit="1" customWidth="1"/>
    <col min="11770" max="11773" width="17.42578125" style="122" bestFit="1" customWidth="1"/>
    <col min="11774" max="11777" width="17.42578125" style="122" customWidth="1"/>
    <col min="11778" max="11778" width="27.28515625" style="122" customWidth="1"/>
    <col min="11779" max="11779" width="15.85546875" style="122" bestFit="1" customWidth="1"/>
    <col min="11780" max="11780" width="12.42578125" style="122" bestFit="1" customWidth="1"/>
    <col min="11781" max="11791" width="11.42578125" style="122" customWidth="1"/>
    <col min="11792" max="11792" width="17.140625" style="122" customWidth="1"/>
    <col min="11793" max="11793" width="11.42578125" style="122" customWidth="1"/>
    <col min="11794" max="11794" width="34.28515625" style="122" bestFit="1" customWidth="1"/>
    <col min="11795" max="11998" width="11.42578125" style="122"/>
    <col min="11999" max="11999" width="8.85546875" style="122" customWidth="1"/>
    <col min="12000" max="12000" width="35.7109375" style="122" bestFit="1" customWidth="1"/>
    <col min="12001" max="12001" width="5" style="122" customWidth="1"/>
    <col min="12002" max="12004" width="12.85546875" style="122" bestFit="1" customWidth="1"/>
    <col min="12005" max="12015" width="15.140625" style="122" customWidth="1"/>
    <col min="12016" max="12016" width="13.85546875" style="122" customWidth="1"/>
    <col min="12017" max="12017" width="11.42578125" style="122" customWidth="1"/>
    <col min="12018" max="12018" width="12" style="122" bestFit="1" customWidth="1"/>
    <col min="12019" max="12019" width="31.7109375" style="122" customWidth="1"/>
    <col min="12020" max="12020" width="13.85546875" style="122" customWidth="1"/>
    <col min="12021" max="12021" width="13.42578125" style="122" customWidth="1"/>
    <col min="12022" max="12025" width="16.140625" style="122" bestFit="1" customWidth="1"/>
    <col min="12026" max="12029" width="17.42578125" style="122" bestFit="1" customWidth="1"/>
    <col min="12030" max="12033" width="17.42578125" style="122" customWidth="1"/>
    <col min="12034" max="12034" width="27.28515625" style="122" customWidth="1"/>
    <col min="12035" max="12035" width="15.85546875" style="122" bestFit="1" customWidth="1"/>
    <col min="12036" max="12036" width="12.42578125" style="122" bestFit="1" customWidth="1"/>
    <col min="12037" max="12047" width="11.42578125" style="122" customWidth="1"/>
    <col min="12048" max="12048" width="17.140625" style="122" customWidth="1"/>
    <col min="12049" max="12049" width="11.42578125" style="122" customWidth="1"/>
    <col min="12050" max="12050" width="34.28515625" style="122" bestFit="1" customWidth="1"/>
    <col min="12051" max="12254" width="11.42578125" style="122"/>
    <col min="12255" max="12255" width="8.85546875" style="122" customWidth="1"/>
    <col min="12256" max="12256" width="35.7109375" style="122" bestFit="1" customWidth="1"/>
    <col min="12257" max="12257" width="5" style="122" customWidth="1"/>
    <col min="12258" max="12260" width="12.85546875" style="122" bestFit="1" customWidth="1"/>
    <col min="12261" max="12271" width="15.140625" style="122" customWidth="1"/>
    <col min="12272" max="12272" width="13.85546875" style="122" customWidth="1"/>
    <col min="12273" max="12273" width="11.42578125" style="122" customWidth="1"/>
    <col min="12274" max="12274" width="12" style="122" bestFit="1" customWidth="1"/>
    <col min="12275" max="12275" width="31.7109375" style="122" customWidth="1"/>
    <col min="12276" max="12276" width="13.85546875" style="122" customWidth="1"/>
    <col min="12277" max="12277" width="13.42578125" style="122" customWidth="1"/>
    <col min="12278" max="12281" width="16.140625" style="122" bestFit="1" customWidth="1"/>
    <col min="12282" max="12285" width="17.42578125" style="122" bestFit="1" customWidth="1"/>
    <col min="12286" max="12289" width="17.42578125" style="122" customWidth="1"/>
    <col min="12290" max="12290" width="27.28515625" style="122" customWidth="1"/>
    <col min="12291" max="12291" width="15.85546875" style="122" bestFit="1" customWidth="1"/>
    <col min="12292" max="12292" width="12.42578125" style="122" bestFit="1" customWidth="1"/>
    <col min="12293" max="12303" width="11.42578125" style="122" customWidth="1"/>
    <col min="12304" max="12304" width="17.140625" style="122" customWidth="1"/>
    <col min="12305" max="12305" width="11.42578125" style="122" customWidth="1"/>
    <col min="12306" max="12306" width="34.28515625" style="122" bestFit="1" customWidth="1"/>
    <col min="12307" max="12510" width="11.42578125" style="122"/>
    <col min="12511" max="12511" width="8.85546875" style="122" customWidth="1"/>
    <col min="12512" max="12512" width="35.7109375" style="122" bestFit="1" customWidth="1"/>
    <col min="12513" max="12513" width="5" style="122" customWidth="1"/>
    <col min="12514" max="12516" width="12.85546875" style="122" bestFit="1" customWidth="1"/>
    <col min="12517" max="12527" width="15.140625" style="122" customWidth="1"/>
    <col min="12528" max="12528" width="13.85546875" style="122" customWidth="1"/>
    <col min="12529" max="12529" width="11.42578125" style="122" customWidth="1"/>
    <col min="12530" max="12530" width="12" style="122" bestFit="1" customWidth="1"/>
    <col min="12531" max="12531" width="31.7109375" style="122" customWidth="1"/>
    <col min="12532" max="12532" width="13.85546875" style="122" customWidth="1"/>
    <col min="12533" max="12533" width="13.42578125" style="122" customWidth="1"/>
    <col min="12534" max="12537" width="16.140625" style="122" bestFit="1" customWidth="1"/>
    <col min="12538" max="12541" width="17.42578125" style="122" bestFit="1" customWidth="1"/>
    <col min="12542" max="12545" width="17.42578125" style="122" customWidth="1"/>
    <col min="12546" max="12546" width="27.28515625" style="122" customWidth="1"/>
    <col min="12547" max="12547" width="15.85546875" style="122" bestFit="1" customWidth="1"/>
    <col min="12548" max="12548" width="12.42578125" style="122" bestFit="1" customWidth="1"/>
    <col min="12549" max="12559" width="11.42578125" style="122" customWidth="1"/>
    <col min="12560" max="12560" width="17.140625" style="122" customWidth="1"/>
    <col min="12561" max="12561" width="11.42578125" style="122" customWidth="1"/>
    <col min="12562" max="12562" width="34.28515625" style="122" bestFit="1" customWidth="1"/>
    <col min="12563" max="12766" width="11.42578125" style="122"/>
    <col min="12767" max="12767" width="8.85546875" style="122" customWidth="1"/>
    <col min="12768" max="12768" width="35.7109375" style="122" bestFit="1" customWidth="1"/>
    <col min="12769" max="12769" width="5" style="122" customWidth="1"/>
    <col min="12770" max="12772" width="12.85546875" style="122" bestFit="1" customWidth="1"/>
    <col min="12773" max="12783" width="15.140625" style="122" customWidth="1"/>
    <col min="12784" max="12784" width="13.85546875" style="122" customWidth="1"/>
    <col min="12785" max="12785" width="11.42578125" style="122" customWidth="1"/>
    <col min="12786" max="12786" width="12" style="122" bestFit="1" customWidth="1"/>
    <col min="12787" max="12787" width="31.7109375" style="122" customWidth="1"/>
    <col min="12788" max="12788" width="13.85546875" style="122" customWidth="1"/>
    <col min="12789" max="12789" width="13.42578125" style="122" customWidth="1"/>
    <col min="12790" max="12793" width="16.140625" style="122" bestFit="1" customWidth="1"/>
    <col min="12794" max="12797" width="17.42578125" style="122" bestFit="1" customWidth="1"/>
    <col min="12798" max="12801" width="17.42578125" style="122" customWidth="1"/>
    <col min="12802" max="12802" width="27.28515625" style="122" customWidth="1"/>
    <col min="12803" max="12803" width="15.85546875" style="122" bestFit="1" customWidth="1"/>
    <col min="12804" max="12804" width="12.42578125" style="122" bestFit="1" customWidth="1"/>
    <col min="12805" max="12815" width="11.42578125" style="122" customWidth="1"/>
    <col min="12816" max="12816" width="17.140625" style="122" customWidth="1"/>
    <col min="12817" max="12817" width="11.42578125" style="122" customWidth="1"/>
    <col min="12818" max="12818" width="34.28515625" style="122" bestFit="1" customWidth="1"/>
    <col min="12819" max="13022" width="11.42578125" style="122"/>
    <col min="13023" max="13023" width="8.85546875" style="122" customWidth="1"/>
    <col min="13024" max="13024" width="35.7109375" style="122" bestFit="1" customWidth="1"/>
    <col min="13025" max="13025" width="5" style="122" customWidth="1"/>
    <col min="13026" max="13028" width="12.85546875" style="122" bestFit="1" customWidth="1"/>
    <col min="13029" max="13039" width="15.140625" style="122" customWidth="1"/>
    <col min="13040" max="13040" width="13.85546875" style="122" customWidth="1"/>
    <col min="13041" max="13041" width="11.42578125" style="122" customWidth="1"/>
    <col min="13042" max="13042" width="12" style="122" bestFit="1" customWidth="1"/>
    <col min="13043" max="13043" width="31.7109375" style="122" customWidth="1"/>
    <col min="13044" max="13044" width="13.85546875" style="122" customWidth="1"/>
    <col min="13045" max="13045" width="13.42578125" style="122" customWidth="1"/>
    <col min="13046" max="13049" width="16.140625" style="122" bestFit="1" customWidth="1"/>
    <col min="13050" max="13053" width="17.42578125" style="122" bestFit="1" customWidth="1"/>
    <col min="13054" max="13057" width="17.42578125" style="122" customWidth="1"/>
    <col min="13058" max="13058" width="27.28515625" style="122" customWidth="1"/>
    <col min="13059" max="13059" width="15.85546875" style="122" bestFit="1" customWidth="1"/>
    <col min="13060" max="13060" width="12.42578125" style="122" bestFit="1" customWidth="1"/>
    <col min="13061" max="13071" width="11.42578125" style="122" customWidth="1"/>
    <col min="13072" max="13072" width="17.140625" style="122" customWidth="1"/>
    <col min="13073" max="13073" width="11.42578125" style="122" customWidth="1"/>
    <col min="13074" max="13074" width="34.28515625" style="122" bestFit="1" customWidth="1"/>
    <col min="13075" max="13278" width="11.42578125" style="122"/>
    <col min="13279" max="13279" width="8.85546875" style="122" customWidth="1"/>
    <col min="13280" max="13280" width="35.7109375" style="122" bestFit="1" customWidth="1"/>
    <col min="13281" max="13281" width="5" style="122" customWidth="1"/>
    <col min="13282" max="13284" width="12.85546875" style="122" bestFit="1" customWidth="1"/>
    <col min="13285" max="13295" width="15.140625" style="122" customWidth="1"/>
    <col min="13296" max="13296" width="13.85546875" style="122" customWidth="1"/>
    <col min="13297" max="13297" width="11.42578125" style="122" customWidth="1"/>
    <col min="13298" max="13298" width="12" style="122" bestFit="1" customWidth="1"/>
    <col min="13299" max="13299" width="31.7109375" style="122" customWidth="1"/>
    <col min="13300" max="13300" width="13.85546875" style="122" customWidth="1"/>
    <col min="13301" max="13301" width="13.42578125" style="122" customWidth="1"/>
    <col min="13302" max="13305" width="16.140625" style="122" bestFit="1" customWidth="1"/>
    <col min="13306" max="13309" width="17.42578125" style="122" bestFit="1" customWidth="1"/>
    <col min="13310" max="13313" width="17.42578125" style="122" customWidth="1"/>
    <col min="13314" max="13314" width="27.28515625" style="122" customWidth="1"/>
    <col min="13315" max="13315" width="15.85546875" style="122" bestFit="1" customWidth="1"/>
    <col min="13316" max="13316" width="12.42578125" style="122" bestFit="1" customWidth="1"/>
    <col min="13317" max="13327" width="11.42578125" style="122" customWidth="1"/>
    <col min="13328" max="13328" width="17.140625" style="122" customWidth="1"/>
    <col min="13329" max="13329" width="11.42578125" style="122" customWidth="1"/>
    <col min="13330" max="13330" width="34.28515625" style="122" bestFit="1" customWidth="1"/>
    <col min="13331" max="13534" width="11.42578125" style="122"/>
    <col min="13535" max="13535" width="8.85546875" style="122" customWidth="1"/>
    <col min="13536" max="13536" width="35.7109375" style="122" bestFit="1" customWidth="1"/>
    <col min="13537" max="13537" width="5" style="122" customWidth="1"/>
    <col min="13538" max="13540" width="12.85546875" style="122" bestFit="1" customWidth="1"/>
    <col min="13541" max="13551" width="15.140625" style="122" customWidth="1"/>
    <col min="13552" max="13552" width="13.85546875" style="122" customWidth="1"/>
    <col min="13553" max="13553" width="11.42578125" style="122" customWidth="1"/>
    <col min="13554" max="13554" width="12" style="122" bestFit="1" customWidth="1"/>
    <col min="13555" max="13555" width="31.7109375" style="122" customWidth="1"/>
    <col min="13556" max="13556" width="13.85546875" style="122" customWidth="1"/>
    <col min="13557" max="13557" width="13.42578125" style="122" customWidth="1"/>
    <col min="13558" max="13561" width="16.140625" style="122" bestFit="1" customWidth="1"/>
    <col min="13562" max="13565" width="17.42578125" style="122" bestFit="1" customWidth="1"/>
    <col min="13566" max="13569" width="17.42578125" style="122" customWidth="1"/>
    <col min="13570" max="13570" width="27.28515625" style="122" customWidth="1"/>
    <col min="13571" max="13571" width="15.85546875" style="122" bestFit="1" customWidth="1"/>
    <col min="13572" max="13572" width="12.42578125" style="122" bestFit="1" customWidth="1"/>
    <col min="13573" max="13583" width="11.42578125" style="122" customWidth="1"/>
    <col min="13584" max="13584" width="17.140625" style="122" customWidth="1"/>
    <col min="13585" max="13585" width="11.42578125" style="122" customWidth="1"/>
    <col min="13586" max="13586" width="34.28515625" style="122" bestFit="1" customWidth="1"/>
    <col min="13587" max="13790" width="11.42578125" style="122"/>
    <col min="13791" max="13791" width="8.85546875" style="122" customWidth="1"/>
    <col min="13792" max="13792" width="35.7109375" style="122" bestFit="1" customWidth="1"/>
    <col min="13793" max="13793" width="5" style="122" customWidth="1"/>
    <col min="13794" max="13796" width="12.85546875" style="122" bestFit="1" customWidth="1"/>
    <col min="13797" max="13807" width="15.140625" style="122" customWidth="1"/>
    <col min="13808" max="13808" width="13.85546875" style="122" customWidth="1"/>
    <col min="13809" max="13809" width="11.42578125" style="122" customWidth="1"/>
    <col min="13810" max="13810" width="12" style="122" bestFit="1" customWidth="1"/>
    <col min="13811" max="13811" width="31.7109375" style="122" customWidth="1"/>
    <col min="13812" max="13812" width="13.85546875" style="122" customWidth="1"/>
    <col min="13813" max="13813" width="13.42578125" style="122" customWidth="1"/>
    <col min="13814" max="13817" width="16.140625" style="122" bestFit="1" customWidth="1"/>
    <col min="13818" max="13821" width="17.42578125" style="122" bestFit="1" customWidth="1"/>
    <col min="13822" max="13825" width="17.42578125" style="122" customWidth="1"/>
    <col min="13826" max="13826" width="27.28515625" style="122" customWidth="1"/>
    <col min="13827" max="13827" width="15.85546875" style="122" bestFit="1" customWidth="1"/>
    <col min="13828" max="13828" width="12.42578125" style="122" bestFit="1" customWidth="1"/>
    <col min="13829" max="13839" width="11.42578125" style="122" customWidth="1"/>
    <col min="13840" max="13840" width="17.140625" style="122" customWidth="1"/>
    <col min="13841" max="13841" width="11.42578125" style="122" customWidth="1"/>
    <col min="13842" max="13842" width="34.28515625" style="122" bestFit="1" customWidth="1"/>
    <col min="13843" max="14046" width="11.42578125" style="122"/>
    <col min="14047" max="14047" width="8.85546875" style="122" customWidth="1"/>
    <col min="14048" max="14048" width="35.7109375" style="122" bestFit="1" customWidth="1"/>
    <col min="14049" max="14049" width="5" style="122" customWidth="1"/>
    <col min="14050" max="14052" width="12.85546875" style="122" bestFit="1" customWidth="1"/>
    <col min="14053" max="14063" width="15.140625" style="122" customWidth="1"/>
    <col min="14064" max="14064" width="13.85546875" style="122" customWidth="1"/>
    <col min="14065" max="14065" width="11.42578125" style="122" customWidth="1"/>
    <col min="14066" max="14066" width="12" style="122" bestFit="1" customWidth="1"/>
    <col min="14067" max="14067" width="31.7109375" style="122" customWidth="1"/>
    <col min="14068" max="14068" width="13.85546875" style="122" customWidth="1"/>
    <col min="14069" max="14069" width="13.42578125" style="122" customWidth="1"/>
    <col min="14070" max="14073" width="16.140625" style="122" bestFit="1" customWidth="1"/>
    <col min="14074" max="14077" width="17.42578125" style="122" bestFit="1" customWidth="1"/>
    <col min="14078" max="14081" width="17.42578125" style="122" customWidth="1"/>
    <col min="14082" max="14082" width="27.28515625" style="122" customWidth="1"/>
    <col min="14083" max="14083" width="15.85546875" style="122" bestFit="1" customWidth="1"/>
    <col min="14084" max="14084" width="12.42578125" style="122" bestFit="1" customWidth="1"/>
    <col min="14085" max="14095" width="11.42578125" style="122" customWidth="1"/>
    <col min="14096" max="14096" width="17.140625" style="122" customWidth="1"/>
    <col min="14097" max="14097" width="11.42578125" style="122" customWidth="1"/>
    <col min="14098" max="14098" width="34.28515625" style="122" bestFit="1" customWidth="1"/>
    <col min="14099" max="14302" width="11.42578125" style="122"/>
    <col min="14303" max="14303" width="8.85546875" style="122" customWidth="1"/>
    <col min="14304" max="14304" width="35.7109375" style="122" bestFit="1" customWidth="1"/>
    <col min="14305" max="14305" width="5" style="122" customWidth="1"/>
    <col min="14306" max="14308" width="12.85546875" style="122" bestFit="1" customWidth="1"/>
    <col min="14309" max="14319" width="15.140625" style="122" customWidth="1"/>
    <col min="14320" max="14320" width="13.85546875" style="122" customWidth="1"/>
    <col min="14321" max="14321" width="11.42578125" style="122" customWidth="1"/>
    <col min="14322" max="14322" width="12" style="122" bestFit="1" customWidth="1"/>
    <col min="14323" max="14323" width="31.7109375" style="122" customWidth="1"/>
    <col min="14324" max="14324" width="13.85546875" style="122" customWidth="1"/>
    <col min="14325" max="14325" width="13.42578125" style="122" customWidth="1"/>
    <col min="14326" max="14329" width="16.140625" style="122" bestFit="1" customWidth="1"/>
    <col min="14330" max="14333" width="17.42578125" style="122" bestFit="1" customWidth="1"/>
    <col min="14334" max="14337" width="17.42578125" style="122" customWidth="1"/>
    <col min="14338" max="14338" width="27.28515625" style="122" customWidth="1"/>
    <col min="14339" max="14339" width="15.85546875" style="122" bestFit="1" customWidth="1"/>
    <col min="14340" max="14340" width="12.42578125" style="122" bestFit="1" customWidth="1"/>
    <col min="14341" max="14351" width="11.42578125" style="122" customWidth="1"/>
    <col min="14352" max="14352" width="17.140625" style="122" customWidth="1"/>
    <col min="14353" max="14353" width="11.42578125" style="122" customWidth="1"/>
    <col min="14354" max="14354" width="34.28515625" style="122" bestFit="1" customWidth="1"/>
    <col min="14355" max="14558" width="11.42578125" style="122"/>
    <col min="14559" max="14559" width="8.85546875" style="122" customWidth="1"/>
    <col min="14560" max="14560" width="35.7109375" style="122" bestFit="1" customWidth="1"/>
    <col min="14561" max="14561" width="5" style="122" customWidth="1"/>
    <col min="14562" max="14564" width="12.85546875" style="122" bestFit="1" customWidth="1"/>
    <col min="14565" max="14575" width="15.140625" style="122" customWidth="1"/>
    <col min="14576" max="14576" width="13.85546875" style="122" customWidth="1"/>
    <col min="14577" max="14577" width="11.42578125" style="122" customWidth="1"/>
    <col min="14578" max="14578" width="12" style="122" bestFit="1" customWidth="1"/>
    <col min="14579" max="14579" width="31.7109375" style="122" customWidth="1"/>
    <col min="14580" max="14580" width="13.85546875" style="122" customWidth="1"/>
    <col min="14581" max="14581" width="13.42578125" style="122" customWidth="1"/>
    <col min="14582" max="14585" width="16.140625" style="122" bestFit="1" customWidth="1"/>
    <col min="14586" max="14589" width="17.42578125" style="122" bestFit="1" customWidth="1"/>
    <col min="14590" max="14593" width="17.42578125" style="122" customWidth="1"/>
    <col min="14594" max="14594" width="27.28515625" style="122" customWidth="1"/>
    <col min="14595" max="14595" width="15.85546875" style="122" bestFit="1" customWidth="1"/>
    <col min="14596" max="14596" width="12.42578125" style="122" bestFit="1" customWidth="1"/>
    <col min="14597" max="14607" width="11.42578125" style="122" customWidth="1"/>
    <col min="14608" max="14608" width="17.140625" style="122" customWidth="1"/>
    <col min="14609" max="14609" width="11.42578125" style="122" customWidth="1"/>
    <col min="14610" max="14610" width="34.28515625" style="122" bestFit="1" customWidth="1"/>
    <col min="14611" max="14814" width="11.42578125" style="122"/>
    <col min="14815" max="14815" width="8.85546875" style="122" customWidth="1"/>
    <col min="14816" max="14816" width="35.7109375" style="122" bestFit="1" customWidth="1"/>
    <col min="14817" max="14817" width="5" style="122" customWidth="1"/>
    <col min="14818" max="14820" width="12.85546875" style="122" bestFit="1" customWidth="1"/>
    <col min="14821" max="14831" width="15.140625" style="122" customWidth="1"/>
    <col min="14832" max="14832" width="13.85546875" style="122" customWidth="1"/>
    <col min="14833" max="14833" width="11.42578125" style="122" customWidth="1"/>
    <col min="14834" max="14834" width="12" style="122" bestFit="1" customWidth="1"/>
    <col min="14835" max="14835" width="31.7109375" style="122" customWidth="1"/>
    <col min="14836" max="14836" width="13.85546875" style="122" customWidth="1"/>
    <col min="14837" max="14837" width="13.42578125" style="122" customWidth="1"/>
    <col min="14838" max="14841" width="16.140625" style="122" bestFit="1" customWidth="1"/>
    <col min="14842" max="14845" width="17.42578125" style="122" bestFit="1" customWidth="1"/>
    <col min="14846" max="14849" width="17.42578125" style="122" customWidth="1"/>
    <col min="14850" max="14850" width="27.28515625" style="122" customWidth="1"/>
    <col min="14851" max="14851" width="15.85546875" style="122" bestFit="1" customWidth="1"/>
    <col min="14852" max="14852" width="12.42578125" style="122" bestFit="1" customWidth="1"/>
    <col min="14853" max="14863" width="11.42578125" style="122" customWidth="1"/>
    <col min="14864" max="14864" width="17.140625" style="122" customWidth="1"/>
    <col min="14865" max="14865" width="11.42578125" style="122" customWidth="1"/>
    <col min="14866" max="14866" width="34.28515625" style="122" bestFit="1" customWidth="1"/>
    <col min="14867" max="15070" width="11.42578125" style="122"/>
    <col min="15071" max="15071" width="8.85546875" style="122" customWidth="1"/>
    <col min="15072" max="15072" width="35.7109375" style="122" bestFit="1" customWidth="1"/>
    <col min="15073" max="15073" width="5" style="122" customWidth="1"/>
    <col min="15074" max="15076" width="12.85546875" style="122" bestFit="1" customWidth="1"/>
    <col min="15077" max="15087" width="15.140625" style="122" customWidth="1"/>
    <col min="15088" max="15088" width="13.85546875" style="122" customWidth="1"/>
    <col min="15089" max="15089" width="11.42578125" style="122" customWidth="1"/>
    <col min="15090" max="15090" width="12" style="122" bestFit="1" customWidth="1"/>
    <col min="15091" max="15091" width="31.7109375" style="122" customWidth="1"/>
    <col min="15092" max="15092" width="13.85546875" style="122" customWidth="1"/>
    <col min="15093" max="15093" width="13.42578125" style="122" customWidth="1"/>
    <col min="15094" max="15097" width="16.140625" style="122" bestFit="1" customWidth="1"/>
    <col min="15098" max="15101" width="17.42578125" style="122" bestFit="1" customWidth="1"/>
    <col min="15102" max="15105" width="17.42578125" style="122" customWidth="1"/>
    <col min="15106" max="15106" width="27.28515625" style="122" customWidth="1"/>
    <col min="15107" max="15107" width="15.85546875" style="122" bestFit="1" customWidth="1"/>
    <col min="15108" max="15108" width="12.42578125" style="122" bestFit="1" customWidth="1"/>
    <col min="15109" max="15119" width="11.42578125" style="122" customWidth="1"/>
    <col min="15120" max="15120" width="17.140625" style="122" customWidth="1"/>
    <col min="15121" max="15121" width="11.42578125" style="122" customWidth="1"/>
    <col min="15122" max="15122" width="34.28515625" style="122" bestFit="1" customWidth="1"/>
    <col min="15123" max="15326" width="11.42578125" style="122"/>
    <col min="15327" max="15327" width="8.85546875" style="122" customWidth="1"/>
    <col min="15328" max="15328" width="35.7109375" style="122" bestFit="1" customWidth="1"/>
    <col min="15329" max="15329" width="5" style="122" customWidth="1"/>
    <col min="15330" max="15332" width="12.85546875" style="122" bestFit="1" customWidth="1"/>
    <col min="15333" max="15343" width="15.140625" style="122" customWidth="1"/>
    <col min="15344" max="15344" width="13.85546875" style="122" customWidth="1"/>
    <col min="15345" max="15345" width="11.42578125" style="122" customWidth="1"/>
    <col min="15346" max="15346" width="12" style="122" bestFit="1" customWidth="1"/>
    <col min="15347" max="15347" width="31.7109375" style="122" customWidth="1"/>
    <col min="15348" max="15348" width="13.85546875" style="122" customWidth="1"/>
    <col min="15349" max="15349" width="13.42578125" style="122" customWidth="1"/>
    <col min="15350" max="15353" width="16.140625" style="122" bestFit="1" customWidth="1"/>
    <col min="15354" max="15357" width="17.42578125" style="122" bestFit="1" customWidth="1"/>
    <col min="15358" max="15361" width="17.42578125" style="122" customWidth="1"/>
    <col min="15362" max="15362" width="27.28515625" style="122" customWidth="1"/>
    <col min="15363" max="15363" width="15.85546875" style="122" bestFit="1" customWidth="1"/>
    <col min="15364" max="15364" width="12.42578125" style="122" bestFit="1" customWidth="1"/>
    <col min="15365" max="15375" width="11.42578125" style="122" customWidth="1"/>
    <col min="15376" max="15376" width="17.140625" style="122" customWidth="1"/>
    <col min="15377" max="15377" width="11.42578125" style="122" customWidth="1"/>
    <col min="15378" max="15378" width="34.28515625" style="122" bestFit="1" customWidth="1"/>
    <col min="15379" max="15582" width="11.42578125" style="122"/>
    <col min="15583" max="15583" width="8.85546875" style="122" customWidth="1"/>
    <col min="15584" max="15584" width="35.7109375" style="122" bestFit="1" customWidth="1"/>
    <col min="15585" max="15585" width="5" style="122" customWidth="1"/>
    <col min="15586" max="15588" width="12.85546875" style="122" bestFit="1" customWidth="1"/>
    <col min="15589" max="15599" width="15.140625" style="122" customWidth="1"/>
    <col min="15600" max="15600" width="13.85546875" style="122" customWidth="1"/>
    <col min="15601" max="15601" width="11.42578125" style="122" customWidth="1"/>
    <col min="15602" max="15602" width="12" style="122" bestFit="1" customWidth="1"/>
    <col min="15603" max="15603" width="31.7109375" style="122" customWidth="1"/>
    <col min="15604" max="15604" width="13.85546875" style="122" customWidth="1"/>
    <col min="15605" max="15605" width="13.42578125" style="122" customWidth="1"/>
    <col min="15606" max="15609" width="16.140625" style="122" bestFit="1" customWidth="1"/>
    <col min="15610" max="15613" width="17.42578125" style="122" bestFit="1" customWidth="1"/>
    <col min="15614" max="15617" width="17.42578125" style="122" customWidth="1"/>
    <col min="15618" max="15618" width="27.28515625" style="122" customWidth="1"/>
    <col min="15619" max="15619" width="15.85546875" style="122" bestFit="1" customWidth="1"/>
    <col min="15620" max="15620" width="12.42578125" style="122" bestFit="1" customWidth="1"/>
    <col min="15621" max="15631" width="11.42578125" style="122" customWidth="1"/>
    <col min="15632" max="15632" width="17.140625" style="122" customWidth="1"/>
    <col min="15633" max="15633" width="11.42578125" style="122" customWidth="1"/>
    <col min="15634" max="15634" width="34.28515625" style="122" bestFit="1" customWidth="1"/>
    <col min="15635" max="15838" width="11.42578125" style="122"/>
    <col min="15839" max="15839" width="8.85546875" style="122" customWidth="1"/>
    <col min="15840" max="15840" width="35.7109375" style="122" bestFit="1" customWidth="1"/>
    <col min="15841" max="15841" width="5" style="122" customWidth="1"/>
    <col min="15842" max="15844" width="12.85546875" style="122" bestFit="1" customWidth="1"/>
    <col min="15845" max="15855" width="15.140625" style="122" customWidth="1"/>
    <col min="15856" max="15856" width="13.85546875" style="122" customWidth="1"/>
    <col min="15857" max="15857" width="11.42578125" style="122" customWidth="1"/>
    <col min="15858" max="15858" width="12" style="122" bestFit="1" customWidth="1"/>
    <col min="15859" max="15859" width="31.7109375" style="122" customWidth="1"/>
    <col min="15860" max="15860" width="13.85546875" style="122" customWidth="1"/>
    <col min="15861" max="15861" width="13.42578125" style="122" customWidth="1"/>
    <col min="15862" max="15865" width="16.140625" style="122" bestFit="1" customWidth="1"/>
    <col min="15866" max="15869" width="17.42578125" style="122" bestFit="1" customWidth="1"/>
    <col min="15870" max="15873" width="17.42578125" style="122" customWidth="1"/>
    <col min="15874" max="15874" width="27.28515625" style="122" customWidth="1"/>
    <col min="15875" max="15875" width="15.85546875" style="122" bestFit="1" customWidth="1"/>
    <col min="15876" max="15876" width="12.42578125" style="122" bestFit="1" customWidth="1"/>
    <col min="15877" max="15887" width="11.42578125" style="122" customWidth="1"/>
    <col min="15888" max="15888" width="17.140625" style="122" customWidth="1"/>
    <col min="15889" max="15889" width="11.42578125" style="122" customWidth="1"/>
    <col min="15890" max="15890" width="34.28515625" style="122" bestFit="1" customWidth="1"/>
    <col min="15891" max="16094" width="11.42578125" style="122"/>
    <col min="16095" max="16095" width="8.85546875" style="122" customWidth="1"/>
    <col min="16096" max="16096" width="35.7109375" style="122" bestFit="1" customWidth="1"/>
    <col min="16097" max="16097" width="5" style="122" customWidth="1"/>
    <col min="16098" max="16100" width="12.85546875" style="122" bestFit="1" customWidth="1"/>
    <col min="16101" max="16111" width="15.140625" style="122" customWidth="1"/>
    <col min="16112" max="16112" width="13.85546875" style="122" customWidth="1"/>
    <col min="16113" max="16113" width="11.42578125" style="122" customWidth="1"/>
    <col min="16114" max="16114" width="12" style="122" bestFit="1" customWidth="1"/>
    <col min="16115" max="16115" width="31.7109375" style="122" customWidth="1"/>
    <col min="16116" max="16116" width="13.85546875" style="122" customWidth="1"/>
    <col min="16117" max="16117" width="13.42578125" style="122" customWidth="1"/>
    <col min="16118" max="16121" width="16.140625" style="122" bestFit="1" customWidth="1"/>
    <col min="16122" max="16125" width="17.42578125" style="122" bestFit="1" customWidth="1"/>
    <col min="16126" max="16129" width="17.42578125" style="122" customWidth="1"/>
    <col min="16130" max="16130" width="27.28515625" style="122" customWidth="1"/>
    <col min="16131" max="16131" width="15.85546875" style="122" bestFit="1" customWidth="1"/>
    <col min="16132" max="16132" width="12.42578125" style="122" bestFit="1" customWidth="1"/>
    <col min="16133" max="16143" width="11.42578125" style="122" customWidth="1"/>
    <col min="16144" max="16144" width="17.140625" style="122" customWidth="1"/>
    <col min="16145" max="16145" width="11.42578125" style="122" customWidth="1"/>
    <col min="16146" max="16146" width="34.28515625" style="122" bestFit="1" customWidth="1"/>
    <col min="16147" max="16384" width="11.42578125" style="122"/>
  </cols>
  <sheetData>
    <row r="1" spans="1:18" ht="16.5" customHeight="1">
      <c r="A1" s="370"/>
      <c r="B1" s="129"/>
      <c r="C1" s="140"/>
      <c r="D1" s="122"/>
      <c r="E1" s="444" t="s">
        <v>555</v>
      </c>
      <c r="F1" s="444"/>
      <c r="G1" s="444"/>
      <c r="H1" s="444"/>
    </row>
    <row r="2" spans="1:18" ht="16.5" customHeight="1"/>
    <row r="3" spans="1:18" ht="16.5" customHeight="1" thickBot="1">
      <c r="B3" s="88"/>
      <c r="C3" s="88">
        <v>2001</v>
      </c>
      <c r="D3" s="88">
        <v>2002</v>
      </c>
      <c r="E3" s="88">
        <v>2003</v>
      </c>
      <c r="F3" s="88">
        <v>2004</v>
      </c>
      <c r="G3" s="49" t="s">
        <v>469</v>
      </c>
      <c r="H3" s="88">
        <v>2005</v>
      </c>
      <c r="I3" s="88">
        <v>2006</v>
      </c>
      <c r="J3" s="88">
        <v>2007</v>
      </c>
      <c r="K3" s="88">
        <v>2008</v>
      </c>
      <c r="L3" s="88">
        <v>2009</v>
      </c>
      <c r="M3" s="88">
        <v>2010</v>
      </c>
      <c r="N3" s="88">
        <v>2011</v>
      </c>
      <c r="O3" s="88">
        <v>2012</v>
      </c>
      <c r="P3" s="125"/>
    </row>
    <row r="4" spans="1:18" ht="16.5" customHeight="1" thickTop="1">
      <c r="B4" s="268" t="s">
        <v>36</v>
      </c>
      <c r="C4" s="227">
        <f>+((WACC!C4)*PreciosDeCapital!B5)+Depreciaciones!$H$3*PreciosDeCapital!C5-(PreciosDeCapital!C5-PreciosDeCapital!B5)</f>
        <v>0.17554480925696356</v>
      </c>
      <c r="D4" s="227">
        <f>+((WACC!D4)*PreciosDeCapital!C5)+Depreciaciones!$H$3*PreciosDeCapital!D5-(PreciosDeCapital!D5-PreciosDeCapital!C5)</f>
        <v>0.1924230114110011</v>
      </c>
      <c r="E4" s="227">
        <f>+((WACC!E4)*PreciosDeCapital!D5)+Depreciaciones!$H$3*PreciosDeCapital!E5-(PreciosDeCapital!E5-PreciosDeCapital!D5)</f>
        <v>0.12802966117961742</v>
      </c>
      <c r="F4" s="227">
        <f>+((WACC!F4)*PreciosDeCapital!E5)+Depreciaciones!$H$3*PreciosDeCapital!F5-(PreciosDeCapital!F5-PreciosDeCapital!E5)</f>
        <v>7.7055690153098794E-2</v>
      </c>
      <c r="G4" s="227">
        <f>+((WACC!G4)*PreciosDeCapital!F5)+Depreciaciones!$H$3*PreciosDeCapital!G5-(PreciosDeCapital!G5-PreciosDeCapital!F5)</f>
        <v>8.619775077043762E-2</v>
      </c>
      <c r="H4" s="227">
        <f>+((WACC!G4)*PreciosDeCapital!F5)+Depreciaciones!$H$3*PreciosDeCapital!G5-(PreciosDeCapital!G5-PreciosDeCapital!F5)</f>
        <v>8.619775077043762E-2</v>
      </c>
      <c r="I4" s="227">
        <f>+((WACC!H4)*PreciosDeCapital!H5)+Depreciaciones!$H$3*PreciosDeCapital!I5-(PreciosDeCapital!I5-PreciosDeCapital!H5)</f>
        <v>0.10486748520774333</v>
      </c>
      <c r="J4" s="227">
        <f>((WACC!I4)*PreciosDeCapital!I5)+Depreciaciones!$H$3*PreciosDeCapital!J5-(PreciosDeCapital!J5-PreciosDeCapital!I5)</f>
        <v>0.1424088051397692</v>
      </c>
      <c r="K4" s="227">
        <f>((WACC!J4)*PreciosDeCapital!J5)+Depreciaciones!$H$3*PreciosDeCapital!K5-(PreciosDeCapital!K5-PreciosDeCapital!J5)</f>
        <v>7.0001145642187956E-2</v>
      </c>
      <c r="L4" s="227">
        <f>((WACC!K4)*PreciosDeCapital!K5)+Depreciaciones!$H$3*PreciosDeCapital!L5-(PreciosDeCapital!L5-PreciosDeCapital!K5)</f>
        <v>0.21651021127887823</v>
      </c>
      <c r="M4" s="227">
        <f>((WACC!L4)*PreciosDeCapital!L5)+Depreciaciones!$H$3*PreciosDeCapital!M5-(PreciosDeCapital!M5-PreciosDeCapital!L5)</f>
        <v>0.13251384179771303</v>
      </c>
      <c r="N4" s="227">
        <f>((WACC!M4)*PreciosDeCapital!M5)+Depreciaciones!$H$3*PreciosDeCapital!N5-(PreciosDeCapital!N5-PreciosDeCapital!M5)</f>
        <v>9.9350072608818674E-2</v>
      </c>
      <c r="O4" s="227">
        <f>((WACC!N4)*PreciosDeCapital!N5)+Depreciaciones!$H$3*PreciosDeCapital!O5-(PreciosDeCapital!O5-PreciosDeCapital!N5)</f>
        <v>0.14727706389145995</v>
      </c>
      <c r="R4" s="143"/>
    </row>
    <row r="5" spans="1:18" ht="16.5" customHeight="1">
      <c r="B5" s="267" t="s">
        <v>532</v>
      </c>
      <c r="C5" s="228">
        <f>+((WACC!C4)*PreciosDeCapital!B5)+Depreciaciones!$H$4*PreciosDeCapital!C5-(PreciosDeCapital!C5-PreciosDeCapital!B5)</f>
        <v>0.17438150953855278</v>
      </c>
      <c r="D5" s="228">
        <f>+((WACC!D4)*PreciosDeCapital!C5)+Depreciaciones!$H$4*PreciosDeCapital!D5-(PreciosDeCapital!D5-PreciosDeCapital!C5)</f>
        <v>0.19126272624487678</v>
      </c>
      <c r="E5" s="228">
        <f>+((WACC!E4)*PreciosDeCapital!D5)+Depreciaciones!$H$4*PreciosDeCapital!E5-(PreciosDeCapital!E5-PreciosDeCapital!D5)</f>
        <v>0.12683184457573099</v>
      </c>
      <c r="F5" s="228">
        <f>+((WACC!F4)*PreciosDeCapital!E5)+Depreciaciones!$H$4*PreciosDeCapital!F5-(PreciosDeCapital!F5-PreciosDeCapital!E5)</f>
        <v>7.5795889025485508E-2</v>
      </c>
      <c r="G5" s="228">
        <f>+((WACC!G4)*PreciosDeCapital!F5)+Depreciaciones!$H$4*PreciosDeCapital!G5-(PreciosDeCapital!G5-PreciosDeCapital!F5)</f>
        <v>8.487726701374057E-2</v>
      </c>
      <c r="H5" s="228">
        <f>+((WACC!G4)*PreciosDeCapital!F5)+Depreciaciones!$H$4*PreciosDeCapital!H5-(PreciosDeCapital!H5-PreciosDeCapital!F5)</f>
        <v>8.487726701374057E-2</v>
      </c>
      <c r="I5" s="228">
        <f>+((WACC!H4)*PreciosDeCapital!H5)+Depreciaciones!$H$4*PreciosDeCapital!I5-(PreciosDeCapital!I5-PreciosDeCapital!H5)</f>
        <v>0.10348845181538061</v>
      </c>
      <c r="J5" s="228">
        <f>((WACC!I4)*PreciosDeCapital!I5)+Depreciaciones!$H$4*PreciosDeCapital!J5-(PreciosDeCapital!J5-PreciosDeCapital!I5)</f>
        <v>0.14102483579836345</v>
      </c>
      <c r="K5" s="228">
        <f>((WACC!J4)*PreciosDeCapital!J5)+Depreciaciones!$H$4*PreciosDeCapital!K5-(PreciosDeCapital!K5-PreciosDeCapital!J5)</f>
        <v>6.8521948057792242E-2</v>
      </c>
      <c r="L5" s="228">
        <f>((WACC!K4)*PreciosDeCapital!K5)+Depreciaciones!$H$4*PreciosDeCapital!L5-(PreciosDeCapital!L5-PreciosDeCapital!K5)</f>
        <v>0.21508275919117592</v>
      </c>
      <c r="M5" s="228">
        <f>((WACC!L4)*PreciosDeCapital!L5)+Depreciaciones!$H$4*PreciosDeCapital!M5-(PreciosDeCapital!M5-PreciosDeCapital!L5)</f>
        <v>0.131054106838847</v>
      </c>
      <c r="N5" s="228">
        <f>((WACC!M4)*PreciosDeCapital!M5)+Depreciaciones!$H$4*PreciosDeCapital!N5-(PreciosDeCapital!N5-PreciosDeCapital!M5)</f>
        <v>9.7816439486419715E-2</v>
      </c>
      <c r="O5" s="228">
        <f>((WACC!N4)*PreciosDeCapital!N5)+Depreciaciones!$H$4*PreciosDeCapital!O5-(PreciosDeCapital!O5-PreciosDeCapital!N5)</f>
        <v>0.14571901530857739</v>
      </c>
      <c r="R5" s="143"/>
    </row>
    <row r="6" spans="1:18" ht="16.5" customHeight="1">
      <c r="B6" s="269" t="s">
        <v>38</v>
      </c>
      <c r="C6" s="227">
        <f>+((WACC!C4)*PreciosDeCapital!B6)+Depreciaciones!$H$5*PreciosDeCapital!C6-(PreciosDeCapital!C6-PreciosDeCapital!B6)</f>
        <v>0.24658197473858678</v>
      </c>
      <c r="D6" s="227">
        <f>+((WACC!D4)*PreciosDeCapital!C6)+Depreciaciones!$H$5*PreciosDeCapital!D6-(PreciosDeCapital!D6-PreciosDeCapital!C6)</f>
        <v>0.25966903144499387</v>
      </c>
      <c r="E6" s="227">
        <f>+((WACC!E4)*PreciosDeCapital!D6)+Depreciaciones!$H$5*PreciosDeCapital!E6-(PreciosDeCapital!E6-PreciosDeCapital!D6)</f>
        <v>0.18447293233135492</v>
      </c>
      <c r="F6" s="227">
        <f>+((WACC!F4)*PreciosDeCapital!E6)+Depreciaciones!$H$5*PreciosDeCapital!F6-(PreciosDeCapital!F6-PreciosDeCapital!E6)</f>
        <v>0.13037030283666973</v>
      </c>
      <c r="G6" s="227">
        <f>+((WACC!G4)*PreciosDeCapital!F6)+Depreciaciones!$H$5*PreciosDeCapital!G6-(PreciosDeCapital!G6-PreciosDeCapital!F6)</f>
        <v>0.12750943106363377</v>
      </c>
      <c r="H6" s="227">
        <f>+((WACC!G4)*PreciosDeCapital!F6)+Depreciaciones!$H$5*PreciosDeCapital!H6-(PreciosDeCapital!H6-PreciosDeCapital!F6)</f>
        <v>0.12750943106363377</v>
      </c>
      <c r="I6" s="227">
        <f>+((WACC!H4)*PreciosDeCapital!H6)+Depreciaciones!$H$5*PreciosDeCapital!I6-(PreciosDeCapital!I6-PreciosDeCapital!H6)</f>
        <v>0.18650319031058712</v>
      </c>
      <c r="J6" s="227">
        <f>+((WACC!I4)*PreciosDeCapital!I6)+Depreciaciones!$H$5*PreciosDeCapital!J6-(PreciosDeCapital!J6-PreciosDeCapital!I6)</f>
        <v>0.18210294235229982</v>
      </c>
      <c r="K6" s="227">
        <f>+((WACC!J4)*PreciosDeCapital!J6)+Depreciaciones!$H$5*PreciosDeCapital!K6-(PreciosDeCapital!K6-PreciosDeCapital!J6)</f>
        <v>8.2471582636155838E-2</v>
      </c>
      <c r="L6" s="227">
        <f>+((WACC!K4)*PreciosDeCapital!K6)+Depreciaciones!$H$5*PreciosDeCapital!L6-(PreciosDeCapital!L6-PreciosDeCapital!K6)</f>
        <v>0.39347969726600313</v>
      </c>
      <c r="M6" s="227">
        <f>+((WACC!L4)*PreciosDeCapital!L6)+Depreciaciones!$H$5*PreciosDeCapital!M6-(PreciosDeCapital!M6-PreciosDeCapital!L6)</f>
        <v>0.16256831394299198</v>
      </c>
      <c r="N6" s="227">
        <f>+((WACC!M4)*PreciosDeCapital!M6)+Depreciaciones!$H$5*PreciosDeCapital!N6-(PreciosDeCapital!N6-PreciosDeCapital!M6)</f>
        <v>0.19239537663080697</v>
      </c>
      <c r="O6" s="227">
        <f>+((WACC!N4)*PreciosDeCapital!N6)+Depreciaciones!$H$5*PreciosDeCapital!O6-(PreciosDeCapital!O6-PreciosDeCapital!N6)</f>
        <v>0.2308345817579619</v>
      </c>
      <c r="R6" s="143"/>
    </row>
    <row r="7" spans="1:18" ht="16.5" customHeight="1">
      <c r="B7" s="267" t="s">
        <v>135</v>
      </c>
      <c r="C7" s="228">
        <f>+((WACC!C4)*PreciosDeCapital!B6)+Depreciaciones!$D$3*PreciosDeCapital!C6-(PreciosDeCapital!C6-PreciosDeCapital!B6)</f>
        <v>0.24658197473858678</v>
      </c>
      <c r="D7" s="228">
        <f>+((WACC!D4)*PreciosDeCapital!C6)+Depreciaciones!$D$3*PreciosDeCapital!D6-(PreciosDeCapital!D6-PreciosDeCapital!C6)</f>
        <v>0.25966903144499387</v>
      </c>
      <c r="E7" s="228">
        <f>+((WACC!E4)*PreciosDeCapital!D6)+Depreciaciones!$D$3*PreciosDeCapital!E6-(PreciosDeCapital!E6-PreciosDeCapital!D6)</f>
        <v>0.18447293233135492</v>
      </c>
      <c r="F7" s="228">
        <f>+((WACC!F4)*PreciosDeCapital!E6)+Depreciaciones!$D$3*PreciosDeCapital!F6-(PreciosDeCapital!F6-PreciosDeCapital!E6)</f>
        <v>0.13037030283666973</v>
      </c>
      <c r="G7" s="228">
        <f>+((WACC!G4)*PreciosDeCapital!F6)+Depreciaciones!$D$3*PreciosDeCapital!G6-(PreciosDeCapital!G6-PreciosDeCapital!F6)</f>
        <v>0.12750943106363377</v>
      </c>
      <c r="H7" s="228">
        <f>+((WACC!G4)*PreciosDeCapital!F6)+Depreciaciones!$D$3*PreciosDeCapital!H6-(PreciosDeCapital!H6-PreciosDeCapital!F6)</f>
        <v>0.12750943106363377</v>
      </c>
      <c r="I7" s="228">
        <f>+((WACC!H4)*PreciosDeCapital!H6)+Depreciaciones!$D$3*PreciosDeCapital!I6-(PreciosDeCapital!I6-PreciosDeCapital!H6)</f>
        <v>0.18650319031058712</v>
      </c>
      <c r="J7" s="228">
        <f>+((WACC!I4)*PreciosDeCapital!I6)+Depreciaciones!$D$3*PreciosDeCapital!J6-(PreciosDeCapital!J6-PreciosDeCapital!I6)</f>
        <v>0.18210294235229982</v>
      </c>
      <c r="K7" s="228">
        <f>+((WACC!J4)*PreciosDeCapital!J6)+Depreciaciones!$D$3*PreciosDeCapital!K6-(PreciosDeCapital!K6-PreciosDeCapital!J6)</f>
        <v>8.2471582636155838E-2</v>
      </c>
      <c r="L7" s="228">
        <f>+((WACC!K4)*PreciosDeCapital!K6)+Depreciaciones!$D$3*PreciosDeCapital!L6-(PreciosDeCapital!L6-PreciosDeCapital!K6)</f>
        <v>0.39347969726600313</v>
      </c>
      <c r="M7" s="228">
        <f>+((WACC!L4)*PreciosDeCapital!L6)+Depreciaciones!$D$3*PreciosDeCapital!M6-(PreciosDeCapital!M6-PreciosDeCapital!L6)</f>
        <v>0.16256831394299198</v>
      </c>
      <c r="N7" s="228">
        <f>+((WACC!M4)*PreciosDeCapital!M6)+Depreciaciones!$D$3*PreciosDeCapital!N6-(PreciosDeCapital!N6-PreciosDeCapital!M6)</f>
        <v>0.19239537663080697</v>
      </c>
      <c r="O7" s="228">
        <f>+((WACC!N4)*PreciosDeCapital!N6)+Depreciaciones!$D$3*PreciosDeCapital!O6-(PreciosDeCapital!O6-PreciosDeCapital!N6)</f>
        <v>0.2308345817579619</v>
      </c>
      <c r="R7" s="143"/>
    </row>
    <row r="8" spans="1:18" ht="16.5" customHeight="1">
      <c r="B8" s="268" t="s">
        <v>136</v>
      </c>
      <c r="C8" s="227">
        <f>+((WACC!C4)*PreciosDeCapital!B6)+Depreciaciones!$D$4*PreciosDeCapital!C6-(PreciosDeCapital!C6-PreciosDeCapital!B6)</f>
        <v>0.39760440773582439</v>
      </c>
      <c r="D8" s="227">
        <f>+((WACC!D4)*PreciosDeCapital!C6)+Depreciaciones!$D$4*PreciosDeCapital!D6-(PreciosDeCapital!D6-PreciosDeCapital!C6)</f>
        <v>0.40989141276954</v>
      </c>
      <c r="E8" s="227">
        <f>+((WACC!E4)*PreciosDeCapital!D6)+Depreciaciones!$D$4*PreciosDeCapital!E6-(PreciosDeCapital!E6-PreciosDeCapital!D6)</f>
        <v>0.34126838923653868</v>
      </c>
      <c r="F8" s="227">
        <f>+((WACC!F4)*PreciosDeCapital!E6)+Depreciaciones!$D$4*PreciosDeCapital!F6-(PreciosDeCapital!F6-PreciosDeCapital!E6)</f>
        <v>0.29843818995119969</v>
      </c>
      <c r="G8" s="227">
        <f>+((WACC!G4)*PreciosDeCapital!F6)+Depreciaciones!$D$4*PreciosDeCapital!G6-(PreciosDeCapital!G6-PreciosDeCapital!F6)</f>
        <v>0.30993192309718431</v>
      </c>
      <c r="H8" s="227">
        <f>+((WACC!G4)*PreciosDeCapital!F6)+Depreciaciones!$D$4*PreciosDeCapital!H6-(PreciosDeCapital!H6-PreciosDeCapital!F6)</f>
        <v>0.30993192309718431</v>
      </c>
      <c r="I8" s="227">
        <f>+((WACC!H4)*PreciosDeCapital!H6)+Depreciaciones!$D$4*PreciosDeCapital!I6-(PreciosDeCapital!I6-PreciosDeCapital!H6)</f>
        <v>0.37830120845801402</v>
      </c>
      <c r="J8" s="227">
        <f>+((WACC!I4)*PreciosDeCapital!I6)+Depreciaciones!$D$4*PreciosDeCapital!J6-(PreciosDeCapital!J6-PreciosDeCapital!I6)</f>
        <v>0.38354481881631819</v>
      </c>
      <c r="K8" s="227">
        <f>+((WACC!J4)*PreciosDeCapital!J6)+Depreciaciones!$D$4*PreciosDeCapital!K6-(PreciosDeCapital!K6-PreciosDeCapital!J6)</f>
        <v>0.31271507411453725</v>
      </c>
      <c r="L8" s="227">
        <f>+((WACC!K4)*PreciosDeCapital!K6)+Depreciaciones!$D$4*PreciosDeCapital!L6-(PreciosDeCapital!L6-PreciosDeCapital!K6)</f>
        <v>0.60930406158482842</v>
      </c>
      <c r="M8" s="227">
        <f>+((WACC!L4)*PreciosDeCapital!L6)+Depreciaciones!$D$4*PreciosDeCapital!M6-(PreciosDeCapital!M6-PreciosDeCapital!L6)</f>
        <v>0.39783378277744252</v>
      </c>
      <c r="N8" s="227">
        <f>+((WACC!M4)*PreciosDeCapital!M6)+Depreciaciones!$D$4*PreciosDeCapital!N6-(PreciosDeCapital!N6-PreciosDeCapital!M6)</f>
        <v>0.44594861681599107</v>
      </c>
      <c r="O8" s="227">
        <f>+((WACC!N4)*PreciosDeCapital!N6)+Depreciaciones!$D$4*PreciosDeCapital!O6-(PreciosDeCapital!O6-PreciosDeCapital!N6)</f>
        <v>0.49980089382546589</v>
      </c>
      <c r="R8" s="143"/>
    </row>
    <row r="9" spans="1:18" ht="16.5" customHeight="1">
      <c r="B9" s="267" t="s">
        <v>137</v>
      </c>
      <c r="C9" s="228">
        <f>+((WACC!C4)*PreciosDeCapital!B6)+Depreciaciones!$D$5*PreciosDeCapital!C6-(PreciosDeCapital!C6-PreciosDeCapital!B6)</f>
        <v>0.24658197473858678</v>
      </c>
      <c r="D9" s="228">
        <f>+((WACC!D4)*PreciosDeCapital!C6)+Depreciaciones!$D$5*PreciosDeCapital!D6-(PreciosDeCapital!D6-PreciosDeCapital!C6)</f>
        <v>0.25966903144499387</v>
      </c>
      <c r="E9" s="228">
        <f>+((WACC!E4)*PreciosDeCapital!D6)+Depreciaciones!$D$5*PreciosDeCapital!E6-(PreciosDeCapital!E6-PreciosDeCapital!D6)</f>
        <v>0.18447293233135492</v>
      </c>
      <c r="F9" s="228">
        <f>+((WACC!F4)*PreciosDeCapital!E6)+Depreciaciones!$D$5*PreciosDeCapital!F6-(PreciosDeCapital!F6-PreciosDeCapital!E6)</f>
        <v>0.13037030283666973</v>
      </c>
      <c r="G9" s="228">
        <f>+((WACC!G4)*PreciosDeCapital!F6)+Depreciaciones!$D$5*PreciosDeCapital!G6-(PreciosDeCapital!G6-PreciosDeCapital!F6)</f>
        <v>0.12750943106363377</v>
      </c>
      <c r="H9" s="228">
        <f>+((WACC!G4)*PreciosDeCapital!F6)+Depreciaciones!$D$5*PreciosDeCapital!H6-(PreciosDeCapital!H6-PreciosDeCapital!F6)</f>
        <v>0.12750943106363377</v>
      </c>
      <c r="I9" s="228">
        <f>+((WACC!H4)*PreciosDeCapital!H6)+Depreciaciones!$D$5*PreciosDeCapital!I6-(PreciosDeCapital!I6-PreciosDeCapital!H6)</f>
        <v>0.18650319031058712</v>
      </c>
      <c r="J9" s="228">
        <f>+((WACC!I4)*PreciosDeCapital!I6)+Depreciaciones!$D$5*PreciosDeCapital!J6-(PreciosDeCapital!J6-PreciosDeCapital!I6)</f>
        <v>0.18210294235229982</v>
      </c>
      <c r="K9" s="228">
        <f>+((WACC!J4)*PreciosDeCapital!J6)+Depreciaciones!$D$5*PreciosDeCapital!K6-(PreciosDeCapital!K6-PreciosDeCapital!J6)</f>
        <v>8.2471582636155838E-2</v>
      </c>
      <c r="L9" s="228">
        <f>+((WACC!K4)*PreciosDeCapital!K6)+Depreciaciones!$D$5*PreciosDeCapital!L6-(PreciosDeCapital!L6-PreciosDeCapital!K6)</f>
        <v>0.39347969726600313</v>
      </c>
      <c r="M9" s="228">
        <f>+((WACC!L4)*PreciosDeCapital!L6)+Depreciaciones!$D$5*PreciosDeCapital!M6-(PreciosDeCapital!M6-PreciosDeCapital!L6)</f>
        <v>0.16256831394299198</v>
      </c>
      <c r="N9" s="228">
        <f>+((WACC!M4)*PreciosDeCapital!M6)+Depreciaciones!$D$5*PreciosDeCapital!N6-(PreciosDeCapital!N6-PreciosDeCapital!M6)</f>
        <v>0.19239537663080697</v>
      </c>
      <c r="O9" s="228">
        <f>+((WACC!N4)*PreciosDeCapital!N6)+Depreciaciones!$D$5*PreciosDeCapital!O6-(PreciosDeCapital!O6-PreciosDeCapital!N6)</f>
        <v>0.2308345817579619</v>
      </c>
      <c r="R9" s="143"/>
    </row>
    <row r="10" spans="1:18" ht="16.5" customHeight="1">
      <c r="B10" s="268" t="s">
        <v>138</v>
      </c>
      <c r="C10" s="227">
        <f>+((WACC!C4)*PreciosDeCapital!B6)+Depreciaciones!$D$6*PreciosDeCapital!C6-(PreciosDeCapital!C6-PreciosDeCapital!B6)</f>
        <v>0.34726359673674517</v>
      </c>
      <c r="D10" s="227">
        <f>+((WACC!D4)*PreciosDeCapital!C6)+Depreciaciones!$D$6*PreciosDeCapital!D6-(PreciosDeCapital!D6-PreciosDeCapital!C6)</f>
        <v>0.35981728566135796</v>
      </c>
      <c r="E10" s="227">
        <f>+((WACC!E4)*PreciosDeCapital!D6)+Depreciaciones!$D$6*PreciosDeCapital!E6-(PreciosDeCapital!E6-PreciosDeCapital!D6)</f>
        <v>0.28900323693481078</v>
      </c>
      <c r="F10" s="227">
        <f>+((WACC!F4)*PreciosDeCapital!E6)+Depreciaciones!$D$6*PreciosDeCapital!F6-(PreciosDeCapital!F6-PreciosDeCapital!E6)</f>
        <v>0.24241556091302308</v>
      </c>
      <c r="G10" s="227">
        <f>+((WACC!G4)*PreciosDeCapital!F6)+Depreciaciones!$D$6*PreciosDeCapital!G6-(PreciosDeCapital!G6-PreciosDeCapital!F6)</f>
        <v>0.24912442575266747</v>
      </c>
      <c r="H10" s="227">
        <f>+((WACC!G4)*PreciosDeCapital!F6)+Depreciaciones!$D$6*PreciosDeCapital!H6-(PreciosDeCapital!H6-PreciosDeCapital!F6)</f>
        <v>0.24912442575266747</v>
      </c>
      <c r="I10" s="227">
        <f>+((WACC!H4)*PreciosDeCapital!H6)+Depreciaciones!$D$6*PreciosDeCapital!I6-(PreciosDeCapital!I6-PreciosDeCapital!H6)</f>
        <v>0.31436853574220508</v>
      </c>
      <c r="J10" s="227">
        <f>+((WACC!I4)*PreciosDeCapital!I6)+Depreciaciones!$D$6*PreciosDeCapital!J6-(PreciosDeCapital!J6-PreciosDeCapital!I6)</f>
        <v>0.31639752666164539</v>
      </c>
      <c r="K10" s="227">
        <f>+((WACC!J4)*PreciosDeCapital!J6)+Depreciaciones!$D$6*PreciosDeCapital!K6-(PreciosDeCapital!K6-PreciosDeCapital!J6)</f>
        <v>0.23596724362174348</v>
      </c>
      <c r="L10" s="227">
        <f>+((WACC!K4)*PreciosDeCapital!K6)+Depreciaciones!$D$6*PreciosDeCapital!L6-(PreciosDeCapital!L6-PreciosDeCapital!K6)</f>
        <v>0.53736260681188663</v>
      </c>
      <c r="M10" s="227">
        <f>+((WACC!L4)*PreciosDeCapital!L6)+Depreciaciones!$D$6*PreciosDeCapital!M6-(PreciosDeCapital!M6-PreciosDeCapital!L6)</f>
        <v>0.31941195983262571</v>
      </c>
      <c r="N10" s="227">
        <f>+((WACC!M4)*PreciosDeCapital!M6)+Depreciaciones!$D$6*PreciosDeCapital!N6-(PreciosDeCapital!N6-PreciosDeCapital!M6)</f>
        <v>0.36143087008759639</v>
      </c>
      <c r="O10" s="227">
        <f>+((WACC!N4)*PreciosDeCapital!N6)+Depreciaciones!$D$6*PreciosDeCapital!O6-(PreciosDeCapital!O6-PreciosDeCapital!N6)</f>
        <v>0.4101454564696313</v>
      </c>
      <c r="R10" s="143"/>
    </row>
    <row r="11" spans="1:18" ht="16.5" customHeight="1">
      <c r="B11" s="267" t="s">
        <v>33</v>
      </c>
      <c r="C11" s="228">
        <f>+((WACC!C4)*PreciosDeCapital!B6)+Depreciaciones!$D$7*PreciosDeCapital!C6-(PreciosDeCapital!C6-PreciosDeCapital!B6)</f>
        <v>0.24658197473858678</v>
      </c>
      <c r="D11" s="228">
        <f>+((WACC!D4)*PreciosDeCapital!C6)+Depreciaciones!$D$7*PreciosDeCapital!D6-(PreciosDeCapital!D6-PreciosDeCapital!C6)</f>
        <v>0.25966903144499387</v>
      </c>
      <c r="E11" s="228">
        <f>+((WACC!E4)*PreciosDeCapital!D6)+Depreciaciones!$D$7*PreciosDeCapital!E6-(PreciosDeCapital!E6-PreciosDeCapital!D6)</f>
        <v>0.18447293233135492</v>
      </c>
      <c r="F11" s="228">
        <f>+((WACC!F4)*PreciosDeCapital!E6)+Depreciaciones!$D$7*PreciosDeCapital!F6-(PreciosDeCapital!F6-PreciosDeCapital!E6)</f>
        <v>0.13037030283666973</v>
      </c>
      <c r="G11" s="228">
        <f>+((WACC!G4)*PreciosDeCapital!F6)+Depreciaciones!$D$7*PreciosDeCapital!G6-(PreciosDeCapital!G6-PreciosDeCapital!F6)</f>
        <v>0.12750943106363377</v>
      </c>
      <c r="H11" s="228">
        <f>+((WACC!G4)*PreciosDeCapital!F6)+Depreciaciones!$D$7*PreciosDeCapital!H6-(PreciosDeCapital!H6-PreciosDeCapital!F6)</f>
        <v>0.12750943106363377</v>
      </c>
      <c r="I11" s="228">
        <f>+((WACC!H4)*PreciosDeCapital!H6)+Depreciaciones!$D$7*PreciosDeCapital!I6-(PreciosDeCapital!I6-PreciosDeCapital!H6)</f>
        <v>0.18650319031058712</v>
      </c>
      <c r="J11" s="228">
        <f>+((WACC!I4)*PreciosDeCapital!I6)+Depreciaciones!$D$7*PreciosDeCapital!J6-(PreciosDeCapital!J6-PreciosDeCapital!I6)</f>
        <v>0.18210294235229982</v>
      </c>
      <c r="K11" s="228">
        <f>+((WACC!J4)*PreciosDeCapital!J6)+Depreciaciones!$D$7*PreciosDeCapital!K6-(PreciosDeCapital!K6-PreciosDeCapital!J6)</f>
        <v>8.2471582636155838E-2</v>
      </c>
      <c r="L11" s="228">
        <f>+((WACC!K4)*PreciosDeCapital!K6)+Depreciaciones!$D$7*PreciosDeCapital!L6-(PreciosDeCapital!L6-PreciosDeCapital!K6)</f>
        <v>0.39347969726600313</v>
      </c>
      <c r="M11" s="228">
        <f>+((WACC!L4)*PreciosDeCapital!L6)+Depreciaciones!$D$7*PreciosDeCapital!M6-(PreciosDeCapital!M6-PreciosDeCapital!L6)</f>
        <v>0.16256831394299198</v>
      </c>
      <c r="N11" s="228">
        <f>+((WACC!M4)*PreciosDeCapital!M6)+Depreciaciones!$D$7*PreciosDeCapital!N6-(PreciosDeCapital!N6-PreciosDeCapital!M6)</f>
        <v>0.19239537663080697</v>
      </c>
      <c r="O11" s="228">
        <f>+((WACC!N4)*PreciosDeCapital!N6)+Depreciaciones!$D$7*PreciosDeCapital!O6-(PreciosDeCapital!O6-PreciosDeCapital!N6)</f>
        <v>0.2308345817579619</v>
      </c>
      <c r="R11" s="143"/>
    </row>
    <row r="12" spans="1:18" ht="16.5" customHeight="1"/>
    <row r="13" spans="1:18">
      <c r="P13" s="129"/>
    </row>
    <row r="14" spans="1:18">
      <c r="B14" s="129"/>
      <c r="P14" s="129"/>
    </row>
    <row r="15" spans="1:18">
      <c r="B15" s="129"/>
      <c r="P15" s="129"/>
    </row>
    <row r="16" spans="1:18">
      <c r="B16" s="129"/>
      <c r="P16" s="129"/>
    </row>
    <row r="17" spans="2:16">
      <c r="B17" s="129"/>
      <c r="P17" s="129"/>
    </row>
    <row r="18" spans="2:16">
      <c r="B18" s="129"/>
      <c r="P18" s="129"/>
    </row>
    <row r="19" spans="2:16">
      <c r="B19" s="129"/>
      <c r="P19" s="129"/>
    </row>
    <row r="20" spans="2:16">
      <c r="B20" s="129"/>
      <c r="P20" s="129"/>
    </row>
    <row r="21" spans="2:16">
      <c r="B21" s="129"/>
      <c r="P21" s="129"/>
    </row>
    <row r="22" spans="2:16">
      <c r="B22" s="129"/>
      <c r="P22" s="129"/>
    </row>
    <row r="23" spans="2:16">
      <c r="B23" s="129"/>
    </row>
    <row r="24" spans="2:16">
      <c r="B24" s="129"/>
    </row>
    <row r="25" spans="2:16">
      <c r="B25" s="129"/>
    </row>
    <row r="26" spans="2:16">
      <c r="B26" s="129"/>
    </row>
    <row r="27" spans="2:16">
      <c r="B27" s="129"/>
    </row>
    <row r="28" spans="2:16">
      <c r="B28" s="129"/>
    </row>
    <row r="29" spans="2:16">
      <c r="B29" s="129"/>
    </row>
    <row r="30" spans="2:16">
      <c r="B30" s="129"/>
    </row>
    <row r="31" spans="2:16">
      <c r="B31" s="129"/>
    </row>
    <row r="32" spans="2:16">
      <c r="B32" s="129"/>
    </row>
    <row r="33" spans="2:2">
      <c r="B33" s="129"/>
    </row>
    <row r="34" spans="2:2">
      <c r="B34" s="129"/>
    </row>
    <row r="35" spans="2:2">
      <c r="B35" s="129"/>
    </row>
    <row r="36" spans="2:2">
      <c r="B36" s="129"/>
    </row>
    <row r="37" spans="2:2">
      <c r="B37" s="129"/>
    </row>
    <row r="38" spans="2:2">
      <c r="B38" s="129"/>
    </row>
  </sheetData>
  <mergeCells count="1">
    <mergeCell ref="E1:H1"/>
  </mergeCells>
  <conditionalFormatting sqref="C4:O4 C6:O6 C8:O11">
    <cfRule type="cellIs" dxfId="0" priority="1" operator="lessThan">
      <formula>0</formula>
    </cfRule>
  </conditionalFormatting>
  <hyperlinks>
    <hyperlink ref="E1:H1" location="Indice!D3" display="ÍNDICE"/>
  </hyperlink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46">
    <tabColor rgb="FF92D050"/>
  </sheetPr>
  <dimension ref="A1:Z17"/>
  <sheetViews>
    <sheetView showGridLines="0" workbookViewId="0">
      <selection activeCell="E1" sqref="E1:H1"/>
    </sheetView>
  </sheetViews>
  <sheetFormatPr baseColWidth="10" defaultRowHeight="9"/>
  <cols>
    <col min="1" max="1" width="23.42578125" style="122" customWidth="1"/>
    <col min="2" max="2" width="9.85546875" style="122" customWidth="1"/>
    <col min="3" max="15" width="9.85546875" style="129" customWidth="1"/>
    <col min="16" max="16" width="13.85546875" style="122" customWidth="1"/>
    <col min="17" max="17" width="11.42578125" style="122" customWidth="1"/>
    <col min="18" max="18" width="12" style="122" bestFit="1" customWidth="1"/>
    <col min="19" max="222" width="11.42578125" style="122"/>
    <col min="223" max="223" width="8.85546875" style="122" customWidth="1"/>
    <col min="224" max="224" width="35.7109375" style="122" bestFit="1" customWidth="1"/>
    <col min="225" max="225" width="5" style="122" customWidth="1"/>
    <col min="226" max="228" width="12.85546875" style="122" bestFit="1" customWidth="1"/>
    <col min="229" max="239" width="15.140625" style="122" customWidth="1"/>
    <col min="240" max="240" width="13.85546875" style="122" customWidth="1"/>
    <col min="241" max="241" width="11.42578125" style="122" customWidth="1"/>
    <col min="242" max="242" width="12" style="122" bestFit="1" customWidth="1"/>
    <col min="243" max="243" width="31.7109375" style="122" customWidth="1"/>
    <col min="244" max="244" width="13.85546875" style="122" customWidth="1"/>
    <col min="245" max="245" width="13.42578125" style="122" customWidth="1"/>
    <col min="246" max="249" width="16.140625" style="122" bestFit="1" customWidth="1"/>
    <col min="250" max="253" width="17.42578125" style="122" bestFit="1" customWidth="1"/>
    <col min="254" max="257" width="17.42578125" style="122" customWidth="1"/>
    <col min="258" max="258" width="27.28515625" style="122" customWidth="1"/>
    <col min="259" max="259" width="15.85546875" style="122" bestFit="1" customWidth="1"/>
    <col min="260" max="260" width="12.42578125" style="122" bestFit="1" customWidth="1"/>
    <col min="261" max="271" width="11.42578125" style="122" customWidth="1"/>
    <col min="272" max="272" width="17.140625" style="122" customWidth="1"/>
    <col min="273" max="273" width="11.42578125" style="122" customWidth="1"/>
    <col min="274" max="274" width="34.28515625" style="122" bestFit="1" customWidth="1"/>
    <col min="275" max="478" width="11.42578125" style="122"/>
    <col min="479" max="479" width="8.85546875" style="122" customWidth="1"/>
    <col min="480" max="480" width="35.7109375" style="122" bestFit="1" customWidth="1"/>
    <col min="481" max="481" width="5" style="122" customWidth="1"/>
    <col min="482" max="484" width="12.85546875" style="122" bestFit="1" customWidth="1"/>
    <col min="485" max="495" width="15.140625" style="122" customWidth="1"/>
    <col min="496" max="496" width="13.85546875" style="122" customWidth="1"/>
    <col min="497" max="497" width="11.42578125" style="122" customWidth="1"/>
    <col min="498" max="498" width="12" style="122" bestFit="1" customWidth="1"/>
    <col min="499" max="499" width="31.7109375" style="122" customWidth="1"/>
    <col min="500" max="500" width="13.85546875" style="122" customWidth="1"/>
    <col min="501" max="501" width="13.42578125" style="122" customWidth="1"/>
    <col min="502" max="505" width="16.140625" style="122" bestFit="1" customWidth="1"/>
    <col min="506" max="509" width="17.42578125" style="122" bestFit="1" customWidth="1"/>
    <col min="510" max="513" width="17.42578125" style="122" customWidth="1"/>
    <col min="514" max="514" width="27.28515625" style="122" customWidth="1"/>
    <col min="515" max="515" width="15.85546875" style="122" bestFit="1" customWidth="1"/>
    <col min="516" max="516" width="12.42578125" style="122" bestFit="1" customWidth="1"/>
    <col min="517" max="527" width="11.42578125" style="122" customWidth="1"/>
    <col min="528" max="528" width="17.140625" style="122" customWidth="1"/>
    <col min="529" max="529" width="11.42578125" style="122" customWidth="1"/>
    <col min="530" max="530" width="34.28515625" style="122" bestFit="1" customWidth="1"/>
    <col min="531" max="734" width="11.42578125" style="122"/>
    <col min="735" max="735" width="8.85546875" style="122" customWidth="1"/>
    <col min="736" max="736" width="35.7109375" style="122" bestFit="1" customWidth="1"/>
    <col min="737" max="737" width="5" style="122" customWidth="1"/>
    <col min="738" max="740" width="12.85546875" style="122" bestFit="1" customWidth="1"/>
    <col min="741" max="751" width="15.140625" style="122" customWidth="1"/>
    <col min="752" max="752" width="13.85546875" style="122" customWidth="1"/>
    <col min="753" max="753" width="11.42578125" style="122" customWidth="1"/>
    <col min="754" max="754" width="12" style="122" bestFit="1" customWidth="1"/>
    <col min="755" max="755" width="31.7109375" style="122" customWidth="1"/>
    <col min="756" max="756" width="13.85546875" style="122" customWidth="1"/>
    <col min="757" max="757" width="13.42578125" style="122" customWidth="1"/>
    <col min="758" max="761" width="16.140625" style="122" bestFit="1" customWidth="1"/>
    <col min="762" max="765" width="17.42578125" style="122" bestFit="1" customWidth="1"/>
    <col min="766" max="769" width="17.42578125" style="122" customWidth="1"/>
    <col min="770" max="770" width="27.28515625" style="122" customWidth="1"/>
    <col min="771" max="771" width="15.85546875" style="122" bestFit="1" customWidth="1"/>
    <col min="772" max="772" width="12.42578125" style="122" bestFit="1" customWidth="1"/>
    <col min="773" max="783" width="11.42578125" style="122" customWidth="1"/>
    <col min="784" max="784" width="17.140625" style="122" customWidth="1"/>
    <col min="785" max="785" width="11.42578125" style="122" customWidth="1"/>
    <col min="786" max="786" width="34.28515625" style="122" bestFit="1" customWidth="1"/>
    <col min="787" max="990" width="11.42578125" style="122"/>
    <col min="991" max="991" width="8.85546875" style="122" customWidth="1"/>
    <col min="992" max="992" width="35.7109375" style="122" bestFit="1" customWidth="1"/>
    <col min="993" max="993" width="5" style="122" customWidth="1"/>
    <col min="994" max="996" width="12.85546875" style="122" bestFit="1" customWidth="1"/>
    <col min="997" max="1007" width="15.140625" style="122" customWidth="1"/>
    <col min="1008" max="1008" width="13.85546875" style="122" customWidth="1"/>
    <col min="1009" max="1009" width="11.42578125" style="122" customWidth="1"/>
    <col min="1010" max="1010" width="12" style="122" bestFit="1" customWidth="1"/>
    <col min="1011" max="1011" width="31.7109375" style="122" customWidth="1"/>
    <col min="1012" max="1012" width="13.85546875" style="122" customWidth="1"/>
    <col min="1013" max="1013" width="13.42578125" style="122" customWidth="1"/>
    <col min="1014" max="1017" width="16.140625" style="122" bestFit="1" customWidth="1"/>
    <col min="1018" max="1021" width="17.42578125" style="122" bestFit="1" customWidth="1"/>
    <col min="1022" max="1025" width="17.42578125" style="122" customWidth="1"/>
    <col min="1026" max="1026" width="27.28515625" style="122" customWidth="1"/>
    <col min="1027" max="1027" width="15.85546875" style="122" bestFit="1" customWidth="1"/>
    <col min="1028" max="1028" width="12.42578125" style="122" bestFit="1" customWidth="1"/>
    <col min="1029" max="1039" width="11.42578125" style="122" customWidth="1"/>
    <col min="1040" max="1040" width="17.140625" style="122" customWidth="1"/>
    <col min="1041" max="1041" width="11.42578125" style="122" customWidth="1"/>
    <col min="1042" max="1042" width="34.28515625" style="122" bestFit="1" customWidth="1"/>
    <col min="1043" max="1246" width="11.42578125" style="122"/>
    <col min="1247" max="1247" width="8.85546875" style="122" customWidth="1"/>
    <col min="1248" max="1248" width="35.7109375" style="122" bestFit="1" customWidth="1"/>
    <col min="1249" max="1249" width="5" style="122" customWidth="1"/>
    <col min="1250" max="1252" width="12.85546875" style="122" bestFit="1" customWidth="1"/>
    <col min="1253" max="1263" width="15.140625" style="122" customWidth="1"/>
    <col min="1264" max="1264" width="13.85546875" style="122" customWidth="1"/>
    <col min="1265" max="1265" width="11.42578125" style="122" customWidth="1"/>
    <col min="1266" max="1266" width="12" style="122" bestFit="1" customWidth="1"/>
    <col min="1267" max="1267" width="31.7109375" style="122" customWidth="1"/>
    <col min="1268" max="1268" width="13.85546875" style="122" customWidth="1"/>
    <col min="1269" max="1269" width="13.42578125" style="122" customWidth="1"/>
    <col min="1270" max="1273" width="16.140625" style="122" bestFit="1" customWidth="1"/>
    <col min="1274" max="1277" width="17.42578125" style="122" bestFit="1" customWidth="1"/>
    <col min="1278" max="1281" width="17.42578125" style="122" customWidth="1"/>
    <col min="1282" max="1282" width="27.28515625" style="122" customWidth="1"/>
    <col min="1283" max="1283" width="15.85546875" style="122" bestFit="1" customWidth="1"/>
    <col min="1284" max="1284" width="12.42578125" style="122" bestFit="1" customWidth="1"/>
    <col min="1285" max="1295" width="11.42578125" style="122" customWidth="1"/>
    <col min="1296" max="1296" width="17.140625" style="122" customWidth="1"/>
    <col min="1297" max="1297" width="11.42578125" style="122" customWidth="1"/>
    <col min="1298" max="1298" width="34.28515625" style="122" bestFit="1" customWidth="1"/>
    <col min="1299" max="1502" width="11.42578125" style="122"/>
    <col min="1503" max="1503" width="8.85546875" style="122" customWidth="1"/>
    <col min="1504" max="1504" width="35.7109375" style="122" bestFit="1" customWidth="1"/>
    <col min="1505" max="1505" width="5" style="122" customWidth="1"/>
    <col min="1506" max="1508" width="12.85546875" style="122" bestFit="1" customWidth="1"/>
    <col min="1509" max="1519" width="15.140625" style="122" customWidth="1"/>
    <col min="1520" max="1520" width="13.85546875" style="122" customWidth="1"/>
    <col min="1521" max="1521" width="11.42578125" style="122" customWidth="1"/>
    <col min="1522" max="1522" width="12" style="122" bestFit="1" customWidth="1"/>
    <col min="1523" max="1523" width="31.7109375" style="122" customWidth="1"/>
    <col min="1524" max="1524" width="13.85546875" style="122" customWidth="1"/>
    <col min="1525" max="1525" width="13.42578125" style="122" customWidth="1"/>
    <col min="1526" max="1529" width="16.140625" style="122" bestFit="1" customWidth="1"/>
    <col min="1530" max="1533" width="17.42578125" style="122" bestFit="1" customWidth="1"/>
    <col min="1534" max="1537" width="17.42578125" style="122" customWidth="1"/>
    <col min="1538" max="1538" width="27.28515625" style="122" customWidth="1"/>
    <col min="1539" max="1539" width="15.85546875" style="122" bestFit="1" customWidth="1"/>
    <col min="1540" max="1540" width="12.42578125" style="122" bestFit="1" customWidth="1"/>
    <col min="1541" max="1551" width="11.42578125" style="122" customWidth="1"/>
    <col min="1552" max="1552" width="17.140625" style="122" customWidth="1"/>
    <col min="1553" max="1553" width="11.42578125" style="122" customWidth="1"/>
    <col min="1554" max="1554" width="34.28515625" style="122" bestFit="1" customWidth="1"/>
    <col min="1555" max="1758" width="11.42578125" style="122"/>
    <col min="1759" max="1759" width="8.85546875" style="122" customWidth="1"/>
    <col min="1760" max="1760" width="35.7109375" style="122" bestFit="1" customWidth="1"/>
    <col min="1761" max="1761" width="5" style="122" customWidth="1"/>
    <col min="1762" max="1764" width="12.85546875" style="122" bestFit="1" customWidth="1"/>
    <col min="1765" max="1775" width="15.140625" style="122" customWidth="1"/>
    <col min="1776" max="1776" width="13.85546875" style="122" customWidth="1"/>
    <col min="1777" max="1777" width="11.42578125" style="122" customWidth="1"/>
    <col min="1778" max="1778" width="12" style="122" bestFit="1" customWidth="1"/>
    <col min="1779" max="1779" width="31.7109375" style="122" customWidth="1"/>
    <col min="1780" max="1780" width="13.85546875" style="122" customWidth="1"/>
    <col min="1781" max="1781" width="13.42578125" style="122" customWidth="1"/>
    <col min="1782" max="1785" width="16.140625" style="122" bestFit="1" customWidth="1"/>
    <col min="1786" max="1789" width="17.42578125" style="122" bestFit="1" customWidth="1"/>
    <col min="1790" max="1793" width="17.42578125" style="122" customWidth="1"/>
    <col min="1794" max="1794" width="27.28515625" style="122" customWidth="1"/>
    <col min="1795" max="1795" width="15.85546875" style="122" bestFit="1" customWidth="1"/>
    <col min="1796" max="1796" width="12.42578125" style="122" bestFit="1" customWidth="1"/>
    <col min="1797" max="1807" width="11.42578125" style="122" customWidth="1"/>
    <col min="1808" max="1808" width="17.140625" style="122" customWidth="1"/>
    <col min="1809" max="1809" width="11.42578125" style="122" customWidth="1"/>
    <col min="1810" max="1810" width="34.28515625" style="122" bestFit="1" customWidth="1"/>
    <col min="1811" max="2014" width="11.42578125" style="122"/>
    <col min="2015" max="2015" width="8.85546875" style="122" customWidth="1"/>
    <col min="2016" max="2016" width="35.7109375" style="122" bestFit="1" customWidth="1"/>
    <col min="2017" max="2017" width="5" style="122" customWidth="1"/>
    <col min="2018" max="2020" width="12.85546875" style="122" bestFit="1" customWidth="1"/>
    <col min="2021" max="2031" width="15.140625" style="122" customWidth="1"/>
    <col min="2032" max="2032" width="13.85546875" style="122" customWidth="1"/>
    <col min="2033" max="2033" width="11.42578125" style="122" customWidth="1"/>
    <col min="2034" max="2034" width="12" style="122" bestFit="1" customWidth="1"/>
    <col min="2035" max="2035" width="31.7109375" style="122" customWidth="1"/>
    <col min="2036" max="2036" width="13.85546875" style="122" customWidth="1"/>
    <col min="2037" max="2037" width="13.42578125" style="122" customWidth="1"/>
    <col min="2038" max="2041" width="16.140625" style="122" bestFit="1" customWidth="1"/>
    <col min="2042" max="2045" width="17.42578125" style="122" bestFit="1" customWidth="1"/>
    <col min="2046" max="2049" width="17.42578125" style="122" customWidth="1"/>
    <col min="2050" max="2050" width="27.28515625" style="122" customWidth="1"/>
    <col min="2051" max="2051" width="15.85546875" style="122" bestFit="1" customWidth="1"/>
    <col min="2052" max="2052" width="12.42578125" style="122" bestFit="1" customWidth="1"/>
    <col min="2053" max="2063" width="11.42578125" style="122" customWidth="1"/>
    <col min="2064" max="2064" width="17.140625" style="122" customWidth="1"/>
    <col min="2065" max="2065" width="11.42578125" style="122" customWidth="1"/>
    <col min="2066" max="2066" width="34.28515625" style="122" bestFit="1" customWidth="1"/>
    <col min="2067" max="2270" width="11.42578125" style="122"/>
    <col min="2271" max="2271" width="8.85546875" style="122" customWidth="1"/>
    <col min="2272" max="2272" width="35.7109375" style="122" bestFit="1" customWidth="1"/>
    <col min="2273" max="2273" width="5" style="122" customWidth="1"/>
    <col min="2274" max="2276" width="12.85546875" style="122" bestFit="1" customWidth="1"/>
    <col min="2277" max="2287" width="15.140625" style="122" customWidth="1"/>
    <col min="2288" max="2288" width="13.85546875" style="122" customWidth="1"/>
    <col min="2289" max="2289" width="11.42578125" style="122" customWidth="1"/>
    <col min="2290" max="2290" width="12" style="122" bestFit="1" customWidth="1"/>
    <col min="2291" max="2291" width="31.7109375" style="122" customWidth="1"/>
    <col min="2292" max="2292" width="13.85546875" style="122" customWidth="1"/>
    <col min="2293" max="2293" width="13.42578125" style="122" customWidth="1"/>
    <col min="2294" max="2297" width="16.140625" style="122" bestFit="1" customWidth="1"/>
    <col min="2298" max="2301" width="17.42578125" style="122" bestFit="1" customWidth="1"/>
    <col min="2302" max="2305" width="17.42578125" style="122" customWidth="1"/>
    <col min="2306" max="2306" width="27.28515625" style="122" customWidth="1"/>
    <col min="2307" max="2307" width="15.85546875" style="122" bestFit="1" customWidth="1"/>
    <col min="2308" max="2308" width="12.42578125" style="122" bestFit="1" customWidth="1"/>
    <col min="2309" max="2319" width="11.42578125" style="122" customWidth="1"/>
    <col min="2320" max="2320" width="17.140625" style="122" customWidth="1"/>
    <col min="2321" max="2321" width="11.42578125" style="122" customWidth="1"/>
    <col min="2322" max="2322" width="34.28515625" style="122" bestFit="1" customWidth="1"/>
    <col min="2323" max="2526" width="11.42578125" style="122"/>
    <col min="2527" max="2527" width="8.85546875" style="122" customWidth="1"/>
    <col min="2528" max="2528" width="35.7109375" style="122" bestFit="1" customWidth="1"/>
    <col min="2529" max="2529" width="5" style="122" customWidth="1"/>
    <col min="2530" max="2532" width="12.85546875" style="122" bestFit="1" customWidth="1"/>
    <col min="2533" max="2543" width="15.140625" style="122" customWidth="1"/>
    <col min="2544" max="2544" width="13.85546875" style="122" customWidth="1"/>
    <col min="2545" max="2545" width="11.42578125" style="122" customWidth="1"/>
    <col min="2546" max="2546" width="12" style="122" bestFit="1" customWidth="1"/>
    <col min="2547" max="2547" width="31.7109375" style="122" customWidth="1"/>
    <col min="2548" max="2548" width="13.85546875" style="122" customWidth="1"/>
    <col min="2549" max="2549" width="13.42578125" style="122" customWidth="1"/>
    <col min="2550" max="2553" width="16.140625" style="122" bestFit="1" customWidth="1"/>
    <col min="2554" max="2557" width="17.42578125" style="122" bestFit="1" customWidth="1"/>
    <col min="2558" max="2561" width="17.42578125" style="122" customWidth="1"/>
    <col min="2562" max="2562" width="27.28515625" style="122" customWidth="1"/>
    <col min="2563" max="2563" width="15.85546875" style="122" bestFit="1" customWidth="1"/>
    <col min="2564" max="2564" width="12.42578125" style="122" bestFit="1" customWidth="1"/>
    <col min="2565" max="2575" width="11.42578125" style="122" customWidth="1"/>
    <col min="2576" max="2576" width="17.140625" style="122" customWidth="1"/>
    <col min="2577" max="2577" width="11.42578125" style="122" customWidth="1"/>
    <col min="2578" max="2578" width="34.28515625" style="122" bestFit="1" customWidth="1"/>
    <col min="2579" max="2782" width="11.42578125" style="122"/>
    <col min="2783" max="2783" width="8.85546875" style="122" customWidth="1"/>
    <col min="2784" max="2784" width="35.7109375" style="122" bestFit="1" customWidth="1"/>
    <col min="2785" max="2785" width="5" style="122" customWidth="1"/>
    <col min="2786" max="2788" width="12.85546875" style="122" bestFit="1" customWidth="1"/>
    <col min="2789" max="2799" width="15.140625" style="122" customWidth="1"/>
    <col min="2800" max="2800" width="13.85546875" style="122" customWidth="1"/>
    <col min="2801" max="2801" width="11.42578125" style="122" customWidth="1"/>
    <col min="2802" max="2802" width="12" style="122" bestFit="1" customWidth="1"/>
    <col min="2803" max="2803" width="31.7109375" style="122" customWidth="1"/>
    <col min="2804" max="2804" width="13.85546875" style="122" customWidth="1"/>
    <col min="2805" max="2805" width="13.42578125" style="122" customWidth="1"/>
    <col min="2806" max="2809" width="16.140625" style="122" bestFit="1" customWidth="1"/>
    <col min="2810" max="2813" width="17.42578125" style="122" bestFit="1" customWidth="1"/>
    <col min="2814" max="2817" width="17.42578125" style="122" customWidth="1"/>
    <col min="2818" max="2818" width="27.28515625" style="122" customWidth="1"/>
    <col min="2819" max="2819" width="15.85546875" style="122" bestFit="1" customWidth="1"/>
    <col min="2820" max="2820" width="12.42578125" style="122" bestFit="1" customWidth="1"/>
    <col min="2821" max="2831" width="11.42578125" style="122" customWidth="1"/>
    <col min="2832" max="2832" width="17.140625" style="122" customWidth="1"/>
    <col min="2833" max="2833" width="11.42578125" style="122" customWidth="1"/>
    <col min="2834" max="2834" width="34.28515625" style="122" bestFit="1" customWidth="1"/>
    <col min="2835" max="3038" width="11.42578125" style="122"/>
    <col min="3039" max="3039" width="8.85546875" style="122" customWidth="1"/>
    <col min="3040" max="3040" width="35.7109375" style="122" bestFit="1" customWidth="1"/>
    <col min="3041" max="3041" width="5" style="122" customWidth="1"/>
    <col min="3042" max="3044" width="12.85546875" style="122" bestFit="1" customWidth="1"/>
    <col min="3045" max="3055" width="15.140625" style="122" customWidth="1"/>
    <col min="3056" max="3056" width="13.85546875" style="122" customWidth="1"/>
    <col min="3057" max="3057" width="11.42578125" style="122" customWidth="1"/>
    <col min="3058" max="3058" width="12" style="122" bestFit="1" customWidth="1"/>
    <col min="3059" max="3059" width="31.7109375" style="122" customWidth="1"/>
    <col min="3060" max="3060" width="13.85546875" style="122" customWidth="1"/>
    <col min="3061" max="3061" width="13.42578125" style="122" customWidth="1"/>
    <col min="3062" max="3065" width="16.140625" style="122" bestFit="1" customWidth="1"/>
    <col min="3066" max="3069" width="17.42578125" style="122" bestFit="1" customWidth="1"/>
    <col min="3070" max="3073" width="17.42578125" style="122" customWidth="1"/>
    <col min="3074" max="3074" width="27.28515625" style="122" customWidth="1"/>
    <col min="3075" max="3075" width="15.85546875" style="122" bestFit="1" customWidth="1"/>
    <col min="3076" max="3076" width="12.42578125" style="122" bestFit="1" customWidth="1"/>
    <col min="3077" max="3087" width="11.42578125" style="122" customWidth="1"/>
    <col min="3088" max="3088" width="17.140625" style="122" customWidth="1"/>
    <col min="3089" max="3089" width="11.42578125" style="122" customWidth="1"/>
    <col min="3090" max="3090" width="34.28515625" style="122" bestFit="1" customWidth="1"/>
    <col min="3091" max="3294" width="11.42578125" style="122"/>
    <col min="3295" max="3295" width="8.85546875" style="122" customWidth="1"/>
    <col min="3296" max="3296" width="35.7109375" style="122" bestFit="1" customWidth="1"/>
    <col min="3297" max="3297" width="5" style="122" customWidth="1"/>
    <col min="3298" max="3300" width="12.85546875" style="122" bestFit="1" customWidth="1"/>
    <col min="3301" max="3311" width="15.140625" style="122" customWidth="1"/>
    <col min="3312" max="3312" width="13.85546875" style="122" customWidth="1"/>
    <col min="3313" max="3313" width="11.42578125" style="122" customWidth="1"/>
    <col min="3314" max="3314" width="12" style="122" bestFit="1" customWidth="1"/>
    <col min="3315" max="3315" width="31.7109375" style="122" customWidth="1"/>
    <col min="3316" max="3316" width="13.85546875" style="122" customWidth="1"/>
    <col min="3317" max="3317" width="13.42578125" style="122" customWidth="1"/>
    <col min="3318" max="3321" width="16.140625" style="122" bestFit="1" customWidth="1"/>
    <col min="3322" max="3325" width="17.42578125" style="122" bestFit="1" customWidth="1"/>
    <col min="3326" max="3329" width="17.42578125" style="122" customWidth="1"/>
    <col min="3330" max="3330" width="27.28515625" style="122" customWidth="1"/>
    <col min="3331" max="3331" width="15.85546875" style="122" bestFit="1" customWidth="1"/>
    <col min="3332" max="3332" width="12.42578125" style="122" bestFit="1" customWidth="1"/>
    <col min="3333" max="3343" width="11.42578125" style="122" customWidth="1"/>
    <col min="3344" max="3344" width="17.140625" style="122" customWidth="1"/>
    <col min="3345" max="3345" width="11.42578125" style="122" customWidth="1"/>
    <col min="3346" max="3346" width="34.28515625" style="122" bestFit="1" customWidth="1"/>
    <col min="3347" max="3550" width="11.42578125" style="122"/>
    <col min="3551" max="3551" width="8.85546875" style="122" customWidth="1"/>
    <col min="3552" max="3552" width="35.7109375" style="122" bestFit="1" customWidth="1"/>
    <col min="3553" max="3553" width="5" style="122" customWidth="1"/>
    <col min="3554" max="3556" width="12.85546875" style="122" bestFit="1" customWidth="1"/>
    <col min="3557" max="3567" width="15.140625" style="122" customWidth="1"/>
    <col min="3568" max="3568" width="13.85546875" style="122" customWidth="1"/>
    <col min="3569" max="3569" width="11.42578125" style="122" customWidth="1"/>
    <col min="3570" max="3570" width="12" style="122" bestFit="1" customWidth="1"/>
    <col min="3571" max="3571" width="31.7109375" style="122" customWidth="1"/>
    <col min="3572" max="3572" width="13.85546875" style="122" customWidth="1"/>
    <col min="3573" max="3573" width="13.42578125" style="122" customWidth="1"/>
    <col min="3574" max="3577" width="16.140625" style="122" bestFit="1" customWidth="1"/>
    <col min="3578" max="3581" width="17.42578125" style="122" bestFit="1" customWidth="1"/>
    <col min="3582" max="3585" width="17.42578125" style="122" customWidth="1"/>
    <col min="3586" max="3586" width="27.28515625" style="122" customWidth="1"/>
    <col min="3587" max="3587" width="15.85546875" style="122" bestFit="1" customWidth="1"/>
    <col min="3588" max="3588" width="12.42578125" style="122" bestFit="1" customWidth="1"/>
    <col min="3589" max="3599" width="11.42578125" style="122" customWidth="1"/>
    <col min="3600" max="3600" width="17.140625" style="122" customWidth="1"/>
    <col min="3601" max="3601" width="11.42578125" style="122" customWidth="1"/>
    <col min="3602" max="3602" width="34.28515625" style="122" bestFit="1" customWidth="1"/>
    <col min="3603" max="3806" width="11.42578125" style="122"/>
    <col min="3807" max="3807" width="8.85546875" style="122" customWidth="1"/>
    <col min="3808" max="3808" width="35.7109375" style="122" bestFit="1" customWidth="1"/>
    <col min="3809" max="3809" width="5" style="122" customWidth="1"/>
    <col min="3810" max="3812" width="12.85546875" style="122" bestFit="1" customWidth="1"/>
    <col min="3813" max="3823" width="15.140625" style="122" customWidth="1"/>
    <col min="3824" max="3824" width="13.85546875" style="122" customWidth="1"/>
    <col min="3825" max="3825" width="11.42578125" style="122" customWidth="1"/>
    <col min="3826" max="3826" width="12" style="122" bestFit="1" customWidth="1"/>
    <col min="3827" max="3827" width="31.7109375" style="122" customWidth="1"/>
    <col min="3828" max="3828" width="13.85546875" style="122" customWidth="1"/>
    <col min="3829" max="3829" width="13.42578125" style="122" customWidth="1"/>
    <col min="3830" max="3833" width="16.140625" style="122" bestFit="1" customWidth="1"/>
    <col min="3834" max="3837" width="17.42578125" style="122" bestFit="1" customWidth="1"/>
    <col min="3838" max="3841" width="17.42578125" style="122" customWidth="1"/>
    <col min="3842" max="3842" width="27.28515625" style="122" customWidth="1"/>
    <col min="3843" max="3843" width="15.85546875" style="122" bestFit="1" customWidth="1"/>
    <col min="3844" max="3844" width="12.42578125" style="122" bestFit="1" customWidth="1"/>
    <col min="3845" max="3855" width="11.42578125" style="122" customWidth="1"/>
    <col min="3856" max="3856" width="17.140625" style="122" customWidth="1"/>
    <col min="3857" max="3857" width="11.42578125" style="122" customWidth="1"/>
    <col min="3858" max="3858" width="34.28515625" style="122" bestFit="1" customWidth="1"/>
    <col min="3859" max="4062" width="11.42578125" style="122"/>
    <col min="4063" max="4063" width="8.85546875" style="122" customWidth="1"/>
    <col min="4064" max="4064" width="35.7109375" style="122" bestFit="1" customWidth="1"/>
    <col min="4065" max="4065" width="5" style="122" customWidth="1"/>
    <col min="4066" max="4068" width="12.85546875" style="122" bestFit="1" customWidth="1"/>
    <col min="4069" max="4079" width="15.140625" style="122" customWidth="1"/>
    <col min="4080" max="4080" width="13.85546875" style="122" customWidth="1"/>
    <col min="4081" max="4081" width="11.42578125" style="122" customWidth="1"/>
    <col min="4082" max="4082" width="12" style="122" bestFit="1" customWidth="1"/>
    <col min="4083" max="4083" width="31.7109375" style="122" customWidth="1"/>
    <col min="4084" max="4084" width="13.85546875" style="122" customWidth="1"/>
    <col min="4085" max="4085" width="13.42578125" style="122" customWidth="1"/>
    <col min="4086" max="4089" width="16.140625" style="122" bestFit="1" customWidth="1"/>
    <col min="4090" max="4093" width="17.42578125" style="122" bestFit="1" customWidth="1"/>
    <col min="4094" max="4097" width="17.42578125" style="122" customWidth="1"/>
    <col min="4098" max="4098" width="27.28515625" style="122" customWidth="1"/>
    <col min="4099" max="4099" width="15.85546875" style="122" bestFit="1" customWidth="1"/>
    <col min="4100" max="4100" width="12.42578125" style="122" bestFit="1" customWidth="1"/>
    <col min="4101" max="4111" width="11.42578125" style="122" customWidth="1"/>
    <col min="4112" max="4112" width="17.140625" style="122" customWidth="1"/>
    <col min="4113" max="4113" width="11.42578125" style="122" customWidth="1"/>
    <col min="4114" max="4114" width="34.28515625" style="122" bestFit="1" customWidth="1"/>
    <col min="4115" max="4318" width="11.42578125" style="122"/>
    <col min="4319" max="4319" width="8.85546875" style="122" customWidth="1"/>
    <col min="4320" max="4320" width="35.7109375" style="122" bestFit="1" customWidth="1"/>
    <col min="4321" max="4321" width="5" style="122" customWidth="1"/>
    <col min="4322" max="4324" width="12.85546875" style="122" bestFit="1" customWidth="1"/>
    <col min="4325" max="4335" width="15.140625" style="122" customWidth="1"/>
    <col min="4336" max="4336" width="13.85546875" style="122" customWidth="1"/>
    <col min="4337" max="4337" width="11.42578125" style="122" customWidth="1"/>
    <col min="4338" max="4338" width="12" style="122" bestFit="1" customWidth="1"/>
    <col min="4339" max="4339" width="31.7109375" style="122" customWidth="1"/>
    <col min="4340" max="4340" width="13.85546875" style="122" customWidth="1"/>
    <col min="4341" max="4341" width="13.42578125" style="122" customWidth="1"/>
    <col min="4342" max="4345" width="16.140625" style="122" bestFit="1" customWidth="1"/>
    <col min="4346" max="4349" width="17.42578125" style="122" bestFit="1" customWidth="1"/>
    <col min="4350" max="4353" width="17.42578125" style="122" customWidth="1"/>
    <col min="4354" max="4354" width="27.28515625" style="122" customWidth="1"/>
    <col min="4355" max="4355" width="15.85546875" style="122" bestFit="1" customWidth="1"/>
    <col min="4356" max="4356" width="12.42578125" style="122" bestFit="1" customWidth="1"/>
    <col min="4357" max="4367" width="11.42578125" style="122" customWidth="1"/>
    <col min="4368" max="4368" width="17.140625" style="122" customWidth="1"/>
    <col min="4369" max="4369" width="11.42578125" style="122" customWidth="1"/>
    <col min="4370" max="4370" width="34.28515625" style="122" bestFit="1" customWidth="1"/>
    <col min="4371" max="4574" width="11.42578125" style="122"/>
    <col min="4575" max="4575" width="8.85546875" style="122" customWidth="1"/>
    <col min="4576" max="4576" width="35.7109375" style="122" bestFit="1" customWidth="1"/>
    <col min="4577" max="4577" width="5" style="122" customWidth="1"/>
    <col min="4578" max="4580" width="12.85546875" style="122" bestFit="1" customWidth="1"/>
    <col min="4581" max="4591" width="15.140625" style="122" customWidth="1"/>
    <col min="4592" max="4592" width="13.85546875" style="122" customWidth="1"/>
    <col min="4593" max="4593" width="11.42578125" style="122" customWidth="1"/>
    <col min="4594" max="4594" width="12" style="122" bestFit="1" customWidth="1"/>
    <col min="4595" max="4595" width="31.7109375" style="122" customWidth="1"/>
    <col min="4596" max="4596" width="13.85546875" style="122" customWidth="1"/>
    <col min="4597" max="4597" width="13.42578125" style="122" customWidth="1"/>
    <col min="4598" max="4601" width="16.140625" style="122" bestFit="1" customWidth="1"/>
    <col min="4602" max="4605" width="17.42578125" style="122" bestFit="1" customWidth="1"/>
    <col min="4606" max="4609" width="17.42578125" style="122" customWidth="1"/>
    <col min="4610" max="4610" width="27.28515625" style="122" customWidth="1"/>
    <col min="4611" max="4611" width="15.85546875" style="122" bestFit="1" customWidth="1"/>
    <col min="4612" max="4612" width="12.42578125" style="122" bestFit="1" customWidth="1"/>
    <col min="4613" max="4623" width="11.42578125" style="122" customWidth="1"/>
    <col min="4624" max="4624" width="17.140625" style="122" customWidth="1"/>
    <col min="4625" max="4625" width="11.42578125" style="122" customWidth="1"/>
    <col min="4626" max="4626" width="34.28515625" style="122" bestFit="1" customWidth="1"/>
    <col min="4627" max="4830" width="11.42578125" style="122"/>
    <col min="4831" max="4831" width="8.85546875" style="122" customWidth="1"/>
    <col min="4832" max="4832" width="35.7109375" style="122" bestFit="1" customWidth="1"/>
    <col min="4833" max="4833" width="5" style="122" customWidth="1"/>
    <col min="4834" max="4836" width="12.85546875" style="122" bestFit="1" customWidth="1"/>
    <col min="4837" max="4847" width="15.140625" style="122" customWidth="1"/>
    <col min="4848" max="4848" width="13.85546875" style="122" customWidth="1"/>
    <col min="4849" max="4849" width="11.42578125" style="122" customWidth="1"/>
    <col min="4850" max="4850" width="12" style="122" bestFit="1" customWidth="1"/>
    <col min="4851" max="4851" width="31.7109375" style="122" customWidth="1"/>
    <col min="4852" max="4852" width="13.85546875" style="122" customWidth="1"/>
    <col min="4853" max="4853" width="13.42578125" style="122" customWidth="1"/>
    <col min="4854" max="4857" width="16.140625" style="122" bestFit="1" customWidth="1"/>
    <col min="4858" max="4861" width="17.42578125" style="122" bestFit="1" customWidth="1"/>
    <col min="4862" max="4865" width="17.42578125" style="122" customWidth="1"/>
    <col min="4866" max="4866" width="27.28515625" style="122" customWidth="1"/>
    <col min="4867" max="4867" width="15.85546875" style="122" bestFit="1" customWidth="1"/>
    <col min="4868" max="4868" width="12.42578125" style="122" bestFit="1" customWidth="1"/>
    <col min="4869" max="4879" width="11.42578125" style="122" customWidth="1"/>
    <col min="4880" max="4880" width="17.140625" style="122" customWidth="1"/>
    <col min="4881" max="4881" width="11.42578125" style="122" customWidth="1"/>
    <col min="4882" max="4882" width="34.28515625" style="122" bestFit="1" customWidth="1"/>
    <col min="4883" max="5086" width="11.42578125" style="122"/>
    <col min="5087" max="5087" width="8.85546875" style="122" customWidth="1"/>
    <col min="5088" max="5088" width="35.7109375" style="122" bestFit="1" customWidth="1"/>
    <col min="5089" max="5089" width="5" style="122" customWidth="1"/>
    <col min="5090" max="5092" width="12.85546875" style="122" bestFit="1" customWidth="1"/>
    <col min="5093" max="5103" width="15.140625" style="122" customWidth="1"/>
    <col min="5104" max="5104" width="13.85546875" style="122" customWidth="1"/>
    <col min="5105" max="5105" width="11.42578125" style="122" customWidth="1"/>
    <col min="5106" max="5106" width="12" style="122" bestFit="1" customWidth="1"/>
    <col min="5107" max="5107" width="31.7109375" style="122" customWidth="1"/>
    <col min="5108" max="5108" width="13.85546875" style="122" customWidth="1"/>
    <col min="5109" max="5109" width="13.42578125" style="122" customWidth="1"/>
    <col min="5110" max="5113" width="16.140625" style="122" bestFit="1" customWidth="1"/>
    <col min="5114" max="5117" width="17.42578125" style="122" bestFit="1" customWidth="1"/>
    <col min="5118" max="5121" width="17.42578125" style="122" customWidth="1"/>
    <col min="5122" max="5122" width="27.28515625" style="122" customWidth="1"/>
    <col min="5123" max="5123" width="15.85546875" style="122" bestFit="1" customWidth="1"/>
    <col min="5124" max="5124" width="12.42578125" style="122" bestFit="1" customWidth="1"/>
    <col min="5125" max="5135" width="11.42578125" style="122" customWidth="1"/>
    <col min="5136" max="5136" width="17.140625" style="122" customWidth="1"/>
    <col min="5137" max="5137" width="11.42578125" style="122" customWidth="1"/>
    <col min="5138" max="5138" width="34.28515625" style="122" bestFit="1" customWidth="1"/>
    <col min="5139" max="5342" width="11.42578125" style="122"/>
    <col min="5343" max="5343" width="8.85546875" style="122" customWidth="1"/>
    <col min="5344" max="5344" width="35.7109375" style="122" bestFit="1" customWidth="1"/>
    <col min="5345" max="5345" width="5" style="122" customWidth="1"/>
    <col min="5346" max="5348" width="12.85546875" style="122" bestFit="1" customWidth="1"/>
    <col min="5349" max="5359" width="15.140625" style="122" customWidth="1"/>
    <col min="5360" max="5360" width="13.85546875" style="122" customWidth="1"/>
    <col min="5361" max="5361" width="11.42578125" style="122" customWidth="1"/>
    <col min="5362" max="5362" width="12" style="122" bestFit="1" customWidth="1"/>
    <col min="5363" max="5363" width="31.7109375" style="122" customWidth="1"/>
    <col min="5364" max="5364" width="13.85546875" style="122" customWidth="1"/>
    <col min="5365" max="5365" width="13.42578125" style="122" customWidth="1"/>
    <col min="5366" max="5369" width="16.140625" style="122" bestFit="1" customWidth="1"/>
    <col min="5370" max="5373" width="17.42578125" style="122" bestFit="1" customWidth="1"/>
    <col min="5374" max="5377" width="17.42578125" style="122" customWidth="1"/>
    <col min="5378" max="5378" width="27.28515625" style="122" customWidth="1"/>
    <col min="5379" max="5379" width="15.85546875" style="122" bestFit="1" customWidth="1"/>
    <col min="5380" max="5380" width="12.42578125" style="122" bestFit="1" customWidth="1"/>
    <col min="5381" max="5391" width="11.42578125" style="122" customWidth="1"/>
    <col min="5392" max="5392" width="17.140625" style="122" customWidth="1"/>
    <col min="5393" max="5393" width="11.42578125" style="122" customWidth="1"/>
    <col min="5394" max="5394" width="34.28515625" style="122" bestFit="1" customWidth="1"/>
    <col min="5395" max="5598" width="11.42578125" style="122"/>
    <col min="5599" max="5599" width="8.85546875" style="122" customWidth="1"/>
    <col min="5600" max="5600" width="35.7109375" style="122" bestFit="1" customWidth="1"/>
    <col min="5601" max="5601" width="5" style="122" customWidth="1"/>
    <col min="5602" max="5604" width="12.85546875" style="122" bestFit="1" customWidth="1"/>
    <col min="5605" max="5615" width="15.140625" style="122" customWidth="1"/>
    <col min="5616" max="5616" width="13.85546875" style="122" customWidth="1"/>
    <col min="5617" max="5617" width="11.42578125" style="122" customWidth="1"/>
    <col min="5618" max="5618" width="12" style="122" bestFit="1" customWidth="1"/>
    <col min="5619" max="5619" width="31.7109375" style="122" customWidth="1"/>
    <col min="5620" max="5620" width="13.85546875" style="122" customWidth="1"/>
    <col min="5621" max="5621" width="13.42578125" style="122" customWidth="1"/>
    <col min="5622" max="5625" width="16.140625" style="122" bestFit="1" customWidth="1"/>
    <col min="5626" max="5629" width="17.42578125" style="122" bestFit="1" customWidth="1"/>
    <col min="5630" max="5633" width="17.42578125" style="122" customWidth="1"/>
    <col min="5634" max="5634" width="27.28515625" style="122" customWidth="1"/>
    <col min="5635" max="5635" width="15.85546875" style="122" bestFit="1" customWidth="1"/>
    <col min="5636" max="5636" width="12.42578125" style="122" bestFit="1" customWidth="1"/>
    <col min="5637" max="5647" width="11.42578125" style="122" customWidth="1"/>
    <col min="5648" max="5648" width="17.140625" style="122" customWidth="1"/>
    <col min="5649" max="5649" width="11.42578125" style="122" customWidth="1"/>
    <col min="5650" max="5650" width="34.28515625" style="122" bestFit="1" customWidth="1"/>
    <col min="5651" max="5854" width="11.42578125" style="122"/>
    <col min="5855" max="5855" width="8.85546875" style="122" customWidth="1"/>
    <col min="5856" max="5856" width="35.7109375" style="122" bestFit="1" customWidth="1"/>
    <col min="5857" max="5857" width="5" style="122" customWidth="1"/>
    <col min="5858" max="5860" width="12.85546875" style="122" bestFit="1" customWidth="1"/>
    <col min="5861" max="5871" width="15.140625" style="122" customWidth="1"/>
    <col min="5872" max="5872" width="13.85546875" style="122" customWidth="1"/>
    <col min="5873" max="5873" width="11.42578125" style="122" customWidth="1"/>
    <col min="5874" max="5874" width="12" style="122" bestFit="1" customWidth="1"/>
    <col min="5875" max="5875" width="31.7109375" style="122" customWidth="1"/>
    <col min="5876" max="5876" width="13.85546875" style="122" customWidth="1"/>
    <col min="5877" max="5877" width="13.42578125" style="122" customWidth="1"/>
    <col min="5878" max="5881" width="16.140625" style="122" bestFit="1" customWidth="1"/>
    <col min="5882" max="5885" width="17.42578125" style="122" bestFit="1" customWidth="1"/>
    <col min="5886" max="5889" width="17.42578125" style="122" customWidth="1"/>
    <col min="5890" max="5890" width="27.28515625" style="122" customWidth="1"/>
    <col min="5891" max="5891" width="15.85546875" style="122" bestFit="1" customWidth="1"/>
    <col min="5892" max="5892" width="12.42578125" style="122" bestFit="1" customWidth="1"/>
    <col min="5893" max="5903" width="11.42578125" style="122" customWidth="1"/>
    <col min="5904" max="5904" width="17.140625" style="122" customWidth="1"/>
    <col min="5905" max="5905" width="11.42578125" style="122" customWidth="1"/>
    <col min="5906" max="5906" width="34.28515625" style="122" bestFit="1" customWidth="1"/>
    <col min="5907" max="6110" width="11.42578125" style="122"/>
    <col min="6111" max="6111" width="8.85546875" style="122" customWidth="1"/>
    <col min="6112" max="6112" width="35.7109375" style="122" bestFit="1" customWidth="1"/>
    <col min="6113" max="6113" width="5" style="122" customWidth="1"/>
    <col min="6114" max="6116" width="12.85546875" style="122" bestFit="1" customWidth="1"/>
    <col min="6117" max="6127" width="15.140625" style="122" customWidth="1"/>
    <col min="6128" max="6128" width="13.85546875" style="122" customWidth="1"/>
    <col min="6129" max="6129" width="11.42578125" style="122" customWidth="1"/>
    <col min="6130" max="6130" width="12" style="122" bestFit="1" customWidth="1"/>
    <col min="6131" max="6131" width="31.7109375" style="122" customWidth="1"/>
    <col min="6132" max="6132" width="13.85546875" style="122" customWidth="1"/>
    <col min="6133" max="6133" width="13.42578125" style="122" customWidth="1"/>
    <col min="6134" max="6137" width="16.140625" style="122" bestFit="1" customWidth="1"/>
    <col min="6138" max="6141" width="17.42578125" style="122" bestFit="1" customWidth="1"/>
    <col min="6142" max="6145" width="17.42578125" style="122" customWidth="1"/>
    <col min="6146" max="6146" width="27.28515625" style="122" customWidth="1"/>
    <col min="6147" max="6147" width="15.85546875" style="122" bestFit="1" customWidth="1"/>
    <col min="6148" max="6148" width="12.42578125" style="122" bestFit="1" customWidth="1"/>
    <col min="6149" max="6159" width="11.42578125" style="122" customWidth="1"/>
    <col min="6160" max="6160" width="17.140625" style="122" customWidth="1"/>
    <col min="6161" max="6161" width="11.42578125" style="122" customWidth="1"/>
    <col min="6162" max="6162" width="34.28515625" style="122" bestFit="1" customWidth="1"/>
    <col min="6163" max="6366" width="11.42578125" style="122"/>
    <col min="6367" max="6367" width="8.85546875" style="122" customWidth="1"/>
    <col min="6368" max="6368" width="35.7109375" style="122" bestFit="1" customWidth="1"/>
    <col min="6369" max="6369" width="5" style="122" customWidth="1"/>
    <col min="6370" max="6372" width="12.85546875" style="122" bestFit="1" customWidth="1"/>
    <col min="6373" max="6383" width="15.140625" style="122" customWidth="1"/>
    <col min="6384" max="6384" width="13.85546875" style="122" customWidth="1"/>
    <col min="6385" max="6385" width="11.42578125" style="122" customWidth="1"/>
    <col min="6386" max="6386" width="12" style="122" bestFit="1" customWidth="1"/>
    <col min="6387" max="6387" width="31.7109375" style="122" customWidth="1"/>
    <col min="6388" max="6388" width="13.85546875" style="122" customWidth="1"/>
    <col min="6389" max="6389" width="13.42578125" style="122" customWidth="1"/>
    <col min="6390" max="6393" width="16.140625" style="122" bestFit="1" customWidth="1"/>
    <col min="6394" max="6397" width="17.42578125" style="122" bestFit="1" customWidth="1"/>
    <col min="6398" max="6401" width="17.42578125" style="122" customWidth="1"/>
    <col min="6402" max="6402" width="27.28515625" style="122" customWidth="1"/>
    <col min="6403" max="6403" width="15.85546875" style="122" bestFit="1" customWidth="1"/>
    <col min="6404" max="6404" width="12.42578125" style="122" bestFit="1" customWidth="1"/>
    <col min="6405" max="6415" width="11.42578125" style="122" customWidth="1"/>
    <col min="6416" max="6416" width="17.140625" style="122" customWidth="1"/>
    <col min="6417" max="6417" width="11.42578125" style="122" customWidth="1"/>
    <col min="6418" max="6418" width="34.28515625" style="122" bestFit="1" customWidth="1"/>
    <col min="6419" max="6622" width="11.42578125" style="122"/>
    <col min="6623" max="6623" width="8.85546875" style="122" customWidth="1"/>
    <col min="6624" max="6624" width="35.7109375" style="122" bestFit="1" customWidth="1"/>
    <col min="6625" max="6625" width="5" style="122" customWidth="1"/>
    <col min="6626" max="6628" width="12.85546875" style="122" bestFit="1" customWidth="1"/>
    <col min="6629" max="6639" width="15.140625" style="122" customWidth="1"/>
    <col min="6640" max="6640" width="13.85546875" style="122" customWidth="1"/>
    <col min="6641" max="6641" width="11.42578125" style="122" customWidth="1"/>
    <col min="6642" max="6642" width="12" style="122" bestFit="1" customWidth="1"/>
    <col min="6643" max="6643" width="31.7109375" style="122" customWidth="1"/>
    <col min="6644" max="6644" width="13.85546875" style="122" customWidth="1"/>
    <col min="6645" max="6645" width="13.42578125" style="122" customWidth="1"/>
    <col min="6646" max="6649" width="16.140625" style="122" bestFit="1" customWidth="1"/>
    <col min="6650" max="6653" width="17.42578125" style="122" bestFit="1" customWidth="1"/>
    <col min="6654" max="6657" width="17.42578125" style="122" customWidth="1"/>
    <col min="6658" max="6658" width="27.28515625" style="122" customWidth="1"/>
    <col min="6659" max="6659" width="15.85546875" style="122" bestFit="1" customWidth="1"/>
    <col min="6660" max="6660" width="12.42578125" style="122" bestFit="1" customWidth="1"/>
    <col min="6661" max="6671" width="11.42578125" style="122" customWidth="1"/>
    <col min="6672" max="6672" width="17.140625" style="122" customWidth="1"/>
    <col min="6673" max="6673" width="11.42578125" style="122" customWidth="1"/>
    <col min="6674" max="6674" width="34.28515625" style="122" bestFit="1" customWidth="1"/>
    <col min="6675" max="6878" width="11.42578125" style="122"/>
    <col min="6879" max="6879" width="8.85546875" style="122" customWidth="1"/>
    <col min="6880" max="6880" width="35.7109375" style="122" bestFit="1" customWidth="1"/>
    <col min="6881" max="6881" width="5" style="122" customWidth="1"/>
    <col min="6882" max="6884" width="12.85546875" style="122" bestFit="1" customWidth="1"/>
    <col min="6885" max="6895" width="15.140625" style="122" customWidth="1"/>
    <col min="6896" max="6896" width="13.85546875" style="122" customWidth="1"/>
    <col min="6897" max="6897" width="11.42578125" style="122" customWidth="1"/>
    <col min="6898" max="6898" width="12" style="122" bestFit="1" customWidth="1"/>
    <col min="6899" max="6899" width="31.7109375" style="122" customWidth="1"/>
    <col min="6900" max="6900" width="13.85546875" style="122" customWidth="1"/>
    <col min="6901" max="6901" width="13.42578125" style="122" customWidth="1"/>
    <col min="6902" max="6905" width="16.140625" style="122" bestFit="1" customWidth="1"/>
    <col min="6906" max="6909" width="17.42578125" style="122" bestFit="1" customWidth="1"/>
    <col min="6910" max="6913" width="17.42578125" style="122" customWidth="1"/>
    <col min="6914" max="6914" width="27.28515625" style="122" customWidth="1"/>
    <col min="6915" max="6915" width="15.85546875" style="122" bestFit="1" customWidth="1"/>
    <col min="6916" max="6916" width="12.42578125" style="122" bestFit="1" customWidth="1"/>
    <col min="6917" max="6927" width="11.42578125" style="122" customWidth="1"/>
    <col min="6928" max="6928" width="17.140625" style="122" customWidth="1"/>
    <col min="6929" max="6929" width="11.42578125" style="122" customWidth="1"/>
    <col min="6930" max="6930" width="34.28515625" style="122" bestFit="1" customWidth="1"/>
    <col min="6931" max="7134" width="11.42578125" style="122"/>
    <col min="7135" max="7135" width="8.85546875" style="122" customWidth="1"/>
    <col min="7136" max="7136" width="35.7109375" style="122" bestFit="1" customWidth="1"/>
    <col min="7137" max="7137" width="5" style="122" customWidth="1"/>
    <col min="7138" max="7140" width="12.85546875" style="122" bestFit="1" customWidth="1"/>
    <col min="7141" max="7151" width="15.140625" style="122" customWidth="1"/>
    <col min="7152" max="7152" width="13.85546875" style="122" customWidth="1"/>
    <col min="7153" max="7153" width="11.42578125" style="122" customWidth="1"/>
    <col min="7154" max="7154" width="12" style="122" bestFit="1" customWidth="1"/>
    <col min="7155" max="7155" width="31.7109375" style="122" customWidth="1"/>
    <col min="7156" max="7156" width="13.85546875" style="122" customWidth="1"/>
    <col min="7157" max="7157" width="13.42578125" style="122" customWidth="1"/>
    <col min="7158" max="7161" width="16.140625" style="122" bestFit="1" customWidth="1"/>
    <col min="7162" max="7165" width="17.42578125" style="122" bestFit="1" customWidth="1"/>
    <col min="7166" max="7169" width="17.42578125" style="122" customWidth="1"/>
    <col min="7170" max="7170" width="27.28515625" style="122" customWidth="1"/>
    <col min="7171" max="7171" width="15.85546875" style="122" bestFit="1" customWidth="1"/>
    <col min="7172" max="7172" width="12.42578125" style="122" bestFit="1" customWidth="1"/>
    <col min="7173" max="7183" width="11.42578125" style="122" customWidth="1"/>
    <col min="7184" max="7184" width="17.140625" style="122" customWidth="1"/>
    <col min="7185" max="7185" width="11.42578125" style="122" customWidth="1"/>
    <col min="7186" max="7186" width="34.28515625" style="122" bestFit="1" customWidth="1"/>
    <col min="7187" max="7390" width="11.42578125" style="122"/>
    <col min="7391" max="7391" width="8.85546875" style="122" customWidth="1"/>
    <col min="7392" max="7392" width="35.7109375" style="122" bestFit="1" customWidth="1"/>
    <col min="7393" max="7393" width="5" style="122" customWidth="1"/>
    <col min="7394" max="7396" width="12.85546875" style="122" bestFit="1" customWidth="1"/>
    <col min="7397" max="7407" width="15.140625" style="122" customWidth="1"/>
    <col min="7408" max="7408" width="13.85546875" style="122" customWidth="1"/>
    <col min="7409" max="7409" width="11.42578125" style="122" customWidth="1"/>
    <col min="7410" max="7410" width="12" style="122" bestFit="1" customWidth="1"/>
    <col min="7411" max="7411" width="31.7109375" style="122" customWidth="1"/>
    <col min="7412" max="7412" width="13.85546875" style="122" customWidth="1"/>
    <col min="7413" max="7413" width="13.42578125" style="122" customWidth="1"/>
    <col min="7414" max="7417" width="16.140625" style="122" bestFit="1" customWidth="1"/>
    <col min="7418" max="7421" width="17.42578125" style="122" bestFit="1" customWidth="1"/>
    <col min="7422" max="7425" width="17.42578125" style="122" customWidth="1"/>
    <col min="7426" max="7426" width="27.28515625" style="122" customWidth="1"/>
    <col min="7427" max="7427" width="15.85546875" style="122" bestFit="1" customWidth="1"/>
    <col min="7428" max="7428" width="12.42578125" style="122" bestFit="1" customWidth="1"/>
    <col min="7429" max="7439" width="11.42578125" style="122" customWidth="1"/>
    <col min="7440" max="7440" width="17.140625" style="122" customWidth="1"/>
    <col min="7441" max="7441" width="11.42578125" style="122" customWidth="1"/>
    <col min="7442" max="7442" width="34.28515625" style="122" bestFit="1" customWidth="1"/>
    <col min="7443" max="7646" width="11.42578125" style="122"/>
    <col min="7647" max="7647" width="8.85546875" style="122" customWidth="1"/>
    <col min="7648" max="7648" width="35.7109375" style="122" bestFit="1" customWidth="1"/>
    <col min="7649" max="7649" width="5" style="122" customWidth="1"/>
    <col min="7650" max="7652" width="12.85546875" style="122" bestFit="1" customWidth="1"/>
    <col min="7653" max="7663" width="15.140625" style="122" customWidth="1"/>
    <col min="7664" max="7664" width="13.85546875" style="122" customWidth="1"/>
    <col min="7665" max="7665" width="11.42578125" style="122" customWidth="1"/>
    <col min="7666" max="7666" width="12" style="122" bestFit="1" customWidth="1"/>
    <col min="7667" max="7667" width="31.7109375" style="122" customWidth="1"/>
    <col min="7668" max="7668" width="13.85546875" style="122" customWidth="1"/>
    <col min="7669" max="7669" width="13.42578125" style="122" customWidth="1"/>
    <col min="7670" max="7673" width="16.140625" style="122" bestFit="1" customWidth="1"/>
    <col min="7674" max="7677" width="17.42578125" style="122" bestFit="1" customWidth="1"/>
    <col min="7678" max="7681" width="17.42578125" style="122" customWidth="1"/>
    <col min="7682" max="7682" width="27.28515625" style="122" customWidth="1"/>
    <col min="7683" max="7683" width="15.85546875" style="122" bestFit="1" customWidth="1"/>
    <col min="7684" max="7684" width="12.42578125" style="122" bestFit="1" customWidth="1"/>
    <col min="7685" max="7695" width="11.42578125" style="122" customWidth="1"/>
    <col min="7696" max="7696" width="17.140625" style="122" customWidth="1"/>
    <col min="7697" max="7697" width="11.42578125" style="122" customWidth="1"/>
    <col min="7698" max="7698" width="34.28515625" style="122" bestFit="1" customWidth="1"/>
    <col min="7699" max="7902" width="11.42578125" style="122"/>
    <col min="7903" max="7903" width="8.85546875" style="122" customWidth="1"/>
    <col min="7904" max="7904" width="35.7109375" style="122" bestFit="1" customWidth="1"/>
    <col min="7905" max="7905" width="5" style="122" customWidth="1"/>
    <col min="7906" max="7908" width="12.85546875" style="122" bestFit="1" customWidth="1"/>
    <col min="7909" max="7919" width="15.140625" style="122" customWidth="1"/>
    <col min="7920" max="7920" width="13.85546875" style="122" customWidth="1"/>
    <col min="7921" max="7921" width="11.42578125" style="122" customWidth="1"/>
    <col min="7922" max="7922" width="12" style="122" bestFit="1" customWidth="1"/>
    <col min="7923" max="7923" width="31.7109375" style="122" customWidth="1"/>
    <col min="7924" max="7924" width="13.85546875" style="122" customWidth="1"/>
    <col min="7925" max="7925" width="13.42578125" style="122" customWidth="1"/>
    <col min="7926" max="7929" width="16.140625" style="122" bestFit="1" customWidth="1"/>
    <col min="7930" max="7933" width="17.42578125" style="122" bestFit="1" customWidth="1"/>
    <col min="7934" max="7937" width="17.42578125" style="122" customWidth="1"/>
    <col min="7938" max="7938" width="27.28515625" style="122" customWidth="1"/>
    <col min="7939" max="7939" width="15.85546875" style="122" bestFit="1" customWidth="1"/>
    <col min="7940" max="7940" width="12.42578125" style="122" bestFit="1" customWidth="1"/>
    <col min="7941" max="7951" width="11.42578125" style="122" customWidth="1"/>
    <col min="7952" max="7952" width="17.140625" style="122" customWidth="1"/>
    <col min="7953" max="7953" width="11.42578125" style="122" customWidth="1"/>
    <col min="7954" max="7954" width="34.28515625" style="122" bestFit="1" customWidth="1"/>
    <col min="7955" max="8158" width="11.42578125" style="122"/>
    <col min="8159" max="8159" width="8.85546875" style="122" customWidth="1"/>
    <col min="8160" max="8160" width="35.7109375" style="122" bestFit="1" customWidth="1"/>
    <col min="8161" max="8161" width="5" style="122" customWidth="1"/>
    <col min="8162" max="8164" width="12.85546875" style="122" bestFit="1" customWidth="1"/>
    <col min="8165" max="8175" width="15.140625" style="122" customWidth="1"/>
    <col min="8176" max="8176" width="13.85546875" style="122" customWidth="1"/>
    <col min="8177" max="8177" width="11.42578125" style="122" customWidth="1"/>
    <col min="8178" max="8178" width="12" style="122" bestFit="1" customWidth="1"/>
    <col min="8179" max="8179" width="31.7109375" style="122" customWidth="1"/>
    <col min="8180" max="8180" width="13.85546875" style="122" customWidth="1"/>
    <col min="8181" max="8181" width="13.42578125" style="122" customWidth="1"/>
    <col min="8182" max="8185" width="16.140625" style="122" bestFit="1" customWidth="1"/>
    <col min="8186" max="8189" width="17.42578125" style="122" bestFit="1" customWidth="1"/>
    <col min="8190" max="8193" width="17.42578125" style="122" customWidth="1"/>
    <col min="8194" max="8194" width="27.28515625" style="122" customWidth="1"/>
    <col min="8195" max="8195" width="15.85546875" style="122" bestFit="1" customWidth="1"/>
    <col min="8196" max="8196" width="12.42578125" style="122" bestFit="1" customWidth="1"/>
    <col min="8197" max="8207" width="11.42578125" style="122" customWidth="1"/>
    <col min="8208" max="8208" width="17.140625" style="122" customWidth="1"/>
    <col min="8209" max="8209" width="11.42578125" style="122" customWidth="1"/>
    <col min="8210" max="8210" width="34.28515625" style="122" bestFit="1" customWidth="1"/>
    <col min="8211" max="8414" width="11.42578125" style="122"/>
    <col min="8415" max="8415" width="8.85546875" style="122" customWidth="1"/>
    <col min="8416" max="8416" width="35.7109375" style="122" bestFit="1" customWidth="1"/>
    <col min="8417" max="8417" width="5" style="122" customWidth="1"/>
    <col min="8418" max="8420" width="12.85546875" style="122" bestFit="1" customWidth="1"/>
    <col min="8421" max="8431" width="15.140625" style="122" customWidth="1"/>
    <col min="8432" max="8432" width="13.85546875" style="122" customWidth="1"/>
    <col min="8433" max="8433" width="11.42578125" style="122" customWidth="1"/>
    <col min="8434" max="8434" width="12" style="122" bestFit="1" customWidth="1"/>
    <col min="8435" max="8435" width="31.7109375" style="122" customWidth="1"/>
    <col min="8436" max="8436" width="13.85546875" style="122" customWidth="1"/>
    <col min="8437" max="8437" width="13.42578125" style="122" customWidth="1"/>
    <col min="8438" max="8441" width="16.140625" style="122" bestFit="1" customWidth="1"/>
    <col min="8442" max="8445" width="17.42578125" style="122" bestFit="1" customWidth="1"/>
    <col min="8446" max="8449" width="17.42578125" style="122" customWidth="1"/>
    <col min="8450" max="8450" width="27.28515625" style="122" customWidth="1"/>
    <col min="8451" max="8451" width="15.85546875" style="122" bestFit="1" customWidth="1"/>
    <col min="8452" max="8452" width="12.42578125" style="122" bestFit="1" customWidth="1"/>
    <col min="8453" max="8463" width="11.42578125" style="122" customWidth="1"/>
    <col min="8464" max="8464" width="17.140625" style="122" customWidth="1"/>
    <col min="8465" max="8465" width="11.42578125" style="122" customWidth="1"/>
    <col min="8466" max="8466" width="34.28515625" style="122" bestFit="1" customWidth="1"/>
    <col min="8467" max="8670" width="11.42578125" style="122"/>
    <col min="8671" max="8671" width="8.85546875" style="122" customWidth="1"/>
    <col min="8672" max="8672" width="35.7109375" style="122" bestFit="1" customWidth="1"/>
    <col min="8673" max="8673" width="5" style="122" customWidth="1"/>
    <col min="8674" max="8676" width="12.85546875" style="122" bestFit="1" customWidth="1"/>
    <col min="8677" max="8687" width="15.140625" style="122" customWidth="1"/>
    <col min="8688" max="8688" width="13.85546875" style="122" customWidth="1"/>
    <col min="8689" max="8689" width="11.42578125" style="122" customWidth="1"/>
    <col min="8690" max="8690" width="12" style="122" bestFit="1" customWidth="1"/>
    <col min="8691" max="8691" width="31.7109375" style="122" customWidth="1"/>
    <col min="8692" max="8692" width="13.85546875" style="122" customWidth="1"/>
    <col min="8693" max="8693" width="13.42578125" style="122" customWidth="1"/>
    <col min="8694" max="8697" width="16.140625" style="122" bestFit="1" customWidth="1"/>
    <col min="8698" max="8701" width="17.42578125" style="122" bestFit="1" customWidth="1"/>
    <col min="8702" max="8705" width="17.42578125" style="122" customWidth="1"/>
    <col min="8706" max="8706" width="27.28515625" style="122" customWidth="1"/>
    <col min="8707" max="8707" width="15.85546875" style="122" bestFit="1" customWidth="1"/>
    <col min="8708" max="8708" width="12.42578125" style="122" bestFit="1" customWidth="1"/>
    <col min="8709" max="8719" width="11.42578125" style="122" customWidth="1"/>
    <col min="8720" max="8720" width="17.140625" style="122" customWidth="1"/>
    <col min="8721" max="8721" width="11.42578125" style="122" customWidth="1"/>
    <col min="8722" max="8722" width="34.28515625" style="122" bestFit="1" customWidth="1"/>
    <col min="8723" max="8926" width="11.42578125" style="122"/>
    <col min="8927" max="8927" width="8.85546875" style="122" customWidth="1"/>
    <col min="8928" max="8928" width="35.7109375" style="122" bestFit="1" customWidth="1"/>
    <col min="8929" max="8929" width="5" style="122" customWidth="1"/>
    <col min="8930" max="8932" width="12.85546875" style="122" bestFit="1" customWidth="1"/>
    <col min="8933" max="8943" width="15.140625" style="122" customWidth="1"/>
    <col min="8944" max="8944" width="13.85546875" style="122" customWidth="1"/>
    <col min="8945" max="8945" width="11.42578125" style="122" customWidth="1"/>
    <col min="8946" max="8946" width="12" style="122" bestFit="1" customWidth="1"/>
    <col min="8947" max="8947" width="31.7109375" style="122" customWidth="1"/>
    <col min="8948" max="8948" width="13.85546875" style="122" customWidth="1"/>
    <col min="8949" max="8949" width="13.42578125" style="122" customWidth="1"/>
    <col min="8950" max="8953" width="16.140625" style="122" bestFit="1" customWidth="1"/>
    <col min="8954" max="8957" width="17.42578125" style="122" bestFit="1" customWidth="1"/>
    <col min="8958" max="8961" width="17.42578125" style="122" customWidth="1"/>
    <col min="8962" max="8962" width="27.28515625" style="122" customWidth="1"/>
    <col min="8963" max="8963" width="15.85546875" style="122" bestFit="1" customWidth="1"/>
    <col min="8964" max="8964" width="12.42578125" style="122" bestFit="1" customWidth="1"/>
    <col min="8965" max="8975" width="11.42578125" style="122" customWidth="1"/>
    <col min="8976" max="8976" width="17.140625" style="122" customWidth="1"/>
    <col min="8977" max="8977" width="11.42578125" style="122" customWidth="1"/>
    <col min="8978" max="8978" width="34.28515625" style="122" bestFit="1" customWidth="1"/>
    <col min="8979" max="9182" width="11.42578125" style="122"/>
    <col min="9183" max="9183" width="8.85546875" style="122" customWidth="1"/>
    <col min="9184" max="9184" width="35.7109375" style="122" bestFit="1" customWidth="1"/>
    <col min="9185" max="9185" width="5" style="122" customWidth="1"/>
    <col min="9186" max="9188" width="12.85546875" style="122" bestFit="1" customWidth="1"/>
    <col min="9189" max="9199" width="15.140625" style="122" customWidth="1"/>
    <col min="9200" max="9200" width="13.85546875" style="122" customWidth="1"/>
    <col min="9201" max="9201" width="11.42578125" style="122" customWidth="1"/>
    <col min="9202" max="9202" width="12" style="122" bestFit="1" customWidth="1"/>
    <col min="9203" max="9203" width="31.7109375" style="122" customWidth="1"/>
    <col min="9204" max="9204" width="13.85546875" style="122" customWidth="1"/>
    <col min="9205" max="9205" width="13.42578125" style="122" customWidth="1"/>
    <col min="9206" max="9209" width="16.140625" style="122" bestFit="1" customWidth="1"/>
    <col min="9210" max="9213" width="17.42578125" style="122" bestFit="1" customWidth="1"/>
    <col min="9214" max="9217" width="17.42578125" style="122" customWidth="1"/>
    <col min="9218" max="9218" width="27.28515625" style="122" customWidth="1"/>
    <col min="9219" max="9219" width="15.85546875" style="122" bestFit="1" customWidth="1"/>
    <col min="9220" max="9220" width="12.42578125" style="122" bestFit="1" customWidth="1"/>
    <col min="9221" max="9231" width="11.42578125" style="122" customWidth="1"/>
    <col min="9232" max="9232" width="17.140625" style="122" customWidth="1"/>
    <col min="9233" max="9233" width="11.42578125" style="122" customWidth="1"/>
    <col min="9234" max="9234" width="34.28515625" style="122" bestFit="1" customWidth="1"/>
    <col min="9235" max="9438" width="11.42578125" style="122"/>
    <col min="9439" max="9439" width="8.85546875" style="122" customWidth="1"/>
    <col min="9440" max="9440" width="35.7109375" style="122" bestFit="1" customWidth="1"/>
    <col min="9441" max="9441" width="5" style="122" customWidth="1"/>
    <col min="9442" max="9444" width="12.85546875" style="122" bestFit="1" customWidth="1"/>
    <col min="9445" max="9455" width="15.140625" style="122" customWidth="1"/>
    <col min="9456" max="9456" width="13.85546875" style="122" customWidth="1"/>
    <col min="9457" max="9457" width="11.42578125" style="122" customWidth="1"/>
    <col min="9458" max="9458" width="12" style="122" bestFit="1" customWidth="1"/>
    <col min="9459" max="9459" width="31.7109375" style="122" customWidth="1"/>
    <col min="9460" max="9460" width="13.85546875" style="122" customWidth="1"/>
    <col min="9461" max="9461" width="13.42578125" style="122" customWidth="1"/>
    <col min="9462" max="9465" width="16.140625" style="122" bestFit="1" customWidth="1"/>
    <col min="9466" max="9469" width="17.42578125" style="122" bestFit="1" customWidth="1"/>
    <col min="9470" max="9473" width="17.42578125" style="122" customWidth="1"/>
    <col min="9474" max="9474" width="27.28515625" style="122" customWidth="1"/>
    <col min="9475" max="9475" width="15.85546875" style="122" bestFit="1" customWidth="1"/>
    <col min="9476" max="9476" width="12.42578125" style="122" bestFit="1" customWidth="1"/>
    <col min="9477" max="9487" width="11.42578125" style="122" customWidth="1"/>
    <col min="9488" max="9488" width="17.140625" style="122" customWidth="1"/>
    <col min="9489" max="9489" width="11.42578125" style="122" customWidth="1"/>
    <col min="9490" max="9490" width="34.28515625" style="122" bestFit="1" customWidth="1"/>
    <col min="9491" max="9694" width="11.42578125" style="122"/>
    <col min="9695" max="9695" width="8.85546875" style="122" customWidth="1"/>
    <col min="9696" max="9696" width="35.7109375" style="122" bestFit="1" customWidth="1"/>
    <col min="9697" max="9697" width="5" style="122" customWidth="1"/>
    <col min="9698" max="9700" width="12.85546875" style="122" bestFit="1" customWidth="1"/>
    <col min="9701" max="9711" width="15.140625" style="122" customWidth="1"/>
    <col min="9712" max="9712" width="13.85546875" style="122" customWidth="1"/>
    <col min="9713" max="9713" width="11.42578125" style="122" customWidth="1"/>
    <col min="9714" max="9714" width="12" style="122" bestFit="1" customWidth="1"/>
    <col min="9715" max="9715" width="31.7109375" style="122" customWidth="1"/>
    <col min="9716" max="9716" width="13.85546875" style="122" customWidth="1"/>
    <col min="9717" max="9717" width="13.42578125" style="122" customWidth="1"/>
    <col min="9718" max="9721" width="16.140625" style="122" bestFit="1" customWidth="1"/>
    <col min="9722" max="9725" width="17.42578125" style="122" bestFit="1" customWidth="1"/>
    <col min="9726" max="9729" width="17.42578125" style="122" customWidth="1"/>
    <col min="9730" max="9730" width="27.28515625" style="122" customWidth="1"/>
    <col min="9731" max="9731" width="15.85546875" style="122" bestFit="1" customWidth="1"/>
    <col min="9732" max="9732" width="12.42578125" style="122" bestFit="1" customWidth="1"/>
    <col min="9733" max="9743" width="11.42578125" style="122" customWidth="1"/>
    <col min="9744" max="9744" width="17.140625" style="122" customWidth="1"/>
    <col min="9745" max="9745" width="11.42578125" style="122" customWidth="1"/>
    <col min="9746" max="9746" width="34.28515625" style="122" bestFit="1" customWidth="1"/>
    <col min="9747" max="9950" width="11.42578125" style="122"/>
    <col min="9951" max="9951" width="8.85546875" style="122" customWidth="1"/>
    <col min="9952" max="9952" width="35.7109375" style="122" bestFit="1" customWidth="1"/>
    <col min="9953" max="9953" width="5" style="122" customWidth="1"/>
    <col min="9954" max="9956" width="12.85546875" style="122" bestFit="1" customWidth="1"/>
    <col min="9957" max="9967" width="15.140625" style="122" customWidth="1"/>
    <col min="9968" max="9968" width="13.85546875" style="122" customWidth="1"/>
    <col min="9969" max="9969" width="11.42578125" style="122" customWidth="1"/>
    <col min="9970" max="9970" width="12" style="122" bestFit="1" customWidth="1"/>
    <col min="9971" max="9971" width="31.7109375" style="122" customWidth="1"/>
    <col min="9972" max="9972" width="13.85546875" style="122" customWidth="1"/>
    <col min="9973" max="9973" width="13.42578125" style="122" customWidth="1"/>
    <col min="9974" max="9977" width="16.140625" style="122" bestFit="1" customWidth="1"/>
    <col min="9978" max="9981" width="17.42578125" style="122" bestFit="1" customWidth="1"/>
    <col min="9982" max="9985" width="17.42578125" style="122" customWidth="1"/>
    <col min="9986" max="9986" width="27.28515625" style="122" customWidth="1"/>
    <col min="9987" max="9987" width="15.85546875" style="122" bestFit="1" customWidth="1"/>
    <col min="9988" max="9988" width="12.42578125" style="122" bestFit="1" customWidth="1"/>
    <col min="9989" max="9999" width="11.42578125" style="122" customWidth="1"/>
    <col min="10000" max="10000" width="17.140625" style="122" customWidth="1"/>
    <col min="10001" max="10001" width="11.42578125" style="122" customWidth="1"/>
    <col min="10002" max="10002" width="34.28515625" style="122" bestFit="1" customWidth="1"/>
    <col min="10003" max="10206" width="11.42578125" style="122"/>
    <col min="10207" max="10207" width="8.85546875" style="122" customWidth="1"/>
    <col min="10208" max="10208" width="35.7109375" style="122" bestFit="1" customWidth="1"/>
    <col min="10209" max="10209" width="5" style="122" customWidth="1"/>
    <col min="10210" max="10212" width="12.85546875" style="122" bestFit="1" customWidth="1"/>
    <col min="10213" max="10223" width="15.140625" style="122" customWidth="1"/>
    <col min="10224" max="10224" width="13.85546875" style="122" customWidth="1"/>
    <col min="10225" max="10225" width="11.42578125" style="122" customWidth="1"/>
    <col min="10226" max="10226" width="12" style="122" bestFit="1" customWidth="1"/>
    <col min="10227" max="10227" width="31.7109375" style="122" customWidth="1"/>
    <col min="10228" max="10228" width="13.85546875" style="122" customWidth="1"/>
    <col min="10229" max="10229" width="13.42578125" style="122" customWidth="1"/>
    <col min="10230" max="10233" width="16.140625" style="122" bestFit="1" customWidth="1"/>
    <col min="10234" max="10237" width="17.42578125" style="122" bestFit="1" customWidth="1"/>
    <col min="10238" max="10241" width="17.42578125" style="122" customWidth="1"/>
    <col min="10242" max="10242" width="27.28515625" style="122" customWidth="1"/>
    <col min="10243" max="10243" width="15.85546875" style="122" bestFit="1" customWidth="1"/>
    <col min="10244" max="10244" width="12.42578125" style="122" bestFit="1" customWidth="1"/>
    <col min="10245" max="10255" width="11.42578125" style="122" customWidth="1"/>
    <col min="10256" max="10256" width="17.140625" style="122" customWidth="1"/>
    <col min="10257" max="10257" width="11.42578125" style="122" customWidth="1"/>
    <col min="10258" max="10258" width="34.28515625" style="122" bestFit="1" customWidth="1"/>
    <col min="10259" max="10462" width="11.42578125" style="122"/>
    <col min="10463" max="10463" width="8.85546875" style="122" customWidth="1"/>
    <col min="10464" max="10464" width="35.7109375" style="122" bestFit="1" customWidth="1"/>
    <col min="10465" max="10465" width="5" style="122" customWidth="1"/>
    <col min="10466" max="10468" width="12.85546875" style="122" bestFit="1" customWidth="1"/>
    <col min="10469" max="10479" width="15.140625" style="122" customWidth="1"/>
    <col min="10480" max="10480" width="13.85546875" style="122" customWidth="1"/>
    <col min="10481" max="10481" width="11.42578125" style="122" customWidth="1"/>
    <col min="10482" max="10482" width="12" style="122" bestFit="1" customWidth="1"/>
    <col min="10483" max="10483" width="31.7109375" style="122" customWidth="1"/>
    <col min="10484" max="10484" width="13.85546875" style="122" customWidth="1"/>
    <col min="10485" max="10485" width="13.42578125" style="122" customWidth="1"/>
    <col min="10486" max="10489" width="16.140625" style="122" bestFit="1" customWidth="1"/>
    <col min="10490" max="10493" width="17.42578125" style="122" bestFit="1" customWidth="1"/>
    <col min="10494" max="10497" width="17.42578125" style="122" customWidth="1"/>
    <col min="10498" max="10498" width="27.28515625" style="122" customWidth="1"/>
    <col min="10499" max="10499" width="15.85546875" style="122" bestFit="1" customWidth="1"/>
    <col min="10500" max="10500" width="12.42578125" style="122" bestFit="1" customWidth="1"/>
    <col min="10501" max="10511" width="11.42578125" style="122" customWidth="1"/>
    <col min="10512" max="10512" width="17.140625" style="122" customWidth="1"/>
    <col min="10513" max="10513" width="11.42578125" style="122" customWidth="1"/>
    <col min="10514" max="10514" width="34.28515625" style="122" bestFit="1" customWidth="1"/>
    <col min="10515" max="10718" width="11.42578125" style="122"/>
    <col min="10719" max="10719" width="8.85546875" style="122" customWidth="1"/>
    <col min="10720" max="10720" width="35.7109375" style="122" bestFit="1" customWidth="1"/>
    <col min="10721" max="10721" width="5" style="122" customWidth="1"/>
    <col min="10722" max="10724" width="12.85546875" style="122" bestFit="1" customWidth="1"/>
    <col min="10725" max="10735" width="15.140625" style="122" customWidth="1"/>
    <col min="10736" max="10736" width="13.85546875" style="122" customWidth="1"/>
    <col min="10737" max="10737" width="11.42578125" style="122" customWidth="1"/>
    <col min="10738" max="10738" width="12" style="122" bestFit="1" customWidth="1"/>
    <col min="10739" max="10739" width="31.7109375" style="122" customWidth="1"/>
    <col min="10740" max="10740" width="13.85546875" style="122" customWidth="1"/>
    <col min="10741" max="10741" width="13.42578125" style="122" customWidth="1"/>
    <col min="10742" max="10745" width="16.140625" style="122" bestFit="1" customWidth="1"/>
    <col min="10746" max="10749" width="17.42578125" style="122" bestFit="1" customWidth="1"/>
    <col min="10750" max="10753" width="17.42578125" style="122" customWidth="1"/>
    <col min="10754" max="10754" width="27.28515625" style="122" customWidth="1"/>
    <col min="10755" max="10755" width="15.85546875" style="122" bestFit="1" customWidth="1"/>
    <col min="10756" max="10756" width="12.42578125" style="122" bestFit="1" customWidth="1"/>
    <col min="10757" max="10767" width="11.42578125" style="122" customWidth="1"/>
    <col min="10768" max="10768" width="17.140625" style="122" customWidth="1"/>
    <col min="10769" max="10769" width="11.42578125" style="122" customWidth="1"/>
    <col min="10770" max="10770" width="34.28515625" style="122" bestFit="1" customWidth="1"/>
    <col min="10771" max="10974" width="11.42578125" style="122"/>
    <col min="10975" max="10975" width="8.85546875" style="122" customWidth="1"/>
    <col min="10976" max="10976" width="35.7109375" style="122" bestFit="1" customWidth="1"/>
    <col min="10977" max="10977" width="5" style="122" customWidth="1"/>
    <col min="10978" max="10980" width="12.85546875" style="122" bestFit="1" customWidth="1"/>
    <col min="10981" max="10991" width="15.140625" style="122" customWidth="1"/>
    <col min="10992" max="10992" width="13.85546875" style="122" customWidth="1"/>
    <col min="10993" max="10993" width="11.42578125" style="122" customWidth="1"/>
    <col min="10994" max="10994" width="12" style="122" bestFit="1" customWidth="1"/>
    <col min="10995" max="10995" width="31.7109375" style="122" customWidth="1"/>
    <col min="10996" max="10996" width="13.85546875" style="122" customWidth="1"/>
    <col min="10997" max="10997" width="13.42578125" style="122" customWidth="1"/>
    <col min="10998" max="11001" width="16.140625" style="122" bestFit="1" customWidth="1"/>
    <col min="11002" max="11005" width="17.42578125" style="122" bestFit="1" customWidth="1"/>
    <col min="11006" max="11009" width="17.42578125" style="122" customWidth="1"/>
    <col min="11010" max="11010" width="27.28515625" style="122" customWidth="1"/>
    <col min="11011" max="11011" width="15.85546875" style="122" bestFit="1" customWidth="1"/>
    <col min="11012" max="11012" width="12.42578125" style="122" bestFit="1" customWidth="1"/>
    <col min="11013" max="11023" width="11.42578125" style="122" customWidth="1"/>
    <col min="11024" max="11024" width="17.140625" style="122" customWidth="1"/>
    <col min="11025" max="11025" width="11.42578125" style="122" customWidth="1"/>
    <col min="11026" max="11026" width="34.28515625" style="122" bestFit="1" customWidth="1"/>
    <col min="11027" max="11230" width="11.42578125" style="122"/>
    <col min="11231" max="11231" width="8.85546875" style="122" customWidth="1"/>
    <col min="11232" max="11232" width="35.7109375" style="122" bestFit="1" customWidth="1"/>
    <col min="11233" max="11233" width="5" style="122" customWidth="1"/>
    <col min="11234" max="11236" width="12.85546875" style="122" bestFit="1" customWidth="1"/>
    <col min="11237" max="11247" width="15.140625" style="122" customWidth="1"/>
    <col min="11248" max="11248" width="13.85546875" style="122" customWidth="1"/>
    <col min="11249" max="11249" width="11.42578125" style="122" customWidth="1"/>
    <col min="11250" max="11250" width="12" style="122" bestFit="1" customWidth="1"/>
    <col min="11251" max="11251" width="31.7109375" style="122" customWidth="1"/>
    <col min="11252" max="11252" width="13.85546875" style="122" customWidth="1"/>
    <col min="11253" max="11253" width="13.42578125" style="122" customWidth="1"/>
    <col min="11254" max="11257" width="16.140625" style="122" bestFit="1" customWidth="1"/>
    <col min="11258" max="11261" width="17.42578125" style="122" bestFit="1" customWidth="1"/>
    <col min="11262" max="11265" width="17.42578125" style="122" customWidth="1"/>
    <col min="11266" max="11266" width="27.28515625" style="122" customWidth="1"/>
    <col min="11267" max="11267" width="15.85546875" style="122" bestFit="1" customWidth="1"/>
    <col min="11268" max="11268" width="12.42578125" style="122" bestFit="1" customWidth="1"/>
    <col min="11269" max="11279" width="11.42578125" style="122" customWidth="1"/>
    <col min="11280" max="11280" width="17.140625" style="122" customWidth="1"/>
    <col min="11281" max="11281" width="11.42578125" style="122" customWidth="1"/>
    <col min="11282" max="11282" width="34.28515625" style="122" bestFit="1" customWidth="1"/>
    <col min="11283" max="11486" width="11.42578125" style="122"/>
    <col min="11487" max="11487" width="8.85546875" style="122" customWidth="1"/>
    <col min="11488" max="11488" width="35.7109375" style="122" bestFit="1" customWidth="1"/>
    <col min="11489" max="11489" width="5" style="122" customWidth="1"/>
    <col min="11490" max="11492" width="12.85546875" style="122" bestFit="1" customWidth="1"/>
    <col min="11493" max="11503" width="15.140625" style="122" customWidth="1"/>
    <col min="11504" max="11504" width="13.85546875" style="122" customWidth="1"/>
    <col min="11505" max="11505" width="11.42578125" style="122" customWidth="1"/>
    <col min="11506" max="11506" width="12" style="122" bestFit="1" customWidth="1"/>
    <col min="11507" max="11507" width="31.7109375" style="122" customWidth="1"/>
    <col min="11508" max="11508" width="13.85546875" style="122" customWidth="1"/>
    <col min="11509" max="11509" width="13.42578125" style="122" customWidth="1"/>
    <col min="11510" max="11513" width="16.140625" style="122" bestFit="1" customWidth="1"/>
    <col min="11514" max="11517" width="17.42578125" style="122" bestFit="1" customWidth="1"/>
    <col min="11518" max="11521" width="17.42578125" style="122" customWidth="1"/>
    <col min="11522" max="11522" width="27.28515625" style="122" customWidth="1"/>
    <col min="11523" max="11523" width="15.85546875" style="122" bestFit="1" customWidth="1"/>
    <col min="11524" max="11524" width="12.42578125" style="122" bestFit="1" customWidth="1"/>
    <col min="11525" max="11535" width="11.42578125" style="122" customWidth="1"/>
    <col min="11536" max="11536" width="17.140625" style="122" customWidth="1"/>
    <col min="11537" max="11537" width="11.42578125" style="122" customWidth="1"/>
    <col min="11538" max="11538" width="34.28515625" style="122" bestFit="1" customWidth="1"/>
    <col min="11539" max="11742" width="11.42578125" style="122"/>
    <col min="11743" max="11743" width="8.85546875" style="122" customWidth="1"/>
    <col min="11744" max="11744" width="35.7109375" style="122" bestFit="1" customWidth="1"/>
    <col min="11745" max="11745" width="5" style="122" customWidth="1"/>
    <col min="11746" max="11748" width="12.85546875" style="122" bestFit="1" customWidth="1"/>
    <col min="11749" max="11759" width="15.140625" style="122" customWidth="1"/>
    <col min="11760" max="11760" width="13.85546875" style="122" customWidth="1"/>
    <col min="11761" max="11761" width="11.42578125" style="122" customWidth="1"/>
    <col min="11762" max="11762" width="12" style="122" bestFit="1" customWidth="1"/>
    <col min="11763" max="11763" width="31.7109375" style="122" customWidth="1"/>
    <col min="11764" max="11764" width="13.85546875" style="122" customWidth="1"/>
    <col min="11765" max="11765" width="13.42578125" style="122" customWidth="1"/>
    <col min="11766" max="11769" width="16.140625" style="122" bestFit="1" customWidth="1"/>
    <col min="11770" max="11773" width="17.42578125" style="122" bestFit="1" customWidth="1"/>
    <col min="11774" max="11777" width="17.42578125" style="122" customWidth="1"/>
    <col min="11778" max="11778" width="27.28515625" style="122" customWidth="1"/>
    <col min="11779" max="11779" width="15.85546875" style="122" bestFit="1" customWidth="1"/>
    <col min="11780" max="11780" width="12.42578125" style="122" bestFit="1" customWidth="1"/>
    <col min="11781" max="11791" width="11.42578125" style="122" customWidth="1"/>
    <col min="11792" max="11792" width="17.140625" style="122" customWidth="1"/>
    <col min="11793" max="11793" width="11.42578125" style="122" customWidth="1"/>
    <col min="11794" max="11794" width="34.28515625" style="122" bestFit="1" customWidth="1"/>
    <col min="11795" max="11998" width="11.42578125" style="122"/>
    <col min="11999" max="11999" width="8.85546875" style="122" customWidth="1"/>
    <col min="12000" max="12000" width="35.7109375" style="122" bestFit="1" customWidth="1"/>
    <col min="12001" max="12001" width="5" style="122" customWidth="1"/>
    <col min="12002" max="12004" width="12.85546875" style="122" bestFit="1" customWidth="1"/>
    <col min="12005" max="12015" width="15.140625" style="122" customWidth="1"/>
    <col min="12016" max="12016" width="13.85546875" style="122" customWidth="1"/>
    <col min="12017" max="12017" width="11.42578125" style="122" customWidth="1"/>
    <col min="12018" max="12018" width="12" style="122" bestFit="1" customWidth="1"/>
    <col min="12019" max="12019" width="31.7109375" style="122" customWidth="1"/>
    <col min="12020" max="12020" width="13.85546875" style="122" customWidth="1"/>
    <col min="12021" max="12021" width="13.42578125" style="122" customWidth="1"/>
    <col min="12022" max="12025" width="16.140625" style="122" bestFit="1" customWidth="1"/>
    <col min="12026" max="12029" width="17.42578125" style="122" bestFit="1" customWidth="1"/>
    <col min="12030" max="12033" width="17.42578125" style="122" customWidth="1"/>
    <col min="12034" max="12034" width="27.28515625" style="122" customWidth="1"/>
    <col min="12035" max="12035" width="15.85546875" style="122" bestFit="1" customWidth="1"/>
    <col min="12036" max="12036" width="12.42578125" style="122" bestFit="1" customWidth="1"/>
    <col min="12037" max="12047" width="11.42578125" style="122" customWidth="1"/>
    <col min="12048" max="12048" width="17.140625" style="122" customWidth="1"/>
    <col min="12049" max="12049" width="11.42578125" style="122" customWidth="1"/>
    <col min="12050" max="12050" width="34.28515625" style="122" bestFit="1" customWidth="1"/>
    <col min="12051" max="12254" width="11.42578125" style="122"/>
    <col min="12255" max="12255" width="8.85546875" style="122" customWidth="1"/>
    <col min="12256" max="12256" width="35.7109375" style="122" bestFit="1" customWidth="1"/>
    <col min="12257" max="12257" width="5" style="122" customWidth="1"/>
    <col min="12258" max="12260" width="12.85546875" style="122" bestFit="1" customWidth="1"/>
    <col min="12261" max="12271" width="15.140625" style="122" customWidth="1"/>
    <col min="12272" max="12272" width="13.85546875" style="122" customWidth="1"/>
    <col min="12273" max="12273" width="11.42578125" style="122" customWidth="1"/>
    <col min="12274" max="12274" width="12" style="122" bestFit="1" customWidth="1"/>
    <col min="12275" max="12275" width="31.7109375" style="122" customWidth="1"/>
    <col min="12276" max="12276" width="13.85546875" style="122" customWidth="1"/>
    <col min="12277" max="12277" width="13.42578125" style="122" customWidth="1"/>
    <col min="12278" max="12281" width="16.140625" style="122" bestFit="1" customWidth="1"/>
    <col min="12282" max="12285" width="17.42578125" style="122" bestFit="1" customWidth="1"/>
    <col min="12286" max="12289" width="17.42578125" style="122" customWidth="1"/>
    <col min="12290" max="12290" width="27.28515625" style="122" customWidth="1"/>
    <col min="12291" max="12291" width="15.85546875" style="122" bestFit="1" customWidth="1"/>
    <col min="12292" max="12292" width="12.42578125" style="122" bestFit="1" customWidth="1"/>
    <col min="12293" max="12303" width="11.42578125" style="122" customWidth="1"/>
    <col min="12304" max="12304" width="17.140625" style="122" customWidth="1"/>
    <col min="12305" max="12305" width="11.42578125" style="122" customWidth="1"/>
    <col min="12306" max="12306" width="34.28515625" style="122" bestFit="1" customWidth="1"/>
    <col min="12307" max="12510" width="11.42578125" style="122"/>
    <col min="12511" max="12511" width="8.85546875" style="122" customWidth="1"/>
    <col min="12512" max="12512" width="35.7109375" style="122" bestFit="1" customWidth="1"/>
    <col min="12513" max="12513" width="5" style="122" customWidth="1"/>
    <col min="12514" max="12516" width="12.85546875" style="122" bestFit="1" customWidth="1"/>
    <col min="12517" max="12527" width="15.140625" style="122" customWidth="1"/>
    <col min="12528" max="12528" width="13.85546875" style="122" customWidth="1"/>
    <col min="12529" max="12529" width="11.42578125" style="122" customWidth="1"/>
    <col min="12530" max="12530" width="12" style="122" bestFit="1" customWidth="1"/>
    <col min="12531" max="12531" width="31.7109375" style="122" customWidth="1"/>
    <col min="12532" max="12532" width="13.85546875" style="122" customWidth="1"/>
    <col min="12533" max="12533" width="13.42578125" style="122" customWidth="1"/>
    <col min="12534" max="12537" width="16.140625" style="122" bestFit="1" customWidth="1"/>
    <col min="12538" max="12541" width="17.42578125" style="122" bestFit="1" customWidth="1"/>
    <col min="12542" max="12545" width="17.42578125" style="122" customWidth="1"/>
    <col min="12546" max="12546" width="27.28515625" style="122" customWidth="1"/>
    <col min="12547" max="12547" width="15.85546875" style="122" bestFit="1" customWidth="1"/>
    <col min="12548" max="12548" width="12.42578125" style="122" bestFit="1" customWidth="1"/>
    <col min="12549" max="12559" width="11.42578125" style="122" customWidth="1"/>
    <col min="12560" max="12560" width="17.140625" style="122" customWidth="1"/>
    <col min="12561" max="12561" width="11.42578125" style="122" customWidth="1"/>
    <col min="12562" max="12562" width="34.28515625" style="122" bestFit="1" customWidth="1"/>
    <col min="12563" max="12766" width="11.42578125" style="122"/>
    <col min="12767" max="12767" width="8.85546875" style="122" customWidth="1"/>
    <col min="12768" max="12768" width="35.7109375" style="122" bestFit="1" customWidth="1"/>
    <col min="12769" max="12769" width="5" style="122" customWidth="1"/>
    <col min="12770" max="12772" width="12.85546875" style="122" bestFit="1" customWidth="1"/>
    <col min="12773" max="12783" width="15.140625" style="122" customWidth="1"/>
    <col min="12784" max="12784" width="13.85546875" style="122" customWidth="1"/>
    <col min="12785" max="12785" width="11.42578125" style="122" customWidth="1"/>
    <col min="12786" max="12786" width="12" style="122" bestFit="1" customWidth="1"/>
    <col min="12787" max="12787" width="31.7109375" style="122" customWidth="1"/>
    <col min="12788" max="12788" width="13.85546875" style="122" customWidth="1"/>
    <col min="12789" max="12789" width="13.42578125" style="122" customWidth="1"/>
    <col min="12790" max="12793" width="16.140625" style="122" bestFit="1" customWidth="1"/>
    <col min="12794" max="12797" width="17.42578125" style="122" bestFit="1" customWidth="1"/>
    <col min="12798" max="12801" width="17.42578125" style="122" customWidth="1"/>
    <col min="12802" max="12802" width="27.28515625" style="122" customWidth="1"/>
    <col min="12803" max="12803" width="15.85546875" style="122" bestFit="1" customWidth="1"/>
    <col min="12804" max="12804" width="12.42578125" style="122" bestFit="1" customWidth="1"/>
    <col min="12805" max="12815" width="11.42578125" style="122" customWidth="1"/>
    <col min="12816" max="12816" width="17.140625" style="122" customWidth="1"/>
    <col min="12817" max="12817" width="11.42578125" style="122" customWidth="1"/>
    <col min="12818" max="12818" width="34.28515625" style="122" bestFit="1" customWidth="1"/>
    <col min="12819" max="13022" width="11.42578125" style="122"/>
    <col min="13023" max="13023" width="8.85546875" style="122" customWidth="1"/>
    <col min="13024" max="13024" width="35.7109375" style="122" bestFit="1" customWidth="1"/>
    <col min="13025" max="13025" width="5" style="122" customWidth="1"/>
    <col min="13026" max="13028" width="12.85546875" style="122" bestFit="1" customWidth="1"/>
    <col min="13029" max="13039" width="15.140625" style="122" customWidth="1"/>
    <col min="13040" max="13040" width="13.85546875" style="122" customWidth="1"/>
    <col min="13041" max="13041" width="11.42578125" style="122" customWidth="1"/>
    <col min="13042" max="13042" width="12" style="122" bestFit="1" customWidth="1"/>
    <col min="13043" max="13043" width="31.7109375" style="122" customWidth="1"/>
    <col min="13044" max="13044" width="13.85546875" style="122" customWidth="1"/>
    <col min="13045" max="13045" width="13.42578125" style="122" customWidth="1"/>
    <col min="13046" max="13049" width="16.140625" style="122" bestFit="1" customWidth="1"/>
    <col min="13050" max="13053" width="17.42578125" style="122" bestFit="1" customWidth="1"/>
    <col min="13054" max="13057" width="17.42578125" style="122" customWidth="1"/>
    <col min="13058" max="13058" width="27.28515625" style="122" customWidth="1"/>
    <col min="13059" max="13059" width="15.85546875" style="122" bestFit="1" customWidth="1"/>
    <col min="13060" max="13060" width="12.42578125" style="122" bestFit="1" customWidth="1"/>
    <col min="13061" max="13071" width="11.42578125" style="122" customWidth="1"/>
    <col min="13072" max="13072" width="17.140625" style="122" customWidth="1"/>
    <col min="13073" max="13073" width="11.42578125" style="122" customWidth="1"/>
    <col min="13074" max="13074" width="34.28515625" style="122" bestFit="1" customWidth="1"/>
    <col min="13075" max="13278" width="11.42578125" style="122"/>
    <col min="13279" max="13279" width="8.85546875" style="122" customWidth="1"/>
    <col min="13280" max="13280" width="35.7109375" style="122" bestFit="1" customWidth="1"/>
    <col min="13281" max="13281" width="5" style="122" customWidth="1"/>
    <col min="13282" max="13284" width="12.85546875" style="122" bestFit="1" customWidth="1"/>
    <col min="13285" max="13295" width="15.140625" style="122" customWidth="1"/>
    <col min="13296" max="13296" width="13.85546875" style="122" customWidth="1"/>
    <col min="13297" max="13297" width="11.42578125" style="122" customWidth="1"/>
    <col min="13298" max="13298" width="12" style="122" bestFit="1" customWidth="1"/>
    <col min="13299" max="13299" width="31.7109375" style="122" customWidth="1"/>
    <col min="13300" max="13300" width="13.85546875" style="122" customWidth="1"/>
    <col min="13301" max="13301" width="13.42578125" style="122" customWidth="1"/>
    <col min="13302" max="13305" width="16.140625" style="122" bestFit="1" customWidth="1"/>
    <col min="13306" max="13309" width="17.42578125" style="122" bestFit="1" customWidth="1"/>
    <col min="13310" max="13313" width="17.42578125" style="122" customWidth="1"/>
    <col min="13314" max="13314" width="27.28515625" style="122" customWidth="1"/>
    <col min="13315" max="13315" width="15.85546875" style="122" bestFit="1" customWidth="1"/>
    <col min="13316" max="13316" width="12.42578125" style="122" bestFit="1" customWidth="1"/>
    <col min="13317" max="13327" width="11.42578125" style="122" customWidth="1"/>
    <col min="13328" max="13328" width="17.140625" style="122" customWidth="1"/>
    <col min="13329" max="13329" width="11.42578125" style="122" customWidth="1"/>
    <col min="13330" max="13330" width="34.28515625" style="122" bestFit="1" customWidth="1"/>
    <col min="13331" max="13534" width="11.42578125" style="122"/>
    <col min="13535" max="13535" width="8.85546875" style="122" customWidth="1"/>
    <col min="13536" max="13536" width="35.7109375" style="122" bestFit="1" customWidth="1"/>
    <col min="13537" max="13537" width="5" style="122" customWidth="1"/>
    <col min="13538" max="13540" width="12.85546875" style="122" bestFit="1" customWidth="1"/>
    <col min="13541" max="13551" width="15.140625" style="122" customWidth="1"/>
    <col min="13552" max="13552" width="13.85546875" style="122" customWidth="1"/>
    <col min="13553" max="13553" width="11.42578125" style="122" customWidth="1"/>
    <col min="13554" max="13554" width="12" style="122" bestFit="1" customWidth="1"/>
    <col min="13555" max="13555" width="31.7109375" style="122" customWidth="1"/>
    <col min="13556" max="13556" width="13.85546875" style="122" customWidth="1"/>
    <col min="13557" max="13557" width="13.42578125" style="122" customWidth="1"/>
    <col min="13558" max="13561" width="16.140625" style="122" bestFit="1" customWidth="1"/>
    <col min="13562" max="13565" width="17.42578125" style="122" bestFit="1" customWidth="1"/>
    <col min="13566" max="13569" width="17.42578125" style="122" customWidth="1"/>
    <col min="13570" max="13570" width="27.28515625" style="122" customWidth="1"/>
    <col min="13571" max="13571" width="15.85546875" style="122" bestFit="1" customWidth="1"/>
    <col min="13572" max="13572" width="12.42578125" style="122" bestFit="1" customWidth="1"/>
    <col min="13573" max="13583" width="11.42578125" style="122" customWidth="1"/>
    <col min="13584" max="13584" width="17.140625" style="122" customWidth="1"/>
    <col min="13585" max="13585" width="11.42578125" style="122" customWidth="1"/>
    <col min="13586" max="13586" width="34.28515625" style="122" bestFit="1" customWidth="1"/>
    <col min="13587" max="13790" width="11.42578125" style="122"/>
    <col min="13791" max="13791" width="8.85546875" style="122" customWidth="1"/>
    <col min="13792" max="13792" width="35.7109375" style="122" bestFit="1" customWidth="1"/>
    <col min="13793" max="13793" width="5" style="122" customWidth="1"/>
    <col min="13794" max="13796" width="12.85546875" style="122" bestFit="1" customWidth="1"/>
    <col min="13797" max="13807" width="15.140625" style="122" customWidth="1"/>
    <col min="13808" max="13808" width="13.85546875" style="122" customWidth="1"/>
    <col min="13809" max="13809" width="11.42578125" style="122" customWidth="1"/>
    <col min="13810" max="13810" width="12" style="122" bestFit="1" customWidth="1"/>
    <col min="13811" max="13811" width="31.7109375" style="122" customWidth="1"/>
    <col min="13812" max="13812" width="13.85546875" style="122" customWidth="1"/>
    <col min="13813" max="13813" width="13.42578125" style="122" customWidth="1"/>
    <col min="13814" max="13817" width="16.140625" style="122" bestFit="1" customWidth="1"/>
    <col min="13818" max="13821" width="17.42578125" style="122" bestFit="1" customWidth="1"/>
    <col min="13822" max="13825" width="17.42578125" style="122" customWidth="1"/>
    <col min="13826" max="13826" width="27.28515625" style="122" customWidth="1"/>
    <col min="13827" max="13827" width="15.85546875" style="122" bestFit="1" customWidth="1"/>
    <col min="13828" max="13828" width="12.42578125" style="122" bestFit="1" customWidth="1"/>
    <col min="13829" max="13839" width="11.42578125" style="122" customWidth="1"/>
    <col min="13840" max="13840" width="17.140625" style="122" customWidth="1"/>
    <col min="13841" max="13841" width="11.42578125" style="122" customWidth="1"/>
    <col min="13842" max="13842" width="34.28515625" style="122" bestFit="1" customWidth="1"/>
    <col min="13843" max="14046" width="11.42578125" style="122"/>
    <col min="14047" max="14047" width="8.85546875" style="122" customWidth="1"/>
    <col min="14048" max="14048" width="35.7109375" style="122" bestFit="1" customWidth="1"/>
    <col min="14049" max="14049" width="5" style="122" customWidth="1"/>
    <col min="14050" max="14052" width="12.85546875" style="122" bestFit="1" customWidth="1"/>
    <col min="14053" max="14063" width="15.140625" style="122" customWidth="1"/>
    <col min="14064" max="14064" width="13.85546875" style="122" customWidth="1"/>
    <col min="14065" max="14065" width="11.42578125" style="122" customWidth="1"/>
    <col min="14066" max="14066" width="12" style="122" bestFit="1" customWidth="1"/>
    <col min="14067" max="14067" width="31.7109375" style="122" customWidth="1"/>
    <col min="14068" max="14068" width="13.85546875" style="122" customWidth="1"/>
    <col min="14069" max="14069" width="13.42578125" style="122" customWidth="1"/>
    <col min="14070" max="14073" width="16.140625" style="122" bestFit="1" customWidth="1"/>
    <col min="14074" max="14077" width="17.42578125" style="122" bestFit="1" customWidth="1"/>
    <col min="14078" max="14081" width="17.42578125" style="122" customWidth="1"/>
    <col min="14082" max="14082" width="27.28515625" style="122" customWidth="1"/>
    <col min="14083" max="14083" width="15.85546875" style="122" bestFit="1" customWidth="1"/>
    <col min="14084" max="14084" width="12.42578125" style="122" bestFit="1" customWidth="1"/>
    <col min="14085" max="14095" width="11.42578125" style="122" customWidth="1"/>
    <col min="14096" max="14096" width="17.140625" style="122" customWidth="1"/>
    <col min="14097" max="14097" width="11.42578125" style="122" customWidth="1"/>
    <col min="14098" max="14098" width="34.28515625" style="122" bestFit="1" customWidth="1"/>
    <col min="14099" max="14302" width="11.42578125" style="122"/>
    <col min="14303" max="14303" width="8.85546875" style="122" customWidth="1"/>
    <col min="14304" max="14304" width="35.7109375" style="122" bestFit="1" customWidth="1"/>
    <col min="14305" max="14305" width="5" style="122" customWidth="1"/>
    <col min="14306" max="14308" width="12.85546875" style="122" bestFit="1" customWidth="1"/>
    <col min="14309" max="14319" width="15.140625" style="122" customWidth="1"/>
    <col min="14320" max="14320" width="13.85546875" style="122" customWidth="1"/>
    <col min="14321" max="14321" width="11.42578125" style="122" customWidth="1"/>
    <col min="14322" max="14322" width="12" style="122" bestFit="1" customWidth="1"/>
    <col min="14323" max="14323" width="31.7109375" style="122" customWidth="1"/>
    <col min="14324" max="14324" width="13.85546875" style="122" customWidth="1"/>
    <col min="14325" max="14325" width="13.42578125" style="122" customWidth="1"/>
    <col min="14326" max="14329" width="16.140625" style="122" bestFit="1" customWidth="1"/>
    <col min="14330" max="14333" width="17.42578125" style="122" bestFit="1" customWidth="1"/>
    <col min="14334" max="14337" width="17.42578125" style="122" customWidth="1"/>
    <col min="14338" max="14338" width="27.28515625" style="122" customWidth="1"/>
    <col min="14339" max="14339" width="15.85546875" style="122" bestFit="1" customWidth="1"/>
    <col min="14340" max="14340" width="12.42578125" style="122" bestFit="1" customWidth="1"/>
    <col min="14341" max="14351" width="11.42578125" style="122" customWidth="1"/>
    <col min="14352" max="14352" width="17.140625" style="122" customWidth="1"/>
    <col min="14353" max="14353" width="11.42578125" style="122" customWidth="1"/>
    <col min="14354" max="14354" width="34.28515625" style="122" bestFit="1" customWidth="1"/>
    <col min="14355" max="14558" width="11.42578125" style="122"/>
    <col min="14559" max="14559" width="8.85546875" style="122" customWidth="1"/>
    <col min="14560" max="14560" width="35.7109375" style="122" bestFit="1" customWidth="1"/>
    <col min="14561" max="14561" width="5" style="122" customWidth="1"/>
    <col min="14562" max="14564" width="12.85546875" style="122" bestFit="1" customWidth="1"/>
    <col min="14565" max="14575" width="15.140625" style="122" customWidth="1"/>
    <col min="14576" max="14576" width="13.85546875" style="122" customWidth="1"/>
    <col min="14577" max="14577" width="11.42578125" style="122" customWidth="1"/>
    <col min="14578" max="14578" width="12" style="122" bestFit="1" customWidth="1"/>
    <col min="14579" max="14579" width="31.7109375" style="122" customWidth="1"/>
    <col min="14580" max="14580" width="13.85546875" style="122" customWidth="1"/>
    <col min="14581" max="14581" width="13.42578125" style="122" customWidth="1"/>
    <col min="14582" max="14585" width="16.140625" style="122" bestFit="1" customWidth="1"/>
    <col min="14586" max="14589" width="17.42578125" style="122" bestFit="1" customWidth="1"/>
    <col min="14590" max="14593" width="17.42578125" style="122" customWidth="1"/>
    <col min="14594" max="14594" width="27.28515625" style="122" customWidth="1"/>
    <col min="14595" max="14595" width="15.85546875" style="122" bestFit="1" customWidth="1"/>
    <col min="14596" max="14596" width="12.42578125" style="122" bestFit="1" customWidth="1"/>
    <col min="14597" max="14607" width="11.42578125" style="122" customWidth="1"/>
    <col min="14608" max="14608" width="17.140625" style="122" customWidth="1"/>
    <col min="14609" max="14609" width="11.42578125" style="122" customWidth="1"/>
    <col min="14610" max="14610" width="34.28515625" style="122" bestFit="1" customWidth="1"/>
    <col min="14611" max="14814" width="11.42578125" style="122"/>
    <col min="14815" max="14815" width="8.85546875" style="122" customWidth="1"/>
    <col min="14816" max="14816" width="35.7109375" style="122" bestFit="1" customWidth="1"/>
    <col min="14817" max="14817" width="5" style="122" customWidth="1"/>
    <col min="14818" max="14820" width="12.85546875" style="122" bestFit="1" customWidth="1"/>
    <col min="14821" max="14831" width="15.140625" style="122" customWidth="1"/>
    <col min="14832" max="14832" width="13.85546875" style="122" customWidth="1"/>
    <col min="14833" max="14833" width="11.42578125" style="122" customWidth="1"/>
    <col min="14834" max="14834" width="12" style="122" bestFit="1" customWidth="1"/>
    <col min="14835" max="14835" width="31.7109375" style="122" customWidth="1"/>
    <col min="14836" max="14836" width="13.85546875" style="122" customWidth="1"/>
    <col min="14837" max="14837" width="13.42578125" style="122" customWidth="1"/>
    <col min="14838" max="14841" width="16.140625" style="122" bestFit="1" customWidth="1"/>
    <col min="14842" max="14845" width="17.42578125" style="122" bestFit="1" customWidth="1"/>
    <col min="14846" max="14849" width="17.42578125" style="122" customWidth="1"/>
    <col min="14850" max="14850" width="27.28515625" style="122" customWidth="1"/>
    <col min="14851" max="14851" width="15.85546875" style="122" bestFit="1" customWidth="1"/>
    <col min="14852" max="14852" width="12.42578125" style="122" bestFit="1" customWidth="1"/>
    <col min="14853" max="14863" width="11.42578125" style="122" customWidth="1"/>
    <col min="14864" max="14864" width="17.140625" style="122" customWidth="1"/>
    <col min="14865" max="14865" width="11.42578125" style="122" customWidth="1"/>
    <col min="14866" max="14866" width="34.28515625" style="122" bestFit="1" customWidth="1"/>
    <col min="14867" max="15070" width="11.42578125" style="122"/>
    <col min="15071" max="15071" width="8.85546875" style="122" customWidth="1"/>
    <col min="15072" max="15072" width="35.7109375" style="122" bestFit="1" customWidth="1"/>
    <col min="15073" max="15073" width="5" style="122" customWidth="1"/>
    <col min="15074" max="15076" width="12.85546875" style="122" bestFit="1" customWidth="1"/>
    <col min="15077" max="15087" width="15.140625" style="122" customWidth="1"/>
    <col min="15088" max="15088" width="13.85546875" style="122" customWidth="1"/>
    <col min="15089" max="15089" width="11.42578125" style="122" customWidth="1"/>
    <col min="15090" max="15090" width="12" style="122" bestFit="1" customWidth="1"/>
    <col min="15091" max="15091" width="31.7109375" style="122" customWidth="1"/>
    <col min="15092" max="15092" width="13.85546875" style="122" customWidth="1"/>
    <col min="15093" max="15093" width="13.42578125" style="122" customWidth="1"/>
    <col min="15094" max="15097" width="16.140625" style="122" bestFit="1" customWidth="1"/>
    <col min="15098" max="15101" width="17.42578125" style="122" bestFit="1" customWidth="1"/>
    <col min="15102" max="15105" width="17.42578125" style="122" customWidth="1"/>
    <col min="15106" max="15106" width="27.28515625" style="122" customWidth="1"/>
    <col min="15107" max="15107" width="15.85546875" style="122" bestFit="1" customWidth="1"/>
    <col min="15108" max="15108" width="12.42578125" style="122" bestFit="1" customWidth="1"/>
    <col min="15109" max="15119" width="11.42578125" style="122" customWidth="1"/>
    <col min="15120" max="15120" width="17.140625" style="122" customWidth="1"/>
    <col min="15121" max="15121" width="11.42578125" style="122" customWidth="1"/>
    <col min="15122" max="15122" width="34.28515625" style="122" bestFit="1" customWidth="1"/>
    <col min="15123" max="15326" width="11.42578125" style="122"/>
    <col min="15327" max="15327" width="8.85546875" style="122" customWidth="1"/>
    <col min="15328" max="15328" width="35.7109375" style="122" bestFit="1" customWidth="1"/>
    <col min="15329" max="15329" width="5" style="122" customWidth="1"/>
    <col min="15330" max="15332" width="12.85546875" style="122" bestFit="1" customWidth="1"/>
    <col min="15333" max="15343" width="15.140625" style="122" customWidth="1"/>
    <col min="15344" max="15344" width="13.85546875" style="122" customWidth="1"/>
    <col min="15345" max="15345" width="11.42578125" style="122" customWidth="1"/>
    <col min="15346" max="15346" width="12" style="122" bestFit="1" customWidth="1"/>
    <col min="15347" max="15347" width="31.7109375" style="122" customWidth="1"/>
    <col min="15348" max="15348" width="13.85546875" style="122" customWidth="1"/>
    <col min="15349" max="15349" width="13.42578125" style="122" customWidth="1"/>
    <col min="15350" max="15353" width="16.140625" style="122" bestFit="1" customWidth="1"/>
    <col min="15354" max="15357" width="17.42578125" style="122" bestFit="1" customWidth="1"/>
    <col min="15358" max="15361" width="17.42578125" style="122" customWidth="1"/>
    <col min="15362" max="15362" width="27.28515625" style="122" customWidth="1"/>
    <col min="15363" max="15363" width="15.85546875" style="122" bestFit="1" customWidth="1"/>
    <col min="15364" max="15364" width="12.42578125" style="122" bestFit="1" customWidth="1"/>
    <col min="15365" max="15375" width="11.42578125" style="122" customWidth="1"/>
    <col min="15376" max="15376" width="17.140625" style="122" customWidth="1"/>
    <col min="15377" max="15377" width="11.42578125" style="122" customWidth="1"/>
    <col min="15378" max="15378" width="34.28515625" style="122" bestFit="1" customWidth="1"/>
    <col min="15379" max="15582" width="11.42578125" style="122"/>
    <col min="15583" max="15583" width="8.85546875" style="122" customWidth="1"/>
    <col min="15584" max="15584" width="35.7109375" style="122" bestFit="1" customWidth="1"/>
    <col min="15585" max="15585" width="5" style="122" customWidth="1"/>
    <col min="15586" max="15588" width="12.85546875" style="122" bestFit="1" customWidth="1"/>
    <col min="15589" max="15599" width="15.140625" style="122" customWidth="1"/>
    <col min="15600" max="15600" width="13.85546875" style="122" customWidth="1"/>
    <col min="15601" max="15601" width="11.42578125" style="122" customWidth="1"/>
    <col min="15602" max="15602" width="12" style="122" bestFit="1" customWidth="1"/>
    <col min="15603" max="15603" width="31.7109375" style="122" customWidth="1"/>
    <col min="15604" max="15604" width="13.85546875" style="122" customWidth="1"/>
    <col min="15605" max="15605" width="13.42578125" style="122" customWidth="1"/>
    <col min="15606" max="15609" width="16.140625" style="122" bestFit="1" customWidth="1"/>
    <col min="15610" max="15613" width="17.42578125" style="122" bestFit="1" customWidth="1"/>
    <col min="15614" max="15617" width="17.42578125" style="122" customWidth="1"/>
    <col min="15618" max="15618" width="27.28515625" style="122" customWidth="1"/>
    <col min="15619" max="15619" width="15.85546875" style="122" bestFit="1" customWidth="1"/>
    <col min="15620" max="15620" width="12.42578125" style="122" bestFit="1" customWidth="1"/>
    <col min="15621" max="15631" width="11.42578125" style="122" customWidth="1"/>
    <col min="15632" max="15632" width="17.140625" style="122" customWidth="1"/>
    <col min="15633" max="15633" width="11.42578125" style="122" customWidth="1"/>
    <col min="15634" max="15634" width="34.28515625" style="122" bestFit="1" customWidth="1"/>
    <col min="15635" max="15838" width="11.42578125" style="122"/>
    <col min="15839" max="15839" width="8.85546875" style="122" customWidth="1"/>
    <col min="15840" max="15840" width="35.7109375" style="122" bestFit="1" customWidth="1"/>
    <col min="15841" max="15841" width="5" style="122" customWidth="1"/>
    <col min="15842" max="15844" width="12.85546875" style="122" bestFit="1" customWidth="1"/>
    <col min="15845" max="15855" width="15.140625" style="122" customWidth="1"/>
    <col min="15856" max="15856" width="13.85546875" style="122" customWidth="1"/>
    <col min="15857" max="15857" width="11.42578125" style="122" customWidth="1"/>
    <col min="15858" max="15858" width="12" style="122" bestFit="1" customWidth="1"/>
    <col min="15859" max="15859" width="31.7109375" style="122" customWidth="1"/>
    <col min="15860" max="15860" width="13.85546875" style="122" customWidth="1"/>
    <col min="15861" max="15861" width="13.42578125" style="122" customWidth="1"/>
    <col min="15862" max="15865" width="16.140625" style="122" bestFit="1" customWidth="1"/>
    <col min="15866" max="15869" width="17.42578125" style="122" bestFit="1" customWidth="1"/>
    <col min="15870" max="15873" width="17.42578125" style="122" customWidth="1"/>
    <col min="15874" max="15874" width="27.28515625" style="122" customWidth="1"/>
    <col min="15875" max="15875" width="15.85546875" style="122" bestFit="1" customWidth="1"/>
    <col min="15876" max="15876" width="12.42578125" style="122" bestFit="1" customWidth="1"/>
    <col min="15877" max="15887" width="11.42578125" style="122" customWidth="1"/>
    <col min="15888" max="15888" width="17.140625" style="122" customWidth="1"/>
    <col min="15889" max="15889" width="11.42578125" style="122" customWidth="1"/>
    <col min="15890" max="15890" width="34.28515625" style="122" bestFit="1" customWidth="1"/>
    <col min="15891" max="16094" width="11.42578125" style="122"/>
    <col min="16095" max="16095" width="8.85546875" style="122" customWidth="1"/>
    <col min="16096" max="16096" width="35.7109375" style="122" bestFit="1" customWidth="1"/>
    <col min="16097" max="16097" width="5" style="122" customWidth="1"/>
    <col min="16098" max="16100" width="12.85546875" style="122" bestFit="1" customWidth="1"/>
    <col min="16101" max="16111" width="15.140625" style="122" customWidth="1"/>
    <col min="16112" max="16112" width="13.85546875" style="122" customWidth="1"/>
    <col min="16113" max="16113" width="11.42578125" style="122" customWidth="1"/>
    <col min="16114" max="16114" width="12" style="122" bestFit="1" customWidth="1"/>
    <col min="16115" max="16115" width="31.7109375" style="122" customWidth="1"/>
    <col min="16116" max="16116" width="13.85546875" style="122" customWidth="1"/>
    <col min="16117" max="16117" width="13.42578125" style="122" customWidth="1"/>
    <col min="16118" max="16121" width="16.140625" style="122" bestFit="1" customWidth="1"/>
    <col min="16122" max="16125" width="17.42578125" style="122" bestFit="1" customWidth="1"/>
    <col min="16126" max="16129" width="17.42578125" style="122" customWidth="1"/>
    <col min="16130" max="16130" width="27.28515625" style="122" customWidth="1"/>
    <col min="16131" max="16131" width="15.85546875" style="122" bestFit="1" customWidth="1"/>
    <col min="16132" max="16132" width="12.42578125" style="122" bestFit="1" customWidth="1"/>
    <col min="16133" max="16143" width="11.42578125" style="122" customWidth="1"/>
    <col min="16144" max="16144" width="17.140625" style="122" customWidth="1"/>
    <col min="16145" max="16145" width="11.42578125" style="122" customWidth="1"/>
    <col min="16146" max="16146" width="34.28515625" style="122" bestFit="1" customWidth="1"/>
    <col min="16147" max="16384" width="11.42578125" style="122"/>
  </cols>
  <sheetData>
    <row r="1" spans="1:26" ht="16.5" customHeight="1">
      <c r="A1" s="346"/>
      <c r="B1" s="120"/>
      <c r="C1" s="121"/>
      <c r="D1" s="121"/>
      <c r="E1" s="444" t="s">
        <v>555</v>
      </c>
      <c r="F1" s="444"/>
      <c r="G1" s="444"/>
      <c r="H1" s="444"/>
      <c r="I1" s="121"/>
      <c r="J1" s="121"/>
      <c r="K1" s="121"/>
      <c r="L1" s="121"/>
      <c r="M1" s="121"/>
      <c r="N1" s="121"/>
      <c r="O1" s="121"/>
    </row>
    <row r="2" spans="1:26" s="129" customFormat="1" ht="16.5" customHeight="1">
      <c r="B2" s="130"/>
      <c r="C2" s="131"/>
      <c r="D2" s="131"/>
      <c r="E2" s="131"/>
      <c r="F2" s="131"/>
      <c r="G2" s="131"/>
      <c r="H2" s="131"/>
      <c r="I2" s="132"/>
      <c r="J2" s="132"/>
      <c r="K2" s="131"/>
      <c r="L2" s="131"/>
      <c r="M2" s="131"/>
      <c r="N2" s="131"/>
      <c r="O2" s="131"/>
      <c r="S2" s="122"/>
      <c r="T2" s="122"/>
      <c r="U2" s="122"/>
      <c r="V2" s="122"/>
      <c r="W2" s="122"/>
      <c r="X2" s="122"/>
      <c r="Y2" s="122"/>
      <c r="Z2" s="122"/>
    </row>
    <row r="3" spans="1:26" ht="16.5" customHeight="1" thickBot="1">
      <c r="A3" s="88" t="s">
        <v>180</v>
      </c>
      <c r="B3" s="88"/>
      <c r="C3" s="88">
        <v>2001</v>
      </c>
      <c r="D3" s="88">
        <v>2002</v>
      </c>
      <c r="E3" s="88">
        <v>2003</v>
      </c>
      <c r="F3" s="88">
        <v>2004</v>
      </c>
      <c r="G3" s="49" t="s">
        <v>469</v>
      </c>
      <c r="H3" s="88">
        <v>2005</v>
      </c>
      <c r="I3" s="88">
        <v>2006</v>
      </c>
      <c r="J3" s="88">
        <v>2007</v>
      </c>
      <c r="K3" s="88">
        <v>2008</v>
      </c>
      <c r="L3" s="88">
        <v>2009</v>
      </c>
      <c r="M3" s="88">
        <v>2010</v>
      </c>
      <c r="N3" s="88">
        <v>2011</v>
      </c>
      <c r="O3" s="88">
        <v>2012</v>
      </c>
      <c r="P3" s="125"/>
    </row>
    <row r="4" spans="1:26" ht="16.5" customHeight="1" thickTop="1">
      <c r="A4" s="229" t="s">
        <v>36</v>
      </c>
      <c r="B4" s="229"/>
      <c r="C4" s="219">
        <f>AVERAGE(StockCapital!B4/PreciosDeCapital!B5,StockCapital!C4/PreciosDeCapital!C5)</f>
        <v>38153856.676416419</v>
      </c>
      <c r="D4" s="219">
        <f>AVERAGE(StockCapital!C4/PreciosDeCapital!C5,StockCapital!D4/PreciosDeCapital!D5)</f>
        <v>38653774.857022181</v>
      </c>
      <c r="E4" s="219">
        <f>AVERAGE(StockCapital!D4/PreciosDeCapital!D5,StockCapital!E4/PreciosDeCapital!E5)</f>
        <v>37457805.359847397</v>
      </c>
      <c r="F4" s="219">
        <f>AVERAGE(StockCapital!E4/PreciosDeCapital!E5,StockCapital!F4/PreciosDeCapital!F5)</f>
        <v>35360073.411392123</v>
      </c>
      <c r="G4" s="219">
        <f>AVERAGE(StockCapital!F4/PreciosDeCapital!F5,StockCapital!G4/PreciosDeCapital!G5)</f>
        <v>94966479.538340628</v>
      </c>
      <c r="H4" s="219">
        <f>AVERAGE((StockCapital!F4+'Inversiones '!G26)/PreciosDeCapital!F5,StockCapital!H4/PreciosDeCapital!H5)</f>
        <v>100132769.65783295</v>
      </c>
      <c r="I4" s="219">
        <f>AVERAGE(StockCapital!H4/PreciosDeCapital!H5,StockCapital!I4/PreciosDeCapital!I5)</f>
        <v>162053963.870868</v>
      </c>
      <c r="J4" s="219">
        <f>AVERAGE(StockCapital!I4/PreciosDeCapital!I5,StockCapital!J4/PreciosDeCapital!J5)</f>
        <v>162382877.39868397</v>
      </c>
      <c r="K4" s="219">
        <f>AVERAGE(StockCapital!J4/PreciosDeCapital!J5,StockCapital!K4/PreciosDeCapital!K5)</f>
        <v>153214457.6743452</v>
      </c>
      <c r="L4" s="219">
        <f>AVERAGE(StockCapital!K4/PreciosDeCapital!K5,StockCapital!L4/PreciosDeCapital!L5)</f>
        <v>166705267.10845447</v>
      </c>
      <c r="M4" s="219">
        <f>AVERAGE(StockCapital!L4/PreciosDeCapital!L5,StockCapital!M4/PreciosDeCapital!M5)</f>
        <v>184298270.69748354</v>
      </c>
      <c r="N4" s="219">
        <f>AVERAGE(StockCapital!M4/PreciosDeCapital!M5,StockCapital!N4/PreciosDeCapital!N5)</f>
        <v>173674017.51844472</v>
      </c>
      <c r="O4" s="219">
        <f>AVERAGE(StockCapital!N4/PreciosDeCapital!N5,StockCapital!O4/PreciosDeCapital!O5)</f>
        <v>172912638.13333187</v>
      </c>
      <c r="R4" s="133"/>
    </row>
    <row r="5" spans="1:26" ht="16.5" customHeight="1">
      <c r="A5" s="230" t="s">
        <v>532</v>
      </c>
      <c r="B5" s="230"/>
      <c r="C5" s="220">
        <f>AVERAGE(StockCapital!B5/PreciosDeCapital!B5,StockCapital!C5/PreciosDeCapital!C5)</f>
        <v>1876542.7126361346</v>
      </c>
      <c r="D5" s="220">
        <f>AVERAGE(StockCapital!C5/PreciosDeCapital!C5,StockCapital!D5/PreciosDeCapital!D5)</f>
        <v>3856226.0110304225</v>
      </c>
      <c r="E5" s="220">
        <f>AVERAGE(StockCapital!D5/PreciosDeCapital!D5,StockCapital!E5/PreciosDeCapital!E5)</f>
        <v>3807879.810970461</v>
      </c>
      <c r="F5" s="220">
        <f>AVERAGE(StockCapital!E5/PreciosDeCapital!E5,StockCapital!F5/PreciosDeCapital!F5)</f>
        <v>3526093.8261338845</v>
      </c>
      <c r="G5" s="220">
        <f>AVERAGE(StockCapital!F5/PreciosDeCapital!F5,StockCapital!G5/PreciosDeCapital!G5)</f>
        <v>3257947.4334203494</v>
      </c>
      <c r="H5" s="220">
        <f>AVERAGE(StockCapital!F5/PreciosDeCapital!F5,StockCapital!H5/PreciosDeCapital!H5)</f>
        <v>3257947.4334203494</v>
      </c>
      <c r="I5" s="220">
        <f>AVERAGE(StockCapital!H5/PreciosDeCapital!H5,StockCapital!I5/PreciosDeCapital!I5)</f>
        <v>2997001.1460308637</v>
      </c>
      <c r="J5" s="220">
        <f>AVERAGE(StockCapital!I5/PreciosDeCapital!I5,StockCapital!J5/PreciosDeCapital!J5)</f>
        <v>2811686.8147338061</v>
      </c>
      <c r="K5" s="220">
        <f>AVERAGE(StockCapital!J5/PreciosDeCapital!J5,StockCapital!K5/PreciosDeCapital!K5)</f>
        <v>2607553.4586168779</v>
      </c>
      <c r="L5" s="220">
        <f>AVERAGE(StockCapital!K5/PreciosDeCapital!K5,StockCapital!L5/PreciosDeCapital!L5)</f>
        <v>2454974.0353696728</v>
      </c>
      <c r="M5" s="220">
        <f>AVERAGE(StockCapital!L5/PreciosDeCapital!L5,StockCapital!M5/PreciosDeCapital!M5)</f>
        <v>2363156.915239065</v>
      </c>
      <c r="N5" s="220">
        <f>AVERAGE(StockCapital!M5/PreciosDeCapital!M5,StockCapital!N5/PreciosDeCapital!N5)</f>
        <v>2175502.9372680821</v>
      </c>
      <c r="O5" s="220">
        <f>AVERAGE(StockCapital!N5/PreciosDeCapital!N5,StockCapital!O5/PreciosDeCapital!O5)</f>
        <v>2002081.8830264395</v>
      </c>
      <c r="R5" s="133"/>
    </row>
    <row r="6" spans="1:26" ht="16.5" customHeight="1">
      <c r="A6" s="231" t="s">
        <v>38</v>
      </c>
      <c r="B6" s="231"/>
      <c r="C6" s="221">
        <f>AVERAGE(StockCapital!B6/PreciosDeCapital!B6,StockCapital!C6/PreciosDeCapital!C6)</f>
        <v>311268.04283253069</v>
      </c>
      <c r="D6" s="221">
        <f>AVERAGE(StockCapital!C6/PreciosDeCapital!C6,StockCapital!D6/PreciosDeCapital!D6)</f>
        <v>603385.70893293526</v>
      </c>
      <c r="E6" s="221">
        <f>AVERAGE(StockCapital!D6/PreciosDeCapital!D6,StockCapital!E6/PreciosDeCapital!E6)</f>
        <v>637626.82040610362</v>
      </c>
      <c r="F6" s="221">
        <f>AVERAGE(StockCapital!E6/PreciosDeCapital!E6,StockCapital!F6/PreciosDeCapital!F6)</f>
        <v>638402.22772462643</v>
      </c>
      <c r="G6" s="221">
        <f>AVERAGE(StockCapital!F6/PreciosDeCapital!F6,StockCapital!G6/PreciosDeCapital!G6)</f>
        <v>695996.18568312097</v>
      </c>
      <c r="H6" s="221">
        <f>AVERAGE(StockCapital!F6/PreciosDeCapital!F6,StockCapital!H6/PreciosDeCapital!H6)</f>
        <v>695996.18568312097</v>
      </c>
      <c r="I6" s="221">
        <f>AVERAGE(StockCapital!H6/PreciosDeCapital!H6,StockCapital!I6/PreciosDeCapital!I6)</f>
        <v>962476.61157200136</v>
      </c>
      <c r="J6" s="221">
        <f>AVERAGE(StockCapital!I6/PreciosDeCapital!I6,StockCapital!J6/PreciosDeCapital!J6)</f>
        <v>1022799.3991048525</v>
      </c>
      <c r="K6" s="221">
        <f>AVERAGE(StockCapital!J6/PreciosDeCapital!J6,StockCapital!K6/PreciosDeCapital!K6)</f>
        <v>900550.25235363888</v>
      </c>
      <c r="L6" s="221">
        <f>AVERAGE(StockCapital!K6/PreciosDeCapital!K6,StockCapital!L6/PreciosDeCapital!L6)</f>
        <v>937133.66229863884</v>
      </c>
      <c r="M6" s="221">
        <f>AVERAGE(StockCapital!L6/PreciosDeCapital!L6,StockCapital!M6/PreciosDeCapital!M6)</f>
        <v>947486.1376668656</v>
      </c>
      <c r="N6" s="221">
        <f>AVERAGE(StockCapital!M6/PreciosDeCapital!M6,StockCapital!N6/PreciosDeCapital!N6)</f>
        <v>827426.61649640184</v>
      </c>
      <c r="O6" s="221">
        <f>AVERAGE(StockCapital!N6/PreciosDeCapital!N6,StockCapital!O6/PreciosDeCapital!O6)</f>
        <v>858810.8734782848</v>
      </c>
      <c r="R6" s="133"/>
    </row>
    <row r="7" spans="1:26" ht="16.5" customHeight="1">
      <c r="A7" s="232" t="s">
        <v>135</v>
      </c>
      <c r="B7" s="232"/>
      <c r="C7" s="220">
        <f>AVERAGE(StockCapital!B7/PreciosDeCapital!B6,StockCapital!C7/PreciosDeCapital!C6:G6)</f>
        <v>0</v>
      </c>
      <c r="D7" s="220">
        <f>AVERAGE(StockCapital!C7/PreciosDeCapital!C6,StockCapital!D7/PreciosDeCapital!D6:H6)</f>
        <v>1639569.2694278629</v>
      </c>
      <c r="E7" s="220">
        <f>AVERAGE(StockCapital!D7/PreciosDeCapital!D6,StockCapital!E7/PreciosDeCapital!E6:I6)</f>
        <v>3081543.44688584</v>
      </c>
      <c r="F7" s="220">
        <f>AVERAGE(StockCapital!E7/PreciosDeCapital!E6,StockCapital!F7/PreciosDeCapital!F6:J6)</f>
        <v>2676876.9513505688</v>
      </c>
      <c r="G7" s="220">
        <f>AVERAGE(StockCapital!F7/PreciosDeCapital!F6,StockCapital!G7/PreciosDeCapital!G6:K6)</f>
        <v>2231613.7494589146</v>
      </c>
      <c r="H7" s="220">
        <f>AVERAGE(StockCapital!F7/PreciosDeCapital!F6,StockCapital!H7/PreciosDeCapital!H6)</f>
        <v>2231613.7494589146</v>
      </c>
      <c r="I7" s="220">
        <f>AVERAGE(StockCapital!H7/PreciosDeCapital!H6,StockCapital!I7/PreciosDeCapital!I6)</f>
        <v>1899731.2553007598</v>
      </c>
      <c r="J7" s="220">
        <f>AVERAGE(StockCapital!I7/PreciosDeCapital!I6,StockCapital!J7/PreciosDeCapital!J6)</f>
        <v>1628105.364146315</v>
      </c>
      <c r="K7" s="220">
        <f>AVERAGE(StockCapital!J7/PreciosDeCapital!J6,StockCapital!K7/PreciosDeCapital!K6)</f>
        <v>1111187.2036474484</v>
      </c>
      <c r="L7" s="220">
        <f>AVERAGE(StockCapital!K7/PreciosDeCapital!K6,StockCapital!L7/PreciosDeCapital!L6)</f>
        <v>726205.05539696896</v>
      </c>
      <c r="M7" s="220">
        <f>AVERAGE(StockCapital!L7/PreciosDeCapital!L6,StockCapital!M7/PreciosDeCapital!M6)</f>
        <v>585283.41371201409</v>
      </c>
      <c r="N7" s="220">
        <f>AVERAGE(StockCapital!M7/PreciosDeCapital!M6,StockCapital!N7/PreciosDeCapital!N6)</f>
        <v>430230.37068442651</v>
      </c>
      <c r="O7" s="220">
        <f>AVERAGE(StockCapital!N7/PreciosDeCapital!N6,StockCapital!O7/PreciosDeCapital!O6)</f>
        <v>257912.17781681457</v>
      </c>
      <c r="R7" s="133"/>
    </row>
    <row r="8" spans="1:26" ht="16.5" customHeight="1">
      <c r="A8" s="219" t="s">
        <v>535</v>
      </c>
      <c r="B8" s="219"/>
      <c r="C8" s="221">
        <f>AVERAGE(StockCapital!B8/PreciosDeCapital!B6,StockCapital!C8/PreciosDeCapital!C6:G6)</f>
        <v>189383.40675299551</v>
      </c>
      <c r="D8" s="221">
        <f>AVERAGE(StockCapital!C8/PreciosDeCapital!C6,StockCapital!D8/PreciosDeCapital!D6:H6)</f>
        <v>424200.99406475562</v>
      </c>
      <c r="E8" s="221">
        <f>AVERAGE(StockCapital!D8/PreciosDeCapital!D6,StockCapital!E8/PreciosDeCapital!E6:I6)</f>
        <v>452895.15220733441</v>
      </c>
      <c r="F8" s="221">
        <f>AVERAGE(StockCapital!E8/PreciosDeCapital!E6,StockCapital!F8/PreciosDeCapital!F6:J6)</f>
        <v>463847.51192976109</v>
      </c>
      <c r="G8" s="221">
        <f>AVERAGE(StockCapital!F8/PreciosDeCapital!F6,StockCapital!G8/PreciosDeCapital!G6:K6)</f>
        <v>405528.20751579467</v>
      </c>
      <c r="H8" s="221">
        <f>AVERAGE(StockCapital!F8/PreciosDeCapital!F6,StockCapital!H8/PreciosDeCapital!H6)</f>
        <v>405528.20751579467</v>
      </c>
      <c r="I8" s="221">
        <f>AVERAGE(StockCapital!H8/PreciosDeCapital!H6,StockCapital!I8/PreciosDeCapital!I6)</f>
        <v>282641.43846045289</v>
      </c>
      <c r="J8" s="221">
        <f>AVERAGE(StockCapital!I8/PreciosDeCapital!I6,StockCapital!J8/PreciosDeCapital!J6)</f>
        <v>219499.13659495924</v>
      </c>
      <c r="K8" s="221">
        <f>AVERAGE(StockCapital!J8/PreciosDeCapital!J6,StockCapital!K8/PreciosDeCapital!K6)</f>
        <v>223329.63817625667</v>
      </c>
      <c r="L8" s="221">
        <f>AVERAGE(StockCapital!K8/PreciosDeCapital!K6,StockCapital!L8/PreciosDeCapital!L6)</f>
        <v>264846.83284935891</v>
      </c>
      <c r="M8" s="221">
        <f>AVERAGE(StockCapital!L8/PreciosDeCapital!L6,StockCapital!M8/PreciosDeCapital!M6)</f>
        <v>299519.99083959882</v>
      </c>
      <c r="N8" s="221">
        <f>AVERAGE(StockCapital!M8/PreciosDeCapital!M6,StockCapital!N8/PreciosDeCapital!N6)</f>
        <v>299671.40443026868</v>
      </c>
      <c r="O8" s="221">
        <f>AVERAGE(StockCapital!N8/PreciosDeCapital!N6,StockCapital!O8/PreciosDeCapital!O6)</f>
        <v>258745.74936384149</v>
      </c>
      <c r="R8" s="133"/>
    </row>
    <row r="9" spans="1:26" ht="16.5" customHeight="1">
      <c r="A9" s="220" t="s">
        <v>137</v>
      </c>
      <c r="B9" s="220"/>
      <c r="C9" s="220">
        <f>AVERAGE(StockCapital!B9/PreciosDeCapital!B6,StockCapital!C9/PreciosDeCapital!C6)</f>
        <v>182855.89967715577</v>
      </c>
      <c r="D9" s="220">
        <f>AVERAGE(StockCapital!C9/PreciosDeCapital!C6,StockCapital!D9/PreciosDeCapital!D6)</f>
        <v>424100.8010819169</v>
      </c>
      <c r="E9" s="220">
        <f>AVERAGE(StockCapital!D9/PreciosDeCapital!D6,StockCapital!E9/PreciosDeCapital!E6)</f>
        <v>515903.31712503528</v>
      </c>
      <c r="F9" s="220">
        <f>AVERAGE(StockCapital!E9/PreciosDeCapital!E6,StockCapital!F9/PreciosDeCapital!F6)</f>
        <v>535222.76713713678</v>
      </c>
      <c r="G9" s="220">
        <f>AVERAGE(StockCapital!F9/PreciosDeCapital!F6,StockCapital!G9/PreciosDeCapital!G6)</f>
        <v>471885.92577182635</v>
      </c>
      <c r="H9" s="220">
        <f>AVERAGE(StockCapital!F9/PreciosDeCapital!F6,StockCapital!H9/PreciosDeCapital!H6)</f>
        <v>471885.92577182635</v>
      </c>
      <c r="I9" s="220">
        <f>AVERAGE(StockCapital!H9/PreciosDeCapital!H6,StockCapital!I9/PreciosDeCapital!I6)</f>
        <v>809878.93974091858</v>
      </c>
      <c r="J9" s="220">
        <f>AVERAGE(StockCapital!I9/PreciosDeCapital!I6,StockCapital!J9/PreciosDeCapital!J6)</f>
        <v>1146715.1098486895</v>
      </c>
      <c r="K9" s="220">
        <f>AVERAGE(StockCapital!J9/PreciosDeCapital!J6,StockCapital!K9/PreciosDeCapital!K6)</f>
        <v>1115075.9753279004</v>
      </c>
      <c r="L9" s="220">
        <f>AVERAGE(StockCapital!K9/PreciosDeCapital!K6,StockCapital!L9/PreciosDeCapital!L6)</f>
        <v>1144501.4961506384</v>
      </c>
      <c r="M9" s="220">
        <f>AVERAGE(StockCapital!L9/PreciosDeCapital!L6,StockCapital!M9/PreciosDeCapital!M6)</f>
        <v>1101475.9125844454</v>
      </c>
      <c r="N9" s="220">
        <f>AVERAGE(StockCapital!M9/PreciosDeCapital!M6,StockCapital!N9/PreciosDeCapital!N6)</f>
        <v>956843.7601296521</v>
      </c>
      <c r="O9" s="220">
        <f>AVERAGE(StockCapital!N9/PreciosDeCapital!N6,StockCapital!O9/PreciosDeCapital!O6)</f>
        <v>1121838.5001607973</v>
      </c>
      <c r="R9" s="133"/>
    </row>
    <row r="10" spans="1:26" ht="16.5" customHeight="1">
      <c r="A10" s="219" t="s">
        <v>138</v>
      </c>
      <c r="B10" s="219"/>
      <c r="C10" s="221">
        <f>AVERAGE(StockCapital!B10/PreciosDeCapital!B6,StockCapital!C10/PreciosDeCapital!C6)</f>
        <v>518080.43153695093</v>
      </c>
      <c r="D10" s="221">
        <f>AVERAGE(StockCapital!C10/PreciosDeCapital!C6,StockCapital!D10/PreciosDeCapital!D6)</f>
        <v>586340.95819560799</v>
      </c>
      <c r="E10" s="221">
        <f>AVERAGE(StockCapital!D10/PreciosDeCapital!D6,StockCapital!E10/PreciosDeCapital!E6)</f>
        <v>466747.89340311766</v>
      </c>
      <c r="F10" s="221">
        <f>AVERAGE(StockCapital!E10/PreciosDeCapital!E6,StockCapital!F10/PreciosDeCapital!F6)</f>
        <v>329170.79883965594</v>
      </c>
      <c r="G10" s="221">
        <f>AVERAGE(StockCapital!F10/PreciosDeCapital!F6,StockCapital!G10/PreciosDeCapital!G6)</f>
        <v>197265.05097672512</v>
      </c>
      <c r="H10" s="221">
        <f>AVERAGE(StockCapital!F10/PreciosDeCapital!F6,StockCapital!H10/PreciosDeCapital!H6)</f>
        <v>197265.05097672512</v>
      </c>
      <c r="I10" s="221">
        <f>AVERAGE(StockCapital!H10/PreciosDeCapital!H6,StockCapital!I10/PreciosDeCapital!I6)</f>
        <v>134173.4725913055</v>
      </c>
      <c r="J10" s="221">
        <f>AVERAGE(StockCapital!I10/PreciosDeCapital!I6,StockCapital!J10/PreciosDeCapital!J6)</f>
        <v>158796.44414015359</v>
      </c>
      <c r="K10" s="221">
        <f>AVERAGE(StockCapital!J10/PreciosDeCapital!J6,StockCapital!K10/PreciosDeCapital!K6)</f>
        <v>143365.22020811273</v>
      </c>
      <c r="L10" s="221">
        <f>AVERAGE(StockCapital!K10/PreciosDeCapital!K6,StockCapital!L10/PreciosDeCapital!L6)</f>
        <v>104300.07426328911</v>
      </c>
      <c r="M10" s="221">
        <f>AVERAGE(StockCapital!L10/PreciosDeCapital!L6,StockCapital!M10/PreciosDeCapital!M6)</f>
        <v>89505.949869304895</v>
      </c>
      <c r="N10" s="221">
        <f>AVERAGE(StockCapital!M10/PreciosDeCapital!M6,StockCapital!N10/PreciosDeCapital!N6)</f>
        <v>69166.268671063648</v>
      </c>
      <c r="O10" s="221">
        <f>AVERAGE(StockCapital!N10/PreciosDeCapital!N6,StockCapital!O10/PreciosDeCapital!O6)</f>
        <v>48742.538852119993</v>
      </c>
      <c r="R10" s="133"/>
    </row>
    <row r="11" spans="1:26" ht="16.5" customHeight="1">
      <c r="A11" s="220" t="s">
        <v>33</v>
      </c>
      <c r="B11" s="220"/>
      <c r="C11" s="220">
        <f>AVERAGE(StockCapital!B11/PreciosDeCapital!B6,StockCapital!C11/PreciosDeCapital!C6)</f>
        <v>382727.61870179867</v>
      </c>
      <c r="D11" s="220">
        <f>AVERAGE(StockCapital!C11/PreciosDeCapital!C6,StockCapital!D11/PreciosDeCapital!D6)</f>
        <v>363609.68559807527</v>
      </c>
      <c r="E11" s="220">
        <f>AVERAGE(StockCapital!D11/PreciosDeCapital!D6,StockCapital!E11/PreciosDeCapital!E6)</f>
        <v>342344.55975583621</v>
      </c>
      <c r="F11" s="220">
        <f>AVERAGE(StockCapital!E11/PreciosDeCapital!E6,StockCapital!F11/PreciosDeCapital!F6)</f>
        <v>297308.69925266213</v>
      </c>
      <c r="G11" s="220">
        <f>AVERAGE(StockCapital!F11/PreciosDeCapital!F6,StockCapital!G11/PreciosDeCapital!G6)</f>
        <v>249586.56460037627</v>
      </c>
      <c r="H11" s="220">
        <f>AVERAGE(StockCapital!F11/PreciosDeCapital!F6,StockCapital!H11/PreciosDeCapital!H6)</f>
        <v>249586.56460037627</v>
      </c>
      <c r="I11" s="220">
        <f>AVERAGE(StockCapital!H11/PreciosDeCapital!H6,StockCapital!I11/PreciosDeCapital!I6)</f>
        <v>606099.07396809745</v>
      </c>
      <c r="J11" s="220">
        <f>AVERAGE(StockCapital!I11/PreciosDeCapital!I6,StockCapital!J11/PreciosDeCapital!J6)</f>
        <v>913231.89278570865</v>
      </c>
      <c r="K11" s="220">
        <f>AVERAGE(StockCapital!J11/PreciosDeCapital!J6,StockCapital!K11/PreciosDeCapital!K6)</f>
        <v>774350.89164840314</v>
      </c>
      <c r="L11" s="220">
        <f>AVERAGE(StockCapital!K11/PreciosDeCapital!K6,StockCapital!L11/PreciosDeCapital!L6)</f>
        <v>720223.79663739353</v>
      </c>
      <c r="M11" s="220">
        <f>AVERAGE(StockCapital!L11/PreciosDeCapital!L6,StockCapital!M11/PreciosDeCapital!M6)</f>
        <v>655414.60499712569</v>
      </c>
      <c r="N11" s="220">
        <f>AVERAGE(StockCapital!M11/PreciosDeCapital!M6,StockCapital!N11/PreciosDeCapital!N6)</f>
        <v>540827.73728880112</v>
      </c>
      <c r="O11" s="220">
        <f>AVERAGE(StockCapital!N11/PreciosDeCapital!N6,StockCapital!O11/PreciosDeCapital!O6)</f>
        <v>493621.42187401874</v>
      </c>
      <c r="R11" s="133"/>
    </row>
    <row r="12" spans="1:26" ht="16.5" customHeight="1" thickBot="1">
      <c r="A12" s="88" t="s">
        <v>139</v>
      </c>
      <c r="B12" s="88"/>
      <c r="C12" s="88">
        <f t="shared" ref="C12:O12" si="0">SUM(C4:C11)</f>
        <v>41614714.78855399</v>
      </c>
      <c r="D12" s="88">
        <f t="shared" si="0"/>
        <v>46551208.285353757</v>
      </c>
      <c r="E12" s="88">
        <f t="shared" si="0"/>
        <v>46762746.360601135</v>
      </c>
      <c r="F12" s="88">
        <f t="shared" si="0"/>
        <v>43826996.193760425</v>
      </c>
      <c r="G12" s="88">
        <f t="shared" si="0"/>
        <v>102476302.65576772</v>
      </c>
      <c r="H12" s="88">
        <f t="shared" si="0"/>
        <v>107642592.77526005</v>
      </c>
      <c r="I12" s="88">
        <f t="shared" si="0"/>
        <v>169745965.80853239</v>
      </c>
      <c r="J12" s="88">
        <f t="shared" si="0"/>
        <v>170283711.56003845</v>
      </c>
      <c r="K12" s="88">
        <f t="shared" si="0"/>
        <v>160089870.31432384</v>
      </c>
      <c r="L12" s="88">
        <f t="shared" si="0"/>
        <v>173057452.06142041</v>
      </c>
      <c r="M12" s="88">
        <f t="shared" si="0"/>
        <v>190340113.62239197</v>
      </c>
      <c r="N12" s="88">
        <f t="shared" si="0"/>
        <v>178973686.61341342</v>
      </c>
      <c r="O12" s="88">
        <f t="shared" si="0"/>
        <v>177954391.27790418</v>
      </c>
      <c r="P12" s="125"/>
    </row>
    <row r="13" spans="1:26" ht="16.5" customHeight="1" thickTop="1">
      <c r="A13" s="135"/>
      <c r="B13" s="136"/>
      <c r="C13" s="137"/>
      <c r="D13" s="138"/>
      <c r="E13" s="138"/>
      <c r="F13" s="139"/>
      <c r="G13" s="139"/>
      <c r="H13" s="136"/>
      <c r="I13" s="136"/>
      <c r="J13" s="136"/>
      <c r="K13" s="136"/>
      <c r="L13" s="136"/>
      <c r="M13" s="136"/>
      <c r="N13" s="136"/>
      <c r="O13" s="136"/>
    </row>
    <row r="14" spans="1:26" ht="16.5" customHeight="1">
      <c r="A14" s="129"/>
      <c r="B14" s="129"/>
      <c r="C14" s="140"/>
      <c r="D14" s="141"/>
      <c r="E14" s="141"/>
      <c r="F14" s="142"/>
      <c r="G14" s="142"/>
      <c r="H14" s="136"/>
    </row>
    <row r="15" spans="1:26">
      <c r="A15" s="129"/>
      <c r="B15" s="129"/>
    </row>
    <row r="16" spans="1:26">
      <c r="A16" s="129"/>
      <c r="B16" s="129"/>
    </row>
    <row r="17" spans="1:2">
      <c r="A17" s="129"/>
      <c r="B17" s="129"/>
    </row>
  </sheetData>
  <mergeCells count="1">
    <mergeCell ref="E1:H1"/>
  </mergeCells>
  <hyperlinks>
    <hyperlink ref="E1:H1" location="Indice!D3" display="ÍNDICE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48">
    <tabColor rgb="FF92D050"/>
  </sheetPr>
  <dimension ref="A1:O56"/>
  <sheetViews>
    <sheetView showGridLines="0" workbookViewId="0">
      <selection activeCell="G21" sqref="G21:H21"/>
    </sheetView>
  </sheetViews>
  <sheetFormatPr baseColWidth="10" defaultRowHeight="9"/>
  <cols>
    <col min="1" max="1" width="4.5703125" style="122" customWidth="1"/>
    <col min="2" max="2" width="21.28515625" style="122" bestFit="1" customWidth="1"/>
    <col min="3" max="15" width="9.5703125" style="129" customWidth="1"/>
    <col min="16" max="198" width="11.42578125" style="122"/>
    <col min="199" max="199" width="8.85546875" style="122" customWidth="1"/>
    <col min="200" max="200" width="35.7109375" style="122" bestFit="1" customWidth="1"/>
    <col min="201" max="201" width="5" style="122" customWidth="1"/>
    <col min="202" max="204" width="12.85546875" style="122" bestFit="1" customWidth="1"/>
    <col min="205" max="215" width="15.140625" style="122" customWidth="1"/>
    <col min="216" max="216" width="13.85546875" style="122" customWidth="1"/>
    <col min="217" max="217" width="11.42578125" style="122" customWidth="1"/>
    <col min="218" max="218" width="12" style="122" bestFit="1" customWidth="1"/>
    <col min="219" max="219" width="31.7109375" style="122" customWidth="1"/>
    <col min="220" max="220" width="13.85546875" style="122" customWidth="1"/>
    <col min="221" max="221" width="13.42578125" style="122" customWidth="1"/>
    <col min="222" max="225" width="16.140625" style="122" bestFit="1" customWidth="1"/>
    <col min="226" max="229" width="17.42578125" style="122" bestFit="1" customWidth="1"/>
    <col min="230" max="233" width="17.42578125" style="122" customWidth="1"/>
    <col min="234" max="234" width="27.28515625" style="122" customWidth="1"/>
    <col min="235" max="235" width="15.85546875" style="122" bestFit="1" customWidth="1"/>
    <col min="236" max="236" width="12.42578125" style="122" bestFit="1" customWidth="1"/>
    <col min="237" max="247" width="11.42578125" style="122" customWidth="1"/>
    <col min="248" max="248" width="17.140625" style="122" customWidth="1"/>
    <col min="249" max="249" width="11.42578125" style="122" customWidth="1"/>
    <col min="250" max="250" width="34.28515625" style="122" bestFit="1" customWidth="1"/>
    <col min="251" max="454" width="11.42578125" style="122"/>
    <col min="455" max="455" width="8.85546875" style="122" customWidth="1"/>
    <col min="456" max="456" width="35.7109375" style="122" bestFit="1" customWidth="1"/>
    <col min="457" max="457" width="5" style="122" customWidth="1"/>
    <col min="458" max="460" width="12.85546875" style="122" bestFit="1" customWidth="1"/>
    <col min="461" max="471" width="15.140625" style="122" customWidth="1"/>
    <col min="472" max="472" width="13.85546875" style="122" customWidth="1"/>
    <col min="473" max="473" width="11.42578125" style="122" customWidth="1"/>
    <col min="474" max="474" width="12" style="122" bestFit="1" customWidth="1"/>
    <col min="475" max="475" width="31.7109375" style="122" customWidth="1"/>
    <col min="476" max="476" width="13.85546875" style="122" customWidth="1"/>
    <col min="477" max="477" width="13.42578125" style="122" customWidth="1"/>
    <col min="478" max="481" width="16.140625" style="122" bestFit="1" customWidth="1"/>
    <col min="482" max="485" width="17.42578125" style="122" bestFit="1" customWidth="1"/>
    <col min="486" max="489" width="17.42578125" style="122" customWidth="1"/>
    <col min="490" max="490" width="27.28515625" style="122" customWidth="1"/>
    <col min="491" max="491" width="15.85546875" style="122" bestFit="1" customWidth="1"/>
    <col min="492" max="492" width="12.42578125" style="122" bestFit="1" customWidth="1"/>
    <col min="493" max="503" width="11.42578125" style="122" customWidth="1"/>
    <col min="504" max="504" width="17.140625" style="122" customWidth="1"/>
    <col min="505" max="505" width="11.42578125" style="122" customWidth="1"/>
    <col min="506" max="506" width="34.28515625" style="122" bestFit="1" customWidth="1"/>
    <col min="507" max="710" width="11.42578125" style="122"/>
    <col min="711" max="711" width="8.85546875" style="122" customWidth="1"/>
    <col min="712" max="712" width="35.7109375" style="122" bestFit="1" customWidth="1"/>
    <col min="713" max="713" width="5" style="122" customWidth="1"/>
    <col min="714" max="716" width="12.85546875" style="122" bestFit="1" customWidth="1"/>
    <col min="717" max="727" width="15.140625" style="122" customWidth="1"/>
    <col min="728" max="728" width="13.85546875" style="122" customWidth="1"/>
    <col min="729" max="729" width="11.42578125" style="122" customWidth="1"/>
    <col min="730" max="730" width="12" style="122" bestFit="1" customWidth="1"/>
    <col min="731" max="731" width="31.7109375" style="122" customWidth="1"/>
    <col min="732" max="732" width="13.85546875" style="122" customWidth="1"/>
    <col min="733" max="733" width="13.42578125" style="122" customWidth="1"/>
    <col min="734" max="737" width="16.140625" style="122" bestFit="1" customWidth="1"/>
    <col min="738" max="741" width="17.42578125" style="122" bestFit="1" customWidth="1"/>
    <col min="742" max="745" width="17.42578125" style="122" customWidth="1"/>
    <col min="746" max="746" width="27.28515625" style="122" customWidth="1"/>
    <col min="747" max="747" width="15.85546875" style="122" bestFit="1" customWidth="1"/>
    <col min="748" max="748" width="12.42578125" style="122" bestFit="1" customWidth="1"/>
    <col min="749" max="759" width="11.42578125" style="122" customWidth="1"/>
    <col min="760" max="760" width="17.140625" style="122" customWidth="1"/>
    <col min="761" max="761" width="11.42578125" style="122" customWidth="1"/>
    <col min="762" max="762" width="34.28515625" style="122" bestFit="1" customWidth="1"/>
    <col min="763" max="966" width="11.42578125" style="122"/>
    <col min="967" max="967" width="8.85546875" style="122" customWidth="1"/>
    <col min="968" max="968" width="35.7109375" style="122" bestFit="1" customWidth="1"/>
    <col min="969" max="969" width="5" style="122" customWidth="1"/>
    <col min="970" max="972" width="12.85546875" style="122" bestFit="1" customWidth="1"/>
    <col min="973" max="983" width="15.140625" style="122" customWidth="1"/>
    <col min="984" max="984" width="13.85546875" style="122" customWidth="1"/>
    <col min="985" max="985" width="11.42578125" style="122" customWidth="1"/>
    <col min="986" max="986" width="12" style="122" bestFit="1" customWidth="1"/>
    <col min="987" max="987" width="31.7109375" style="122" customWidth="1"/>
    <col min="988" max="988" width="13.85546875" style="122" customWidth="1"/>
    <col min="989" max="989" width="13.42578125" style="122" customWidth="1"/>
    <col min="990" max="993" width="16.140625" style="122" bestFit="1" customWidth="1"/>
    <col min="994" max="997" width="17.42578125" style="122" bestFit="1" customWidth="1"/>
    <col min="998" max="1001" width="17.42578125" style="122" customWidth="1"/>
    <col min="1002" max="1002" width="27.28515625" style="122" customWidth="1"/>
    <col min="1003" max="1003" width="15.85546875" style="122" bestFit="1" customWidth="1"/>
    <col min="1004" max="1004" width="12.42578125" style="122" bestFit="1" customWidth="1"/>
    <col min="1005" max="1015" width="11.42578125" style="122" customWidth="1"/>
    <col min="1016" max="1016" width="17.140625" style="122" customWidth="1"/>
    <col min="1017" max="1017" width="11.42578125" style="122" customWidth="1"/>
    <col min="1018" max="1018" width="34.28515625" style="122" bestFit="1" customWidth="1"/>
    <col min="1019" max="1222" width="11.42578125" style="122"/>
    <col min="1223" max="1223" width="8.85546875" style="122" customWidth="1"/>
    <col min="1224" max="1224" width="35.7109375" style="122" bestFit="1" customWidth="1"/>
    <col min="1225" max="1225" width="5" style="122" customWidth="1"/>
    <col min="1226" max="1228" width="12.85546875" style="122" bestFit="1" customWidth="1"/>
    <col min="1229" max="1239" width="15.140625" style="122" customWidth="1"/>
    <col min="1240" max="1240" width="13.85546875" style="122" customWidth="1"/>
    <col min="1241" max="1241" width="11.42578125" style="122" customWidth="1"/>
    <col min="1242" max="1242" width="12" style="122" bestFit="1" customWidth="1"/>
    <col min="1243" max="1243" width="31.7109375" style="122" customWidth="1"/>
    <col min="1244" max="1244" width="13.85546875" style="122" customWidth="1"/>
    <col min="1245" max="1245" width="13.42578125" style="122" customWidth="1"/>
    <col min="1246" max="1249" width="16.140625" style="122" bestFit="1" customWidth="1"/>
    <col min="1250" max="1253" width="17.42578125" style="122" bestFit="1" customWidth="1"/>
    <col min="1254" max="1257" width="17.42578125" style="122" customWidth="1"/>
    <col min="1258" max="1258" width="27.28515625" style="122" customWidth="1"/>
    <col min="1259" max="1259" width="15.85546875" style="122" bestFit="1" customWidth="1"/>
    <col min="1260" max="1260" width="12.42578125" style="122" bestFit="1" customWidth="1"/>
    <col min="1261" max="1271" width="11.42578125" style="122" customWidth="1"/>
    <col min="1272" max="1272" width="17.140625" style="122" customWidth="1"/>
    <col min="1273" max="1273" width="11.42578125" style="122" customWidth="1"/>
    <col min="1274" max="1274" width="34.28515625" style="122" bestFit="1" customWidth="1"/>
    <col min="1275" max="1478" width="11.42578125" style="122"/>
    <col min="1479" max="1479" width="8.85546875" style="122" customWidth="1"/>
    <col min="1480" max="1480" width="35.7109375" style="122" bestFit="1" customWidth="1"/>
    <col min="1481" max="1481" width="5" style="122" customWidth="1"/>
    <col min="1482" max="1484" width="12.85546875" style="122" bestFit="1" customWidth="1"/>
    <col min="1485" max="1495" width="15.140625" style="122" customWidth="1"/>
    <col min="1496" max="1496" width="13.85546875" style="122" customWidth="1"/>
    <col min="1497" max="1497" width="11.42578125" style="122" customWidth="1"/>
    <col min="1498" max="1498" width="12" style="122" bestFit="1" customWidth="1"/>
    <col min="1499" max="1499" width="31.7109375" style="122" customWidth="1"/>
    <col min="1500" max="1500" width="13.85546875" style="122" customWidth="1"/>
    <col min="1501" max="1501" width="13.42578125" style="122" customWidth="1"/>
    <col min="1502" max="1505" width="16.140625" style="122" bestFit="1" customWidth="1"/>
    <col min="1506" max="1509" width="17.42578125" style="122" bestFit="1" customWidth="1"/>
    <col min="1510" max="1513" width="17.42578125" style="122" customWidth="1"/>
    <col min="1514" max="1514" width="27.28515625" style="122" customWidth="1"/>
    <col min="1515" max="1515" width="15.85546875" style="122" bestFit="1" customWidth="1"/>
    <col min="1516" max="1516" width="12.42578125" style="122" bestFit="1" customWidth="1"/>
    <col min="1517" max="1527" width="11.42578125" style="122" customWidth="1"/>
    <col min="1528" max="1528" width="17.140625" style="122" customWidth="1"/>
    <col min="1529" max="1529" width="11.42578125" style="122" customWidth="1"/>
    <col min="1530" max="1530" width="34.28515625" style="122" bestFit="1" customWidth="1"/>
    <col min="1531" max="1734" width="11.42578125" style="122"/>
    <col min="1735" max="1735" width="8.85546875" style="122" customWidth="1"/>
    <col min="1736" max="1736" width="35.7109375" style="122" bestFit="1" customWidth="1"/>
    <col min="1737" max="1737" width="5" style="122" customWidth="1"/>
    <col min="1738" max="1740" width="12.85546875" style="122" bestFit="1" customWidth="1"/>
    <col min="1741" max="1751" width="15.140625" style="122" customWidth="1"/>
    <col min="1752" max="1752" width="13.85546875" style="122" customWidth="1"/>
    <col min="1753" max="1753" width="11.42578125" style="122" customWidth="1"/>
    <col min="1754" max="1754" width="12" style="122" bestFit="1" customWidth="1"/>
    <col min="1755" max="1755" width="31.7109375" style="122" customWidth="1"/>
    <col min="1756" max="1756" width="13.85546875" style="122" customWidth="1"/>
    <col min="1757" max="1757" width="13.42578125" style="122" customWidth="1"/>
    <col min="1758" max="1761" width="16.140625" style="122" bestFit="1" customWidth="1"/>
    <col min="1762" max="1765" width="17.42578125" style="122" bestFit="1" customWidth="1"/>
    <col min="1766" max="1769" width="17.42578125" style="122" customWidth="1"/>
    <col min="1770" max="1770" width="27.28515625" style="122" customWidth="1"/>
    <col min="1771" max="1771" width="15.85546875" style="122" bestFit="1" customWidth="1"/>
    <col min="1772" max="1772" width="12.42578125" style="122" bestFit="1" customWidth="1"/>
    <col min="1773" max="1783" width="11.42578125" style="122" customWidth="1"/>
    <col min="1784" max="1784" width="17.140625" style="122" customWidth="1"/>
    <col min="1785" max="1785" width="11.42578125" style="122" customWidth="1"/>
    <col min="1786" max="1786" width="34.28515625" style="122" bestFit="1" customWidth="1"/>
    <col min="1787" max="1990" width="11.42578125" style="122"/>
    <col min="1991" max="1991" width="8.85546875" style="122" customWidth="1"/>
    <col min="1992" max="1992" width="35.7109375" style="122" bestFit="1" customWidth="1"/>
    <col min="1993" max="1993" width="5" style="122" customWidth="1"/>
    <col min="1994" max="1996" width="12.85546875" style="122" bestFit="1" customWidth="1"/>
    <col min="1997" max="2007" width="15.140625" style="122" customWidth="1"/>
    <col min="2008" max="2008" width="13.85546875" style="122" customWidth="1"/>
    <col min="2009" max="2009" width="11.42578125" style="122" customWidth="1"/>
    <col min="2010" max="2010" width="12" style="122" bestFit="1" customWidth="1"/>
    <col min="2011" max="2011" width="31.7109375" style="122" customWidth="1"/>
    <col min="2012" max="2012" width="13.85546875" style="122" customWidth="1"/>
    <col min="2013" max="2013" width="13.42578125" style="122" customWidth="1"/>
    <col min="2014" max="2017" width="16.140625" style="122" bestFit="1" customWidth="1"/>
    <col min="2018" max="2021" width="17.42578125" style="122" bestFit="1" customWidth="1"/>
    <col min="2022" max="2025" width="17.42578125" style="122" customWidth="1"/>
    <col min="2026" max="2026" width="27.28515625" style="122" customWidth="1"/>
    <col min="2027" max="2027" width="15.85546875" style="122" bestFit="1" customWidth="1"/>
    <col min="2028" max="2028" width="12.42578125" style="122" bestFit="1" customWidth="1"/>
    <col min="2029" max="2039" width="11.42578125" style="122" customWidth="1"/>
    <col min="2040" max="2040" width="17.140625" style="122" customWidth="1"/>
    <col min="2041" max="2041" width="11.42578125" style="122" customWidth="1"/>
    <col min="2042" max="2042" width="34.28515625" style="122" bestFit="1" customWidth="1"/>
    <col min="2043" max="2246" width="11.42578125" style="122"/>
    <col min="2247" max="2247" width="8.85546875" style="122" customWidth="1"/>
    <col min="2248" max="2248" width="35.7109375" style="122" bestFit="1" customWidth="1"/>
    <col min="2249" max="2249" width="5" style="122" customWidth="1"/>
    <col min="2250" max="2252" width="12.85546875" style="122" bestFit="1" customWidth="1"/>
    <col min="2253" max="2263" width="15.140625" style="122" customWidth="1"/>
    <col min="2264" max="2264" width="13.85546875" style="122" customWidth="1"/>
    <col min="2265" max="2265" width="11.42578125" style="122" customWidth="1"/>
    <col min="2266" max="2266" width="12" style="122" bestFit="1" customWidth="1"/>
    <col min="2267" max="2267" width="31.7109375" style="122" customWidth="1"/>
    <col min="2268" max="2268" width="13.85546875" style="122" customWidth="1"/>
    <col min="2269" max="2269" width="13.42578125" style="122" customWidth="1"/>
    <col min="2270" max="2273" width="16.140625" style="122" bestFit="1" customWidth="1"/>
    <col min="2274" max="2277" width="17.42578125" style="122" bestFit="1" customWidth="1"/>
    <col min="2278" max="2281" width="17.42578125" style="122" customWidth="1"/>
    <col min="2282" max="2282" width="27.28515625" style="122" customWidth="1"/>
    <col min="2283" max="2283" width="15.85546875" style="122" bestFit="1" customWidth="1"/>
    <col min="2284" max="2284" width="12.42578125" style="122" bestFit="1" customWidth="1"/>
    <col min="2285" max="2295" width="11.42578125" style="122" customWidth="1"/>
    <col min="2296" max="2296" width="17.140625" style="122" customWidth="1"/>
    <col min="2297" max="2297" width="11.42578125" style="122" customWidth="1"/>
    <col min="2298" max="2298" width="34.28515625" style="122" bestFit="1" customWidth="1"/>
    <col min="2299" max="2502" width="11.42578125" style="122"/>
    <col min="2503" max="2503" width="8.85546875" style="122" customWidth="1"/>
    <col min="2504" max="2504" width="35.7109375" style="122" bestFit="1" customWidth="1"/>
    <col min="2505" max="2505" width="5" style="122" customWidth="1"/>
    <col min="2506" max="2508" width="12.85546875" style="122" bestFit="1" customWidth="1"/>
    <col min="2509" max="2519" width="15.140625" style="122" customWidth="1"/>
    <col min="2520" max="2520" width="13.85546875" style="122" customWidth="1"/>
    <col min="2521" max="2521" width="11.42578125" style="122" customWidth="1"/>
    <col min="2522" max="2522" width="12" style="122" bestFit="1" customWidth="1"/>
    <col min="2523" max="2523" width="31.7109375" style="122" customWidth="1"/>
    <col min="2524" max="2524" width="13.85546875" style="122" customWidth="1"/>
    <col min="2525" max="2525" width="13.42578125" style="122" customWidth="1"/>
    <col min="2526" max="2529" width="16.140625" style="122" bestFit="1" customWidth="1"/>
    <col min="2530" max="2533" width="17.42578125" style="122" bestFit="1" customWidth="1"/>
    <col min="2534" max="2537" width="17.42578125" style="122" customWidth="1"/>
    <col min="2538" max="2538" width="27.28515625" style="122" customWidth="1"/>
    <col min="2539" max="2539" width="15.85546875" style="122" bestFit="1" customWidth="1"/>
    <col min="2540" max="2540" width="12.42578125" style="122" bestFit="1" customWidth="1"/>
    <col min="2541" max="2551" width="11.42578125" style="122" customWidth="1"/>
    <col min="2552" max="2552" width="17.140625" style="122" customWidth="1"/>
    <col min="2553" max="2553" width="11.42578125" style="122" customWidth="1"/>
    <col min="2554" max="2554" width="34.28515625" style="122" bestFit="1" customWidth="1"/>
    <col min="2555" max="2758" width="11.42578125" style="122"/>
    <col min="2759" max="2759" width="8.85546875" style="122" customWidth="1"/>
    <col min="2760" max="2760" width="35.7109375" style="122" bestFit="1" customWidth="1"/>
    <col min="2761" max="2761" width="5" style="122" customWidth="1"/>
    <col min="2762" max="2764" width="12.85546875" style="122" bestFit="1" customWidth="1"/>
    <col min="2765" max="2775" width="15.140625" style="122" customWidth="1"/>
    <col min="2776" max="2776" width="13.85546875" style="122" customWidth="1"/>
    <col min="2777" max="2777" width="11.42578125" style="122" customWidth="1"/>
    <col min="2778" max="2778" width="12" style="122" bestFit="1" customWidth="1"/>
    <col min="2779" max="2779" width="31.7109375" style="122" customWidth="1"/>
    <col min="2780" max="2780" width="13.85546875" style="122" customWidth="1"/>
    <col min="2781" max="2781" width="13.42578125" style="122" customWidth="1"/>
    <col min="2782" max="2785" width="16.140625" style="122" bestFit="1" customWidth="1"/>
    <col min="2786" max="2789" width="17.42578125" style="122" bestFit="1" customWidth="1"/>
    <col min="2790" max="2793" width="17.42578125" style="122" customWidth="1"/>
    <col min="2794" max="2794" width="27.28515625" style="122" customWidth="1"/>
    <col min="2795" max="2795" width="15.85546875" style="122" bestFit="1" customWidth="1"/>
    <col min="2796" max="2796" width="12.42578125" style="122" bestFit="1" customWidth="1"/>
    <col min="2797" max="2807" width="11.42578125" style="122" customWidth="1"/>
    <col min="2808" max="2808" width="17.140625" style="122" customWidth="1"/>
    <col min="2809" max="2809" width="11.42578125" style="122" customWidth="1"/>
    <col min="2810" max="2810" width="34.28515625" style="122" bestFit="1" customWidth="1"/>
    <col min="2811" max="3014" width="11.42578125" style="122"/>
    <col min="3015" max="3015" width="8.85546875" style="122" customWidth="1"/>
    <col min="3016" max="3016" width="35.7109375" style="122" bestFit="1" customWidth="1"/>
    <col min="3017" max="3017" width="5" style="122" customWidth="1"/>
    <col min="3018" max="3020" width="12.85546875" style="122" bestFit="1" customWidth="1"/>
    <col min="3021" max="3031" width="15.140625" style="122" customWidth="1"/>
    <col min="3032" max="3032" width="13.85546875" style="122" customWidth="1"/>
    <col min="3033" max="3033" width="11.42578125" style="122" customWidth="1"/>
    <col min="3034" max="3034" width="12" style="122" bestFit="1" customWidth="1"/>
    <col min="3035" max="3035" width="31.7109375" style="122" customWidth="1"/>
    <col min="3036" max="3036" width="13.85546875" style="122" customWidth="1"/>
    <col min="3037" max="3037" width="13.42578125" style="122" customWidth="1"/>
    <col min="3038" max="3041" width="16.140625" style="122" bestFit="1" customWidth="1"/>
    <col min="3042" max="3045" width="17.42578125" style="122" bestFit="1" customWidth="1"/>
    <col min="3046" max="3049" width="17.42578125" style="122" customWidth="1"/>
    <col min="3050" max="3050" width="27.28515625" style="122" customWidth="1"/>
    <col min="3051" max="3051" width="15.85546875" style="122" bestFit="1" customWidth="1"/>
    <col min="3052" max="3052" width="12.42578125" style="122" bestFit="1" customWidth="1"/>
    <col min="3053" max="3063" width="11.42578125" style="122" customWidth="1"/>
    <col min="3064" max="3064" width="17.140625" style="122" customWidth="1"/>
    <col min="3065" max="3065" width="11.42578125" style="122" customWidth="1"/>
    <col min="3066" max="3066" width="34.28515625" style="122" bestFit="1" customWidth="1"/>
    <col min="3067" max="3270" width="11.42578125" style="122"/>
    <col min="3271" max="3271" width="8.85546875" style="122" customWidth="1"/>
    <col min="3272" max="3272" width="35.7109375" style="122" bestFit="1" customWidth="1"/>
    <col min="3273" max="3273" width="5" style="122" customWidth="1"/>
    <col min="3274" max="3276" width="12.85546875" style="122" bestFit="1" customWidth="1"/>
    <col min="3277" max="3287" width="15.140625" style="122" customWidth="1"/>
    <col min="3288" max="3288" width="13.85546875" style="122" customWidth="1"/>
    <col min="3289" max="3289" width="11.42578125" style="122" customWidth="1"/>
    <col min="3290" max="3290" width="12" style="122" bestFit="1" customWidth="1"/>
    <col min="3291" max="3291" width="31.7109375" style="122" customWidth="1"/>
    <col min="3292" max="3292" width="13.85546875" style="122" customWidth="1"/>
    <col min="3293" max="3293" width="13.42578125" style="122" customWidth="1"/>
    <col min="3294" max="3297" width="16.140625" style="122" bestFit="1" customWidth="1"/>
    <col min="3298" max="3301" width="17.42578125" style="122" bestFit="1" customWidth="1"/>
    <col min="3302" max="3305" width="17.42578125" style="122" customWidth="1"/>
    <col min="3306" max="3306" width="27.28515625" style="122" customWidth="1"/>
    <col min="3307" max="3307" width="15.85546875" style="122" bestFit="1" customWidth="1"/>
    <col min="3308" max="3308" width="12.42578125" style="122" bestFit="1" customWidth="1"/>
    <col min="3309" max="3319" width="11.42578125" style="122" customWidth="1"/>
    <col min="3320" max="3320" width="17.140625" style="122" customWidth="1"/>
    <col min="3321" max="3321" width="11.42578125" style="122" customWidth="1"/>
    <col min="3322" max="3322" width="34.28515625" style="122" bestFit="1" customWidth="1"/>
    <col min="3323" max="3526" width="11.42578125" style="122"/>
    <col min="3527" max="3527" width="8.85546875" style="122" customWidth="1"/>
    <col min="3528" max="3528" width="35.7109375" style="122" bestFit="1" customWidth="1"/>
    <col min="3529" max="3529" width="5" style="122" customWidth="1"/>
    <col min="3530" max="3532" width="12.85546875" style="122" bestFit="1" customWidth="1"/>
    <col min="3533" max="3543" width="15.140625" style="122" customWidth="1"/>
    <col min="3544" max="3544" width="13.85546875" style="122" customWidth="1"/>
    <col min="3545" max="3545" width="11.42578125" style="122" customWidth="1"/>
    <col min="3546" max="3546" width="12" style="122" bestFit="1" customWidth="1"/>
    <col min="3547" max="3547" width="31.7109375" style="122" customWidth="1"/>
    <col min="3548" max="3548" width="13.85546875" style="122" customWidth="1"/>
    <col min="3549" max="3549" width="13.42578125" style="122" customWidth="1"/>
    <col min="3550" max="3553" width="16.140625" style="122" bestFit="1" customWidth="1"/>
    <col min="3554" max="3557" width="17.42578125" style="122" bestFit="1" customWidth="1"/>
    <col min="3558" max="3561" width="17.42578125" style="122" customWidth="1"/>
    <col min="3562" max="3562" width="27.28515625" style="122" customWidth="1"/>
    <col min="3563" max="3563" width="15.85546875" style="122" bestFit="1" customWidth="1"/>
    <col min="3564" max="3564" width="12.42578125" style="122" bestFit="1" customWidth="1"/>
    <col min="3565" max="3575" width="11.42578125" style="122" customWidth="1"/>
    <col min="3576" max="3576" width="17.140625" style="122" customWidth="1"/>
    <col min="3577" max="3577" width="11.42578125" style="122" customWidth="1"/>
    <col min="3578" max="3578" width="34.28515625" style="122" bestFit="1" customWidth="1"/>
    <col min="3579" max="3782" width="11.42578125" style="122"/>
    <col min="3783" max="3783" width="8.85546875" style="122" customWidth="1"/>
    <col min="3784" max="3784" width="35.7109375" style="122" bestFit="1" customWidth="1"/>
    <col min="3785" max="3785" width="5" style="122" customWidth="1"/>
    <col min="3786" max="3788" width="12.85546875" style="122" bestFit="1" customWidth="1"/>
    <col min="3789" max="3799" width="15.140625" style="122" customWidth="1"/>
    <col min="3800" max="3800" width="13.85546875" style="122" customWidth="1"/>
    <col min="3801" max="3801" width="11.42578125" style="122" customWidth="1"/>
    <col min="3802" max="3802" width="12" style="122" bestFit="1" customWidth="1"/>
    <col min="3803" max="3803" width="31.7109375" style="122" customWidth="1"/>
    <col min="3804" max="3804" width="13.85546875" style="122" customWidth="1"/>
    <col min="3805" max="3805" width="13.42578125" style="122" customWidth="1"/>
    <col min="3806" max="3809" width="16.140625" style="122" bestFit="1" customWidth="1"/>
    <col min="3810" max="3813" width="17.42578125" style="122" bestFit="1" customWidth="1"/>
    <col min="3814" max="3817" width="17.42578125" style="122" customWidth="1"/>
    <col min="3818" max="3818" width="27.28515625" style="122" customWidth="1"/>
    <col min="3819" max="3819" width="15.85546875" style="122" bestFit="1" customWidth="1"/>
    <col min="3820" max="3820" width="12.42578125" style="122" bestFit="1" customWidth="1"/>
    <col min="3821" max="3831" width="11.42578125" style="122" customWidth="1"/>
    <col min="3832" max="3832" width="17.140625" style="122" customWidth="1"/>
    <col min="3833" max="3833" width="11.42578125" style="122" customWidth="1"/>
    <col min="3834" max="3834" width="34.28515625" style="122" bestFit="1" customWidth="1"/>
    <col min="3835" max="4038" width="11.42578125" style="122"/>
    <col min="4039" max="4039" width="8.85546875" style="122" customWidth="1"/>
    <col min="4040" max="4040" width="35.7109375" style="122" bestFit="1" customWidth="1"/>
    <col min="4041" max="4041" width="5" style="122" customWidth="1"/>
    <col min="4042" max="4044" width="12.85546875" style="122" bestFit="1" customWidth="1"/>
    <col min="4045" max="4055" width="15.140625" style="122" customWidth="1"/>
    <col min="4056" max="4056" width="13.85546875" style="122" customWidth="1"/>
    <col min="4057" max="4057" width="11.42578125" style="122" customWidth="1"/>
    <col min="4058" max="4058" width="12" style="122" bestFit="1" customWidth="1"/>
    <col min="4059" max="4059" width="31.7109375" style="122" customWidth="1"/>
    <col min="4060" max="4060" width="13.85546875" style="122" customWidth="1"/>
    <col min="4061" max="4061" width="13.42578125" style="122" customWidth="1"/>
    <col min="4062" max="4065" width="16.140625" style="122" bestFit="1" customWidth="1"/>
    <col min="4066" max="4069" width="17.42578125" style="122" bestFit="1" customWidth="1"/>
    <col min="4070" max="4073" width="17.42578125" style="122" customWidth="1"/>
    <col min="4074" max="4074" width="27.28515625" style="122" customWidth="1"/>
    <col min="4075" max="4075" width="15.85546875" style="122" bestFit="1" customWidth="1"/>
    <col min="4076" max="4076" width="12.42578125" style="122" bestFit="1" customWidth="1"/>
    <col min="4077" max="4087" width="11.42578125" style="122" customWidth="1"/>
    <col min="4088" max="4088" width="17.140625" style="122" customWidth="1"/>
    <col min="4089" max="4089" width="11.42578125" style="122" customWidth="1"/>
    <col min="4090" max="4090" width="34.28515625" style="122" bestFit="1" customWidth="1"/>
    <col min="4091" max="4294" width="11.42578125" style="122"/>
    <col min="4295" max="4295" width="8.85546875" style="122" customWidth="1"/>
    <col min="4296" max="4296" width="35.7109375" style="122" bestFit="1" customWidth="1"/>
    <col min="4297" max="4297" width="5" style="122" customWidth="1"/>
    <col min="4298" max="4300" width="12.85546875" style="122" bestFit="1" customWidth="1"/>
    <col min="4301" max="4311" width="15.140625" style="122" customWidth="1"/>
    <col min="4312" max="4312" width="13.85546875" style="122" customWidth="1"/>
    <col min="4313" max="4313" width="11.42578125" style="122" customWidth="1"/>
    <col min="4314" max="4314" width="12" style="122" bestFit="1" customWidth="1"/>
    <col min="4315" max="4315" width="31.7109375" style="122" customWidth="1"/>
    <col min="4316" max="4316" width="13.85546875" style="122" customWidth="1"/>
    <col min="4317" max="4317" width="13.42578125" style="122" customWidth="1"/>
    <col min="4318" max="4321" width="16.140625" style="122" bestFit="1" customWidth="1"/>
    <col min="4322" max="4325" width="17.42578125" style="122" bestFit="1" customWidth="1"/>
    <col min="4326" max="4329" width="17.42578125" style="122" customWidth="1"/>
    <col min="4330" max="4330" width="27.28515625" style="122" customWidth="1"/>
    <col min="4331" max="4331" width="15.85546875" style="122" bestFit="1" customWidth="1"/>
    <col min="4332" max="4332" width="12.42578125" style="122" bestFit="1" customWidth="1"/>
    <col min="4333" max="4343" width="11.42578125" style="122" customWidth="1"/>
    <col min="4344" max="4344" width="17.140625" style="122" customWidth="1"/>
    <col min="4345" max="4345" width="11.42578125" style="122" customWidth="1"/>
    <col min="4346" max="4346" width="34.28515625" style="122" bestFit="1" customWidth="1"/>
    <col min="4347" max="4550" width="11.42578125" style="122"/>
    <col min="4551" max="4551" width="8.85546875" style="122" customWidth="1"/>
    <col min="4552" max="4552" width="35.7109375" style="122" bestFit="1" customWidth="1"/>
    <col min="4553" max="4553" width="5" style="122" customWidth="1"/>
    <col min="4554" max="4556" width="12.85546875" style="122" bestFit="1" customWidth="1"/>
    <col min="4557" max="4567" width="15.140625" style="122" customWidth="1"/>
    <col min="4568" max="4568" width="13.85546875" style="122" customWidth="1"/>
    <col min="4569" max="4569" width="11.42578125" style="122" customWidth="1"/>
    <col min="4570" max="4570" width="12" style="122" bestFit="1" customWidth="1"/>
    <col min="4571" max="4571" width="31.7109375" style="122" customWidth="1"/>
    <col min="4572" max="4572" width="13.85546875" style="122" customWidth="1"/>
    <col min="4573" max="4573" width="13.42578125" style="122" customWidth="1"/>
    <col min="4574" max="4577" width="16.140625" style="122" bestFit="1" customWidth="1"/>
    <col min="4578" max="4581" width="17.42578125" style="122" bestFit="1" customWidth="1"/>
    <col min="4582" max="4585" width="17.42578125" style="122" customWidth="1"/>
    <col min="4586" max="4586" width="27.28515625" style="122" customWidth="1"/>
    <col min="4587" max="4587" width="15.85546875" style="122" bestFit="1" customWidth="1"/>
    <col min="4588" max="4588" width="12.42578125" style="122" bestFit="1" customWidth="1"/>
    <col min="4589" max="4599" width="11.42578125" style="122" customWidth="1"/>
    <col min="4600" max="4600" width="17.140625" style="122" customWidth="1"/>
    <col min="4601" max="4601" width="11.42578125" style="122" customWidth="1"/>
    <col min="4602" max="4602" width="34.28515625" style="122" bestFit="1" customWidth="1"/>
    <col min="4603" max="4806" width="11.42578125" style="122"/>
    <col min="4807" max="4807" width="8.85546875" style="122" customWidth="1"/>
    <col min="4808" max="4808" width="35.7109375" style="122" bestFit="1" customWidth="1"/>
    <col min="4809" max="4809" width="5" style="122" customWidth="1"/>
    <col min="4810" max="4812" width="12.85546875" style="122" bestFit="1" customWidth="1"/>
    <col min="4813" max="4823" width="15.140625" style="122" customWidth="1"/>
    <col min="4824" max="4824" width="13.85546875" style="122" customWidth="1"/>
    <col min="4825" max="4825" width="11.42578125" style="122" customWidth="1"/>
    <col min="4826" max="4826" width="12" style="122" bestFit="1" customWidth="1"/>
    <col min="4827" max="4827" width="31.7109375" style="122" customWidth="1"/>
    <col min="4828" max="4828" width="13.85546875" style="122" customWidth="1"/>
    <col min="4829" max="4829" width="13.42578125" style="122" customWidth="1"/>
    <col min="4830" max="4833" width="16.140625" style="122" bestFit="1" customWidth="1"/>
    <col min="4834" max="4837" width="17.42578125" style="122" bestFit="1" customWidth="1"/>
    <col min="4838" max="4841" width="17.42578125" style="122" customWidth="1"/>
    <col min="4842" max="4842" width="27.28515625" style="122" customWidth="1"/>
    <col min="4843" max="4843" width="15.85546875" style="122" bestFit="1" customWidth="1"/>
    <col min="4844" max="4844" width="12.42578125" style="122" bestFit="1" customWidth="1"/>
    <col min="4845" max="4855" width="11.42578125" style="122" customWidth="1"/>
    <col min="4856" max="4856" width="17.140625" style="122" customWidth="1"/>
    <col min="4857" max="4857" width="11.42578125" style="122" customWidth="1"/>
    <col min="4858" max="4858" width="34.28515625" style="122" bestFit="1" customWidth="1"/>
    <col min="4859" max="5062" width="11.42578125" style="122"/>
    <col min="5063" max="5063" width="8.85546875" style="122" customWidth="1"/>
    <col min="5064" max="5064" width="35.7109375" style="122" bestFit="1" customWidth="1"/>
    <col min="5065" max="5065" width="5" style="122" customWidth="1"/>
    <col min="5066" max="5068" width="12.85546875" style="122" bestFit="1" customWidth="1"/>
    <col min="5069" max="5079" width="15.140625" style="122" customWidth="1"/>
    <col min="5080" max="5080" width="13.85546875" style="122" customWidth="1"/>
    <col min="5081" max="5081" width="11.42578125" style="122" customWidth="1"/>
    <col min="5082" max="5082" width="12" style="122" bestFit="1" customWidth="1"/>
    <col min="5083" max="5083" width="31.7109375" style="122" customWidth="1"/>
    <col min="5084" max="5084" width="13.85546875" style="122" customWidth="1"/>
    <col min="5085" max="5085" width="13.42578125" style="122" customWidth="1"/>
    <col min="5086" max="5089" width="16.140625" style="122" bestFit="1" customWidth="1"/>
    <col min="5090" max="5093" width="17.42578125" style="122" bestFit="1" customWidth="1"/>
    <col min="5094" max="5097" width="17.42578125" style="122" customWidth="1"/>
    <col min="5098" max="5098" width="27.28515625" style="122" customWidth="1"/>
    <col min="5099" max="5099" width="15.85546875" style="122" bestFit="1" customWidth="1"/>
    <col min="5100" max="5100" width="12.42578125" style="122" bestFit="1" customWidth="1"/>
    <col min="5101" max="5111" width="11.42578125" style="122" customWidth="1"/>
    <col min="5112" max="5112" width="17.140625" style="122" customWidth="1"/>
    <col min="5113" max="5113" width="11.42578125" style="122" customWidth="1"/>
    <col min="5114" max="5114" width="34.28515625" style="122" bestFit="1" customWidth="1"/>
    <col min="5115" max="5318" width="11.42578125" style="122"/>
    <col min="5319" max="5319" width="8.85546875" style="122" customWidth="1"/>
    <col min="5320" max="5320" width="35.7109375" style="122" bestFit="1" customWidth="1"/>
    <col min="5321" max="5321" width="5" style="122" customWidth="1"/>
    <col min="5322" max="5324" width="12.85546875" style="122" bestFit="1" customWidth="1"/>
    <col min="5325" max="5335" width="15.140625" style="122" customWidth="1"/>
    <col min="5336" max="5336" width="13.85546875" style="122" customWidth="1"/>
    <col min="5337" max="5337" width="11.42578125" style="122" customWidth="1"/>
    <col min="5338" max="5338" width="12" style="122" bestFit="1" customWidth="1"/>
    <col min="5339" max="5339" width="31.7109375" style="122" customWidth="1"/>
    <col min="5340" max="5340" width="13.85546875" style="122" customWidth="1"/>
    <col min="5341" max="5341" width="13.42578125" style="122" customWidth="1"/>
    <col min="5342" max="5345" width="16.140625" style="122" bestFit="1" customWidth="1"/>
    <col min="5346" max="5349" width="17.42578125" style="122" bestFit="1" customWidth="1"/>
    <col min="5350" max="5353" width="17.42578125" style="122" customWidth="1"/>
    <col min="5354" max="5354" width="27.28515625" style="122" customWidth="1"/>
    <col min="5355" max="5355" width="15.85546875" style="122" bestFit="1" customWidth="1"/>
    <col min="5356" max="5356" width="12.42578125" style="122" bestFit="1" customWidth="1"/>
    <col min="5357" max="5367" width="11.42578125" style="122" customWidth="1"/>
    <col min="5368" max="5368" width="17.140625" style="122" customWidth="1"/>
    <col min="5369" max="5369" width="11.42578125" style="122" customWidth="1"/>
    <col min="5370" max="5370" width="34.28515625" style="122" bestFit="1" customWidth="1"/>
    <col min="5371" max="5574" width="11.42578125" style="122"/>
    <col min="5575" max="5575" width="8.85546875" style="122" customWidth="1"/>
    <col min="5576" max="5576" width="35.7109375" style="122" bestFit="1" customWidth="1"/>
    <col min="5577" max="5577" width="5" style="122" customWidth="1"/>
    <col min="5578" max="5580" width="12.85546875" style="122" bestFit="1" customWidth="1"/>
    <col min="5581" max="5591" width="15.140625" style="122" customWidth="1"/>
    <col min="5592" max="5592" width="13.85546875" style="122" customWidth="1"/>
    <col min="5593" max="5593" width="11.42578125" style="122" customWidth="1"/>
    <col min="5594" max="5594" width="12" style="122" bestFit="1" customWidth="1"/>
    <col min="5595" max="5595" width="31.7109375" style="122" customWidth="1"/>
    <col min="5596" max="5596" width="13.85546875" style="122" customWidth="1"/>
    <col min="5597" max="5597" width="13.42578125" style="122" customWidth="1"/>
    <col min="5598" max="5601" width="16.140625" style="122" bestFit="1" customWidth="1"/>
    <col min="5602" max="5605" width="17.42578125" style="122" bestFit="1" customWidth="1"/>
    <col min="5606" max="5609" width="17.42578125" style="122" customWidth="1"/>
    <col min="5610" max="5610" width="27.28515625" style="122" customWidth="1"/>
    <col min="5611" max="5611" width="15.85546875" style="122" bestFit="1" customWidth="1"/>
    <col min="5612" max="5612" width="12.42578125" style="122" bestFit="1" customWidth="1"/>
    <col min="5613" max="5623" width="11.42578125" style="122" customWidth="1"/>
    <col min="5624" max="5624" width="17.140625" style="122" customWidth="1"/>
    <col min="5625" max="5625" width="11.42578125" style="122" customWidth="1"/>
    <col min="5626" max="5626" width="34.28515625" style="122" bestFit="1" customWidth="1"/>
    <col min="5627" max="5830" width="11.42578125" style="122"/>
    <col min="5831" max="5831" width="8.85546875" style="122" customWidth="1"/>
    <col min="5832" max="5832" width="35.7109375" style="122" bestFit="1" customWidth="1"/>
    <col min="5833" max="5833" width="5" style="122" customWidth="1"/>
    <col min="5834" max="5836" width="12.85546875" style="122" bestFit="1" customWidth="1"/>
    <col min="5837" max="5847" width="15.140625" style="122" customWidth="1"/>
    <col min="5848" max="5848" width="13.85546875" style="122" customWidth="1"/>
    <col min="5849" max="5849" width="11.42578125" style="122" customWidth="1"/>
    <col min="5850" max="5850" width="12" style="122" bestFit="1" customWidth="1"/>
    <col min="5851" max="5851" width="31.7109375" style="122" customWidth="1"/>
    <col min="5852" max="5852" width="13.85546875" style="122" customWidth="1"/>
    <col min="5853" max="5853" width="13.42578125" style="122" customWidth="1"/>
    <col min="5854" max="5857" width="16.140625" style="122" bestFit="1" customWidth="1"/>
    <col min="5858" max="5861" width="17.42578125" style="122" bestFit="1" customWidth="1"/>
    <col min="5862" max="5865" width="17.42578125" style="122" customWidth="1"/>
    <col min="5866" max="5866" width="27.28515625" style="122" customWidth="1"/>
    <col min="5867" max="5867" width="15.85546875" style="122" bestFit="1" customWidth="1"/>
    <col min="5868" max="5868" width="12.42578125" style="122" bestFit="1" customWidth="1"/>
    <col min="5869" max="5879" width="11.42578125" style="122" customWidth="1"/>
    <col min="5880" max="5880" width="17.140625" style="122" customWidth="1"/>
    <col min="5881" max="5881" width="11.42578125" style="122" customWidth="1"/>
    <col min="5882" max="5882" width="34.28515625" style="122" bestFit="1" customWidth="1"/>
    <col min="5883" max="6086" width="11.42578125" style="122"/>
    <col min="6087" max="6087" width="8.85546875" style="122" customWidth="1"/>
    <col min="6088" max="6088" width="35.7109375" style="122" bestFit="1" customWidth="1"/>
    <col min="6089" max="6089" width="5" style="122" customWidth="1"/>
    <col min="6090" max="6092" width="12.85546875" style="122" bestFit="1" customWidth="1"/>
    <col min="6093" max="6103" width="15.140625" style="122" customWidth="1"/>
    <col min="6104" max="6104" width="13.85546875" style="122" customWidth="1"/>
    <col min="6105" max="6105" width="11.42578125" style="122" customWidth="1"/>
    <col min="6106" max="6106" width="12" style="122" bestFit="1" customWidth="1"/>
    <col min="6107" max="6107" width="31.7109375" style="122" customWidth="1"/>
    <col min="6108" max="6108" width="13.85546875" style="122" customWidth="1"/>
    <col min="6109" max="6109" width="13.42578125" style="122" customWidth="1"/>
    <col min="6110" max="6113" width="16.140625" style="122" bestFit="1" customWidth="1"/>
    <col min="6114" max="6117" width="17.42578125" style="122" bestFit="1" customWidth="1"/>
    <col min="6118" max="6121" width="17.42578125" style="122" customWidth="1"/>
    <col min="6122" max="6122" width="27.28515625" style="122" customWidth="1"/>
    <col min="6123" max="6123" width="15.85546875" style="122" bestFit="1" customWidth="1"/>
    <col min="6124" max="6124" width="12.42578125" style="122" bestFit="1" customWidth="1"/>
    <col min="6125" max="6135" width="11.42578125" style="122" customWidth="1"/>
    <col min="6136" max="6136" width="17.140625" style="122" customWidth="1"/>
    <col min="6137" max="6137" width="11.42578125" style="122" customWidth="1"/>
    <col min="6138" max="6138" width="34.28515625" style="122" bestFit="1" customWidth="1"/>
    <col min="6139" max="6342" width="11.42578125" style="122"/>
    <col min="6343" max="6343" width="8.85546875" style="122" customWidth="1"/>
    <col min="6344" max="6344" width="35.7109375" style="122" bestFit="1" customWidth="1"/>
    <col min="6345" max="6345" width="5" style="122" customWidth="1"/>
    <col min="6346" max="6348" width="12.85546875" style="122" bestFit="1" customWidth="1"/>
    <col min="6349" max="6359" width="15.140625" style="122" customWidth="1"/>
    <col min="6360" max="6360" width="13.85546875" style="122" customWidth="1"/>
    <col min="6361" max="6361" width="11.42578125" style="122" customWidth="1"/>
    <col min="6362" max="6362" width="12" style="122" bestFit="1" customWidth="1"/>
    <col min="6363" max="6363" width="31.7109375" style="122" customWidth="1"/>
    <col min="6364" max="6364" width="13.85546875" style="122" customWidth="1"/>
    <col min="6365" max="6365" width="13.42578125" style="122" customWidth="1"/>
    <col min="6366" max="6369" width="16.140625" style="122" bestFit="1" customWidth="1"/>
    <col min="6370" max="6373" width="17.42578125" style="122" bestFit="1" customWidth="1"/>
    <col min="6374" max="6377" width="17.42578125" style="122" customWidth="1"/>
    <col min="6378" max="6378" width="27.28515625" style="122" customWidth="1"/>
    <col min="6379" max="6379" width="15.85546875" style="122" bestFit="1" customWidth="1"/>
    <col min="6380" max="6380" width="12.42578125" style="122" bestFit="1" customWidth="1"/>
    <col min="6381" max="6391" width="11.42578125" style="122" customWidth="1"/>
    <col min="6392" max="6392" width="17.140625" style="122" customWidth="1"/>
    <col min="6393" max="6393" width="11.42578125" style="122" customWidth="1"/>
    <col min="6394" max="6394" width="34.28515625" style="122" bestFit="1" customWidth="1"/>
    <col min="6395" max="6598" width="11.42578125" style="122"/>
    <col min="6599" max="6599" width="8.85546875" style="122" customWidth="1"/>
    <col min="6600" max="6600" width="35.7109375" style="122" bestFit="1" customWidth="1"/>
    <col min="6601" max="6601" width="5" style="122" customWidth="1"/>
    <col min="6602" max="6604" width="12.85546875" style="122" bestFit="1" customWidth="1"/>
    <col min="6605" max="6615" width="15.140625" style="122" customWidth="1"/>
    <col min="6616" max="6616" width="13.85546875" style="122" customWidth="1"/>
    <col min="6617" max="6617" width="11.42578125" style="122" customWidth="1"/>
    <col min="6618" max="6618" width="12" style="122" bestFit="1" customWidth="1"/>
    <col min="6619" max="6619" width="31.7109375" style="122" customWidth="1"/>
    <col min="6620" max="6620" width="13.85546875" style="122" customWidth="1"/>
    <col min="6621" max="6621" width="13.42578125" style="122" customWidth="1"/>
    <col min="6622" max="6625" width="16.140625" style="122" bestFit="1" customWidth="1"/>
    <col min="6626" max="6629" width="17.42578125" style="122" bestFit="1" customWidth="1"/>
    <col min="6630" max="6633" width="17.42578125" style="122" customWidth="1"/>
    <col min="6634" max="6634" width="27.28515625" style="122" customWidth="1"/>
    <col min="6635" max="6635" width="15.85546875" style="122" bestFit="1" customWidth="1"/>
    <col min="6636" max="6636" width="12.42578125" style="122" bestFit="1" customWidth="1"/>
    <col min="6637" max="6647" width="11.42578125" style="122" customWidth="1"/>
    <col min="6648" max="6648" width="17.140625" style="122" customWidth="1"/>
    <col min="6649" max="6649" width="11.42578125" style="122" customWidth="1"/>
    <col min="6650" max="6650" width="34.28515625" style="122" bestFit="1" customWidth="1"/>
    <col min="6651" max="6854" width="11.42578125" style="122"/>
    <col min="6855" max="6855" width="8.85546875" style="122" customWidth="1"/>
    <col min="6856" max="6856" width="35.7109375" style="122" bestFit="1" customWidth="1"/>
    <col min="6857" max="6857" width="5" style="122" customWidth="1"/>
    <col min="6858" max="6860" width="12.85546875" style="122" bestFit="1" customWidth="1"/>
    <col min="6861" max="6871" width="15.140625" style="122" customWidth="1"/>
    <col min="6872" max="6872" width="13.85546875" style="122" customWidth="1"/>
    <col min="6873" max="6873" width="11.42578125" style="122" customWidth="1"/>
    <col min="6874" max="6874" width="12" style="122" bestFit="1" customWidth="1"/>
    <col min="6875" max="6875" width="31.7109375" style="122" customWidth="1"/>
    <col min="6876" max="6876" width="13.85546875" style="122" customWidth="1"/>
    <col min="6877" max="6877" width="13.42578125" style="122" customWidth="1"/>
    <col min="6878" max="6881" width="16.140625" style="122" bestFit="1" customWidth="1"/>
    <col min="6882" max="6885" width="17.42578125" style="122" bestFit="1" customWidth="1"/>
    <col min="6886" max="6889" width="17.42578125" style="122" customWidth="1"/>
    <col min="6890" max="6890" width="27.28515625" style="122" customWidth="1"/>
    <col min="6891" max="6891" width="15.85546875" style="122" bestFit="1" customWidth="1"/>
    <col min="6892" max="6892" width="12.42578125" style="122" bestFit="1" customWidth="1"/>
    <col min="6893" max="6903" width="11.42578125" style="122" customWidth="1"/>
    <col min="6904" max="6904" width="17.140625" style="122" customWidth="1"/>
    <col min="6905" max="6905" width="11.42578125" style="122" customWidth="1"/>
    <col min="6906" max="6906" width="34.28515625" style="122" bestFit="1" customWidth="1"/>
    <col min="6907" max="7110" width="11.42578125" style="122"/>
    <col min="7111" max="7111" width="8.85546875" style="122" customWidth="1"/>
    <col min="7112" max="7112" width="35.7109375" style="122" bestFit="1" customWidth="1"/>
    <col min="7113" max="7113" width="5" style="122" customWidth="1"/>
    <col min="7114" max="7116" width="12.85546875" style="122" bestFit="1" customWidth="1"/>
    <col min="7117" max="7127" width="15.140625" style="122" customWidth="1"/>
    <col min="7128" max="7128" width="13.85546875" style="122" customWidth="1"/>
    <col min="7129" max="7129" width="11.42578125" style="122" customWidth="1"/>
    <col min="7130" max="7130" width="12" style="122" bestFit="1" customWidth="1"/>
    <col min="7131" max="7131" width="31.7109375" style="122" customWidth="1"/>
    <col min="7132" max="7132" width="13.85546875" style="122" customWidth="1"/>
    <col min="7133" max="7133" width="13.42578125" style="122" customWidth="1"/>
    <col min="7134" max="7137" width="16.140625" style="122" bestFit="1" customWidth="1"/>
    <col min="7138" max="7141" width="17.42578125" style="122" bestFit="1" customWidth="1"/>
    <col min="7142" max="7145" width="17.42578125" style="122" customWidth="1"/>
    <col min="7146" max="7146" width="27.28515625" style="122" customWidth="1"/>
    <col min="7147" max="7147" width="15.85546875" style="122" bestFit="1" customWidth="1"/>
    <col min="7148" max="7148" width="12.42578125" style="122" bestFit="1" customWidth="1"/>
    <col min="7149" max="7159" width="11.42578125" style="122" customWidth="1"/>
    <col min="7160" max="7160" width="17.140625" style="122" customWidth="1"/>
    <col min="7161" max="7161" width="11.42578125" style="122" customWidth="1"/>
    <col min="7162" max="7162" width="34.28515625" style="122" bestFit="1" customWidth="1"/>
    <col min="7163" max="7366" width="11.42578125" style="122"/>
    <col min="7367" max="7367" width="8.85546875" style="122" customWidth="1"/>
    <col min="7368" max="7368" width="35.7109375" style="122" bestFit="1" customWidth="1"/>
    <col min="7369" max="7369" width="5" style="122" customWidth="1"/>
    <col min="7370" max="7372" width="12.85546875" style="122" bestFit="1" customWidth="1"/>
    <col min="7373" max="7383" width="15.140625" style="122" customWidth="1"/>
    <col min="7384" max="7384" width="13.85546875" style="122" customWidth="1"/>
    <col min="7385" max="7385" width="11.42578125" style="122" customWidth="1"/>
    <col min="7386" max="7386" width="12" style="122" bestFit="1" customWidth="1"/>
    <col min="7387" max="7387" width="31.7109375" style="122" customWidth="1"/>
    <col min="7388" max="7388" width="13.85546875" style="122" customWidth="1"/>
    <col min="7389" max="7389" width="13.42578125" style="122" customWidth="1"/>
    <col min="7390" max="7393" width="16.140625" style="122" bestFit="1" customWidth="1"/>
    <col min="7394" max="7397" width="17.42578125" style="122" bestFit="1" customWidth="1"/>
    <col min="7398" max="7401" width="17.42578125" style="122" customWidth="1"/>
    <col min="7402" max="7402" width="27.28515625" style="122" customWidth="1"/>
    <col min="7403" max="7403" width="15.85546875" style="122" bestFit="1" customWidth="1"/>
    <col min="7404" max="7404" width="12.42578125" style="122" bestFit="1" customWidth="1"/>
    <col min="7405" max="7415" width="11.42578125" style="122" customWidth="1"/>
    <col min="7416" max="7416" width="17.140625" style="122" customWidth="1"/>
    <col min="7417" max="7417" width="11.42578125" style="122" customWidth="1"/>
    <col min="7418" max="7418" width="34.28515625" style="122" bestFit="1" customWidth="1"/>
    <col min="7419" max="7622" width="11.42578125" style="122"/>
    <col min="7623" max="7623" width="8.85546875" style="122" customWidth="1"/>
    <col min="7624" max="7624" width="35.7109375" style="122" bestFit="1" customWidth="1"/>
    <col min="7625" max="7625" width="5" style="122" customWidth="1"/>
    <col min="7626" max="7628" width="12.85546875" style="122" bestFit="1" customWidth="1"/>
    <col min="7629" max="7639" width="15.140625" style="122" customWidth="1"/>
    <col min="7640" max="7640" width="13.85546875" style="122" customWidth="1"/>
    <col min="7641" max="7641" width="11.42578125" style="122" customWidth="1"/>
    <col min="7642" max="7642" width="12" style="122" bestFit="1" customWidth="1"/>
    <col min="7643" max="7643" width="31.7109375" style="122" customWidth="1"/>
    <col min="7644" max="7644" width="13.85546875" style="122" customWidth="1"/>
    <col min="7645" max="7645" width="13.42578125" style="122" customWidth="1"/>
    <col min="7646" max="7649" width="16.140625" style="122" bestFit="1" customWidth="1"/>
    <col min="7650" max="7653" width="17.42578125" style="122" bestFit="1" customWidth="1"/>
    <col min="7654" max="7657" width="17.42578125" style="122" customWidth="1"/>
    <col min="7658" max="7658" width="27.28515625" style="122" customWidth="1"/>
    <col min="7659" max="7659" width="15.85546875" style="122" bestFit="1" customWidth="1"/>
    <col min="7660" max="7660" width="12.42578125" style="122" bestFit="1" customWidth="1"/>
    <col min="7661" max="7671" width="11.42578125" style="122" customWidth="1"/>
    <col min="7672" max="7672" width="17.140625" style="122" customWidth="1"/>
    <col min="7673" max="7673" width="11.42578125" style="122" customWidth="1"/>
    <col min="7674" max="7674" width="34.28515625" style="122" bestFit="1" customWidth="1"/>
    <col min="7675" max="7878" width="11.42578125" style="122"/>
    <col min="7879" max="7879" width="8.85546875" style="122" customWidth="1"/>
    <col min="7880" max="7880" width="35.7109375" style="122" bestFit="1" customWidth="1"/>
    <col min="7881" max="7881" width="5" style="122" customWidth="1"/>
    <col min="7882" max="7884" width="12.85546875" style="122" bestFit="1" customWidth="1"/>
    <col min="7885" max="7895" width="15.140625" style="122" customWidth="1"/>
    <col min="7896" max="7896" width="13.85546875" style="122" customWidth="1"/>
    <col min="7897" max="7897" width="11.42578125" style="122" customWidth="1"/>
    <col min="7898" max="7898" width="12" style="122" bestFit="1" customWidth="1"/>
    <col min="7899" max="7899" width="31.7109375" style="122" customWidth="1"/>
    <col min="7900" max="7900" width="13.85546875" style="122" customWidth="1"/>
    <col min="7901" max="7901" width="13.42578125" style="122" customWidth="1"/>
    <col min="7902" max="7905" width="16.140625" style="122" bestFit="1" customWidth="1"/>
    <col min="7906" max="7909" width="17.42578125" style="122" bestFit="1" customWidth="1"/>
    <col min="7910" max="7913" width="17.42578125" style="122" customWidth="1"/>
    <col min="7914" max="7914" width="27.28515625" style="122" customWidth="1"/>
    <col min="7915" max="7915" width="15.85546875" style="122" bestFit="1" customWidth="1"/>
    <col min="7916" max="7916" width="12.42578125" style="122" bestFit="1" customWidth="1"/>
    <col min="7917" max="7927" width="11.42578125" style="122" customWidth="1"/>
    <col min="7928" max="7928" width="17.140625" style="122" customWidth="1"/>
    <col min="7929" max="7929" width="11.42578125" style="122" customWidth="1"/>
    <col min="7930" max="7930" width="34.28515625" style="122" bestFit="1" customWidth="1"/>
    <col min="7931" max="8134" width="11.42578125" style="122"/>
    <col min="8135" max="8135" width="8.85546875" style="122" customWidth="1"/>
    <col min="8136" max="8136" width="35.7109375" style="122" bestFit="1" customWidth="1"/>
    <col min="8137" max="8137" width="5" style="122" customWidth="1"/>
    <col min="8138" max="8140" width="12.85546875" style="122" bestFit="1" customWidth="1"/>
    <col min="8141" max="8151" width="15.140625" style="122" customWidth="1"/>
    <col min="8152" max="8152" width="13.85546875" style="122" customWidth="1"/>
    <col min="8153" max="8153" width="11.42578125" style="122" customWidth="1"/>
    <col min="8154" max="8154" width="12" style="122" bestFit="1" customWidth="1"/>
    <col min="8155" max="8155" width="31.7109375" style="122" customWidth="1"/>
    <col min="8156" max="8156" width="13.85546875" style="122" customWidth="1"/>
    <col min="8157" max="8157" width="13.42578125" style="122" customWidth="1"/>
    <col min="8158" max="8161" width="16.140625" style="122" bestFit="1" customWidth="1"/>
    <col min="8162" max="8165" width="17.42578125" style="122" bestFit="1" customWidth="1"/>
    <col min="8166" max="8169" width="17.42578125" style="122" customWidth="1"/>
    <col min="8170" max="8170" width="27.28515625" style="122" customWidth="1"/>
    <col min="8171" max="8171" width="15.85546875" style="122" bestFit="1" customWidth="1"/>
    <col min="8172" max="8172" width="12.42578125" style="122" bestFit="1" customWidth="1"/>
    <col min="8173" max="8183" width="11.42578125" style="122" customWidth="1"/>
    <col min="8184" max="8184" width="17.140625" style="122" customWidth="1"/>
    <col min="8185" max="8185" width="11.42578125" style="122" customWidth="1"/>
    <col min="8186" max="8186" width="34.28515625" style="122" bestFit="1" customWidth="1"/>
    <col min="8187" max="8390" width="11.42578125" style="122"/>
    <col min="8391" max="8391" width="8.85546875" style="122" customWidth="1"/>
    <col min="8392" max="8392" width="35.7109375" style="122" bestFit="1" customWidth="1"/>
    <col min="8393" max="8393" width="5" style="122" customWidth="1"/>
    <col min="8394" max="8396" width="12.85546875" style="122" bestFit="1" customWidth="1"/>
    <col min="8397" max="8407" width="15.140625" style="122" customWidth="1"/>
    <col min="8408" max="8408" width="13.85546875" style="122" customWidth="1"/>
    <col min="8409" max="8409" width="11.42578125" style="122" customWidth="1"/>
    <col min="8410" max="8410" width="12" style="122" bestFit="1" customWidth="1"/>
    <col min="8411" max="8411" width="31.7109375" style="122" customWidth="1"/>
    <col min="8412" max="8412" width="13.85546875" style="122" customWidth="1"/>
    <col min="8413" max="8413" width="13.42578125" style="122" customWidth="1"/>
    <col min="8414" max="8417" width="16.140625" style="122" bestFit="1" customWidth="1"/>
    <col min="8418" max="8421" width="17.42578125" style="122" bestFit="1" customWidth="1"/>
    <col min="8422" max="8425" width="17.42578125" style="122" customWidth="1"/>
    <col min="8426" max="8426" width="27.28515625" style="122" customWidth="1"/>
    <col min="8427" max="8427" width="15.85546875" style="122" bestFit="1" customWidth="1"/>
    <col min="8428" max="8428" width="12.42578125" style="122" bestFit="1" customWidth="1"/>
    <col min="8429" max="8439" width="11.42578125" style="122" customWidth="1"/>
    <col min="8440" max="8440" width="17.140625" style="122" customWidth="1"/>
    <col min="8441" max="8441" width="11.42578125" style="122" customWidth="1"/>
    <col min="8442" max="8442" width="34.28515625" style="122" bestFit="1" customWidth="1"/>
    <col min="8443" max="8646" width="11.42578125" style="122"/>
    <col min="8647" max="8647" width="8.85546875" style="122" customWidth="1"/>
    <col min="8648" max="8648" width="35.7109375" style="122" bestFit="1" customWidth="1"/>
    <col min="8649" max="8649" width="5" style="122" customWidth="1"/>
    <col min="8650" max="8652" width="12.85546875" style="122" bestFit="1" customWidth="1"/>
    <col min="8653" max="8663" width="15.140625" style="122" customWidth="1"/>
    <col min="8664" max="8664" width="13.85546875" style="122" customWidth="1"/>
    <col min="8665" max="8665" width="11.42578125" style="122" customWidth="1"/>
    <col min="8666" max="8666" width="12" style="122" bestFit="1" customWidth="1"/>
    <col min="8667" max="8667" width="31.7109375" style="122" customWidth="1"/>
    <col min="8668" max="8668" width="13.85546875" style="122" customWidth="1"/>
    <col min="8669" max="8669" width="13.42578125" style="122" customWidth="1"/>
    <col min="8670" max="8673" width="16.140625" style="122" bestFit="1" customWidth="1"/>
    <col min="8674" max="8677" width="17.42578125" style="122" bestFit="1" customWidth="1"/>
    <col min="8678" max="8681" width="17.42578125" style="122" customWidth="1"/>
    <col min="8682" max="8682" width="27.28515625" style="122" customWidth="1"/>
    <col min="8683" max="8683" width="15.85546875" style="122" bestFit="1" customWidth="1"/>
    <col min="8684" max="8684" width="12.42578125" style="122" bestFit="1" customWidth="1"/>
    <col min="8685" max="8695" width="11.42578125" style="122" customWidth="1"/>
    <col min="8696" max="8696" width="17.140625" style="122" customWidth="1"/>
    <col min="8697" max="8697" width="11.42578125" style="122" customWidth="1"/>
    <col min="8698" max="8698" width="34.28515625" style="122" bestFit="1" customWidth="1"/>
    <col min="8699" max="8902" width="11.42578125" style="122"/>
    <col min="8903" max="8903" width="8.85546875" style="122" customWidth="1"/>
    <col min="8904" max="8904" width="35.7109375" style="122" bestFit="1" customWidth="1"/>
    <col min="8905" max="8905" width="5" style="122" customWidth="1"/>
    <col min="8906" max="8908" width="12.85546875" style="122" bestFit="1" customWidth="1"/>
    <col min="8909" max="8919" width="15.140625" style="122" customWidth="1"/>
    <col min="8920" max="8920" width="13.85546875" style="122" customWidth="1"/>
    <col min="8921" max="8921" width="11.42578125" style="122" customWidth="1"/>
    <col min="8922" max="8922" width="12" style="122" bestFit="1" customWidth="1"/>
    <col min="8923" max="8923" width="31.7109375" style="122" customWidth="1"/>
    <col min="8924" max="8924" width="13.85546875" style="122" customWidth="1"/>
    <col min="8925" max="8925" width="13.42578125" style="122" customWidth="1"/>
    <col min="8926" max="8929" width="16.140625" style="122" bestFit="1" customWidth="1"/>
    <col min="8930" max="8933" width="17.42578125" style="122" bestFit="1" customWidth="1"/>
    <col min="8934" max="8937" width="17.42578125" style="122" customWidth="1"/>
    <col min="8938" max="8938" width="27.28515625" style="122" customWidth="1"/>
    <col min="8939" max="8939" width="15.85546875" style="122" bestFit="1" customWidth="1"/>
    <col min="8940" max="8940" width="12.42578125" style="122" bestFit="1" customWidth="1"/>
    <col min="8941" max="8951" width="11.42578125" style="122" customWidth="1"/>
    <col min="8952" max="8952" width="17.140625" style="122" customWidth="1"/>
    <col min="8953" max="8953" width="11.42578125" style="122" customWidth="1"/>
    <col min="8954" max="8954" width="34.28515625" style="122" bestFit="1" customWidth="1"/>
    <col min="8955" max="9158" width="11.42578125" style="122"/>
    <col min="9159" max="9159" width="8.85546875" style="122" customWidth="1"/>
    <col min="9160" max="9160" width="35.7109375" style="122" bestFit="1" customWidth="1"/>
    <col min="9161" max="9161" width="5" style="122" customWidth="1"/>
    <col min="9162" max="9164" width="12.85546875" style="122" bestFit="1" customWidth="1"/>
    <col min="9165" max="9175" width="15.140625" style="122" customWidth="1"/>
    <col min="9176" max="9176" width="13.85546875" style="122" customWidth="1"/>
    <col min="9177" max="9177" width="11.42578125" style="122" customWidth="1"/>
    <col min="9178" max="9178" width="12" style="122" bestFit="1" customWidth="1"/>
    <col min="9179" max="9179" width="31.7109375" style="122" customWidth="1"/>
    <col min="9180" max="9180" width="13.85546875" style="122" customWidth="1"/>
    <col min="9181" max="9181" width="13.42578125" style="122" customWidth="1"/>
    <col min="9182" max="9185" width="16.140625" style="122" bestFit="1" customWidth="1"/>
    <col min="9186" max="9189" width="17.42578125" style="122" bestFit="1" customWidth="1"/>
    <col min="9190" max="9193" width="17.42578125" style="122" customWidth="1"/>
    <col min="9194" max="9194" width="27.28515625" style="122" customWidth="1"/>
    <col min="9195" max="9195" width="15.85546875" style="122" bestFit="1" customWidth="1"/>
    <col min="9196" max="9196" width="12.42578125" style="122" bestFit="1" customWidth="1"/>
    <col min="9197" max="9207" width="11.42578125" style="122" customWidth="1"/>
    <col min="9208" max="9208" width="17.140625" style="122" customWidth="1"/>
    <col min="9209" max="9209" width="11.42578125" style="122" customWidth="1"/>
    <col min="9210" max="9210" width="34.28515625" style="122" bestFit="1" customWidth="1"/>
    <col min="9211" max="9414" width="11.42578125" style="122"/>
    <col min="9415" max="9415" width="8.85546875" style="122" customWidth="1"/>
    <col min="9416" max="9416" width="35.7109375" style="122" bestFit="1" customWidth="1"/>
    <col min="9417" max="9417" width="5" style="122" customWidth="1"/>
    <col min="9418" max="9420" width="12.85546875" style="122" bestFit="1" customWidth="1"/>
    <col min="9421" max="9431" width="15.140625" style="122" customWidth="1"/>
    <col min="9432" max="9432" width="13.85546875" style="122" customWidth="1"/>
    <col min="9433" max="9433" width="11.42578125" style="122" customWidth="1"/>
    <col min="9434" max="9434" width="12" style="122" bestFit="1" customWidth="1"/>
    <col min="9435" max="9435" width="31.7109375" style="122" customWidth="1"/>
    <col min="9436" max="9436" width="13.85546875" style="122" customWidth="1"/>
    <col min="9437" max="9437" width="13.42578125" style="122" customWidth="1"/>
    <col min="9438" max="9441" width="16.140625" style="122" bestFit="1" customWidth="1"/>
    <col min="9442" max="9445" width="17.42578125" style="122" bestFit="1" customWidth="1"/>
    <col min="9446" max="9449" width="17.42578125" style="122" customWidth="1"/>
    <col min="9450" max="9450" width="27.28515625" style="122" customWidth="1"/>
    <col min="9451" max="9451" width="15.85546875" style="122" bestFit="1" customWidth="1"/>
    <col min="9452" max="9452" width="12.42578125" style="122" bestFit="1" customWidth="1"/>
    <col min="9453" max="9463" width="11.42578125" style="122" customWidth="1"/>
    <col min="9464" max="9464" width="17.140625" style="122" customWidth="1"/>
    <col min="9465" max="9465" width="11.42578125" style="122" customWidth="1"/>
    <col min="9466" max="9466" width="34.28515625" style="122" bestFit="1" customWidth="1"/>
    <col min="9467" max="9670" width="11.42578125" style="122"/>
    <col min="9671" max="9671" width="8.85546875" style="122" customWidth="1"/>
    <col min="9672" max="9672" width="35.7109375" style="122" bestFit="1" customWidth="1"/>
    <col min="9673" max="9673" width="5" style="122" customWidth="1"/>
    <col min="9674" max="9676" width="12.85546875" style="122" bestFit="1" customWidth="1"/>
    <col min="9677" max="9687" width="15.140625" style="122" customWidth="1"/>
    <col min="9688" max="9688" width="13.85546875" style="122" customWidth="1"/>
    <col min="9689" max="9689" width="11.42578125" style="122" customWidth="1"/>
    <col min="9690" max="9690" width="12" style="122" bestFit="1" customWidth="1"/>
    <col min="9691" max="9691" width="31.7109375" style="122" customWidth="1"/>
    <col min="9692" max="9692" width="13.85546875" style="122" customWidth="1"/>
    <col min="9693" max="9693" width="13.42578125" style="122" customWidth="1"/>
    <col min="9694" max="9697" width="16.140625" style="122" bestFit="1" customWidth="1"/>
    <col min="9698" max="9701" width="17.42578125" style="122" bestFit="1" customWidth="1"/>
    <col min="9702" max="9705" width="17.42578125" style="122" customWidth="1"/>
    <col min="9706" max="9706" width="27.28515625" style="122" customWidth="1"/>
    <col min="9707" max="9707" width="15.85546875" style="122" bestFit="1" customWidth="1"/>
    <col min="9708" max="9708" width="12.42578125" style="122" bestFit="1" customWidth="1"/>
    <col min="9709" max="9719" width="11.42578125" style="122" customWidth="1"/>
    <col min="9720" max="9720" width="17.140625" style="122" customWidth="1"/>
    <col min="9721" max="9721" width="11.42578125" style="122" customWidth="1"/>
    <col min="9722" max="9722" width="34.28515625" style="122" bestFit="1" customWidth="1"/>
    <col min="9723" max="9926" width="11.42578125" style="122"/>
    <col min="9927" max="9927" width="8.85546875" style="122" customWidth="1"/>
    <col min="9928" max="9928" width="35.7109375" style="122" bestFit="1" customWidth="1"/>
    <col min="9929" max="9929" width="5" style="122" customWidth="1"/>
    <col min="9930" max="9932" width="12.85546875" style="122" bestFit="1" customWidth="1"/>
    <col min="9933" max="9943" width="15.140625" style="122" customWidth="1"/>
    <col min="9944" max="9944" width="13.85546875" style="122" customWidth="1"/>
    <col min="9945" max="9945" width="11.42578125" style="122" customWidth="1"/>
    <col min="9946" max="9946" width="12" style="122" bestFit="1" customWidth="1"/>
    <col min="9947" max="9947" width="31.7109375" style="122" customWidth="1"/>
    <col min="9948" max="9948" width="13.85546875" style="122" customWidth="1"/>
    <col min="9949" max="9949" width="13.42578125" style="122" customWidth="1"/>
    <col min="9950" max="9953" width="16.140625" style="122" bestFit="1" customWidth="1"/>
    <col min="9954" max="9957" width="17.42578125" style="122" bestFit="1" customWidth="1"/>
    <col min="9958" max="9961" width="17.42578125" style="122" customWidth="1"/>
    <col min="9962" max="9962" width="27.28515625" style="122" customWidth="1"/>
    <col min="9963" max="9963" width="15.85546875" style="122" bestFit="1" customWidth="1"/>
    <col min="9964" max="9964" width="12.42578125" style="122" bestFit="1" customWidth="1"/>
    <col min="9965" max="9975" width="11.42578125" style="122" customWidth="1"/>
    <col min="9976" max="9976" width="17.140625" style="122" customWidth="1"/>
    <col min="9977" max="9977" width="11.42578125" style="122" customWidth="1"/>
    <col min="9978" max="9978" width="34.28515625" style="122" bestFit="1" customWidth="1"/>
    <col min="9979" max="10182" width="11.42578125" style="122"/>
    <col min="10183" max="10183" width="8.85546875" style="122" customWidth="1"/>
    <col min="10184" max="10184" width="35.7109375" style="122" bestFit="1" customWidth="1"/>
    <col min="10185" max="10185" width="5" style="122" customWidth="1"/>
    <col min="10186" max="10188" width="12.85546875" style="122" bestFit="1" customWidth="1"/>
    <col min="10189" max="10199" width="15.140625" style="122" customWidth="1"/>
    <col min="10200" max="10200" width="13.85546875" style="122" customWidth="1"/>
    <col min="10201" max="10201" width="11.42578125" style="122" customWidth="1"/>
    <col min="10202" max="10202" width="12" style="122" bestFit="1" customWidth="1"/>
    <col min="10203" max="10203" width="31.7109375" style="122" customWidth="1"/>
    <col min="10204" max="10204" width="13.85546875" style="122" customWidth="1"/>
    <col min="10205" max="10205" width="13.42578125" style="122" customWidth="1"/>
    <col min="10206" max="10209" width="16.140625" style="122" bestFit="1" customWidth="1"/>
    <col min="10210" max="10213" width="17.42578125" style="122" bestFit="1" customWidth="1"/>
    <col min="10214" max="10217" width="17.42578125" style="122" customWidth="1"/>
    <col min="10218" max="10218" width="27.28515625" style="122" customWidth="1"/>
    <col min="10219" max="10219" width="15.85546875" style="122" bestFit="1" customWidth="1"/>
    <col min="10220" max="10220" width="12.42578125" style="122" bestFit="1" customWidth="1"/>
    <col min="10221" max="10231" width="11.42578125" style="122" customWidth="1"/>
    <col min="10232" max="10232" width="17.140625" style="122" customWidth="1"/>
    <col min="10233" max="10233" width="11.42578125" style="122" customWidth="1"/>
    <col min="10234" max="10234" width="34.28515625" style="122" bestFit="1" customWidth="1"/>
    <col min="10235" max="10438" width="11.42578125" style="122"/>
    <col min="10439" max="10439" width="8.85546875" style="122" customWidth="1"/>
    <col min="10440" max="10440" width="35.7109375" style="122" bestFit="1" customWidth="1"/>
    <col min="10441" max="10441" width="5" style="122" customWidth="1"/>
    <col min="10442" max="10444" width="12.85546875" style="122" bestFit="1" customWidth="1"/>
    <col min="10445" max="10455" width="15.140625" style="122" customWidth="1"/>
    <col min="10456" max="10456" width="13.85546875" style="122" customWidth="1"/>
    <col min="10457" max="10457" width="11.42578125" style="122" customWidth="1"/>
    <col min="10458" max="10458" width="12" style="122" bestFit="1" customWidth="1"/>
    <col min="10459" max="10459" width="31.7109375" style="122" customWidth="1"/>
    <col min="10460" max="10460" width="13.85546875" style="122" customWidth="1"/>
    <col min="10461" max="10461" width="13.42578125" style="122" customWidth="1"/>
    <col min="10462" max="10465" width="16.140625" style="122" bestFit="1" customWidth="1"/>
    <col min="10466" max="10469" width="17.42578125" style="122" bestFit="1" customWidth="1"/>
    <col min="10470" max="10473" width="17.42578125" style="122" customWidth="1"/>
    <col min="10474" max="10474" width="27.28515625" style="122" customWidth="1"/>
    <col min="10475" max="10475" width="15.85546875" style="122" bestFit="1" customWidth="1"/>
    <col min="10476" max="10476" width="12.42578125" style="122" bestFit="1" customWidth="1"/>
    <col min="10477" max="10487" width="11.42578125" style="122" customWidth="1"/>
    <col min="10488" max="10488" width="17.140625" style="122" customWidth="1"/>
    <col min="10489" max="10489" width="11.42578125" style="122" customWidth="1"/>
    <col min="10490" max="10490" width="34.28515625" style="122" bestFit="1" customWidth="1"/>
    <col min="10491" max="10694" width="11.42578125" style="122"/>
    <col min="10695" max="10695" width="8.85546875" style="122" customWidth="1"/>
    <col min="10696" max="10696" width="35.7109375" style="122" bestFit="1" customWidth="1"/>
    <col min="10697" max="10697" width="5" style="122" customWidth="1"/>
    <col min="10698" max="10700" width="12.85546875" style="122" bestFit="1" customWidth="1"/>
    <col min="10701" max="10711" width="15.140625" style="122" customWidth="1"/>
    <col min="10712" max="10712" width="13.85546875" style="122" customWidth="1"/>
    <col min="10713" max="10713" width="11.42578125" style="122" customWidth="1"/>
    <col min="10714" max="10714" width="12" style="122" bestFit="1" customWidth="1"/>
    <col min="10715" max="10715" width="31.7109375" style="122" customWidth="1"/>
    <col min="10716" max="10716" width="13.85546875" style="122" customWidth="1"/>
    <col min="10717" max="10717" width="13.42578125" style="122" customWidth="1"/>
    <col min="10718" max="10721" width="16.140625" style="122" bestFit="1" customWidth="1"/>
    <col min="10722" max="10725" width="17.42578125" style="122" bestFit="1" customWidth="1"/>
    <col min="10726" max="10729" width="17.42578125" style="122" customWidth="1"/>
    <col min="10730" max="10730" width="27.28515625" style="122" customWidth="1"/>
    <col min="10731" max="10731" width="15.85546875" style="122" bestFit="1" customWidth="1"/>
    <col min="10732" max="10732" width="12.42578125" style="122" bestFit="1" customWidth="1"/>
    <col min="10733" max="10743" width="11.42578125" style="122" customWidth="1"/>
    <col min="10744" max="10744" width="17.140625" style="122" customWidth="1"/>
    <col min="10745" max="10745" width="11.42578125" style="122" customWidth="1"/>
    <col min="10746" max="10746" width="34.28515625" style="122" bestFit="1" customWidth="1"/>
    <col min="10747" max="10950" width="11.42578125" style="122"/>
    <col min="10951" max="10951" width="8.85546875" style="122" customWidth="1"/>
    <col min="10952" max="10952" width="35.7109375" style="122" bestFit="1" customWidth="1"/>
    <col min="10953" max="10953" width="5" style="122" customWidth="1"/>
    <col min="10954" max="10956" width="12.85546875" style="122" bestFit="1" customWidth="1"/>
    <col min="10957" max="10967" width="15.140625" style="122" customWidth="1"/>
    <col min="10968" max="10968" width="13.85546875" style="122" customWidth="1"/>
    <col min="10969" max="10969" width="11.42578125" style="122" customWidth="1"/>
    <col min="10970" max="10970" width="12" style="122" bestFit="1" customWidth="1"/>
    <col min="10971" max="10971" width="31.7109375" style="122" customWidth="1"/>
    <col min="10972" max="10972" width="13.85546875" style="122" customWidth="1"/>
    <col min="10973" max="10973" width="13.42578125" style="122" customWidth="1"/>
    <col min="10974" max="10977" width="16.140625" style="122" bestFit="1" customWidth="1"/>
    <col min="10978" max="10981" width="17.42578125" style="122" bestFit="1" customWidth="1"/>
    <col min="10982" max="10985" width="17.42578125" style="122" customWidth="1"/>
    <col min="10986" max="10986" width="27.28515625" style="122" customWidth="1"/>
    <col min="10987" max="10987" width="15.85546875" style="122" bestFit="1" customWidth="1"/>
    <col min="10988" max="10988" width="12.42578125" style="122" bestFit="1" customWidth="1"/>
    <col min="10989" max="10999" width="11.42578125" style="122" customWidth="1"/>
    <col min="11000" max="11000" width="17.140625" style="122" customWidth="1"/>
    <col min="11001" max="11001" width="11.42578125" style="122" customWidth="1"/>
    <col min="11002" max="11002" width="34.28515625" style="122" bestFit="1" customWidth="1"/>
    <col min="11003" max="11206" width="11.42578125" style="122"/>
    <col min="11207" max="11207" width="8.85546875" style="122" customWidth="1"/>
    <col min="11208" max="11208" width="35.7109375" style="122" bestFit="1" customWidth="1"/>
    <col min="11209" max="11209" width="5" style="122" customWidth="1"/>
    <col min="11210" max="11212" width="12.85546875" style="122" bestFit="1" customWidth="1"/>
    <col min="11213" max="11223" width="15.140625" style="122" customWidth="1"/>
    <col min="11224" max="11224" width="13.85546875" style="122" customWidth="1"/>
    <col min="11225" max="11225" width="11.42578125" style="122" customWidth="1"/>
    <col min="11226" max="11226" width="12" style="122" bestFit="1" customWidth="1"/>
    <col min="11227" max="11227" width="31.7109375" style="122" customWidth="1"/>
    <col min="11228" max="11228" width="13.85546875" style="122" customWidth="1"/>
    <col min="11229" max="11229" width="13.42578125" style="122" customWidth="1"/>
    <col min="11230" max="11233" width="16.140625" style="122" bestFit="1" customWidth="1"/>
    <col min="11234" max="11237" width="17.42578125" style="122" bestFit="1" customWidth="1"/>
    <col min="11238" max="11241" width="17.42578125" style="122" customWidth="1"/>
    <col min="11242" max="11242" width="27.28515625" style="122" customWidth="1"/>
    <col min="11243" max="11243" width="15.85546875" style="122" bestFit="1" customWidth="1"/>
    <col min="11244" max="11244" width="12.42578125" style="122" bestFit="1" customWidth="1"/>
    <col min="11245" max="11255" width="11.42578125" style="122" customWidth="1"/>
    <col min="11256" max="11256" width="17.140625" style="122" customWidth="1"/>
    <col min="11257" max="11257" width="11.42578125" style="122" customWidth="1"/>
    <col min="11258" max="11258" width="34.28515625" style="122" bestFit="1" customWidth="1"/>
    <col min="11259" max="11462" width="11.42578125" style="122"/>
    <col min="11463" max="11463" width="8.85546875" style="122" customWidth="1"/>
    <col min="11464" max="11464" width="35.7109375" style="122" bestFit="1" customWidth="1"/>
    <col min="11465" max="11465" width="5" style="122" customWidth="1"/>
    <col min="11466" max="11468" width="12.85546875" style="122" bestFit="1" customWidth="1"/>
    <col min="11469" max="11479" width="15.140625" style="122" customWidth="1"/>
    <col min="11480" max="11480" width="13.85546875" style="122" customWidth="1"/>
    <col min="11481" max="11481" width="11.42578125" style="122" customWidth="1"/>
    <col min="11482" max="11482" width="12" style="122" bestFit="1" customWidth="1"/>
    <col min="11483" max="11483" width="31.7109375" style="122" customWidth="1"/>
    <col min="11484" max="11484" width="13.85546875" style="122" customWidth="1"/>
    <col min="11485" max="11485" width="13.42578125" style="122" customWidth="1"/>
    <col min="11486" max="11489" width="16.140625" style="122" bestFit="1" customWidth="1"/>
    <col min="11490" max="11493" width="17.42578125" style="122" bestFit="1" customWidth="1"/>
    <col min="11494" max="11497" width="17.42578125" style="122" customWidth="1"/>
    <col min="11498" max="11498" width="27.28515625" style="122" customWidth="1"/>
    <col min="11499" max="11499" width="15.85546875" style="122" bestFit="1" customWidth="1"/>
    <col min="11500" max="11500" width="12.42578125" style="122" bestFit="1" customWidth="1"/>
    <col min="11501" max="11511" width="11.42578125" style="122" customWidth="1"/>
    <col min="11512" max="11512" width="17.140625" style="122" customWidth="1"/>
    <col min="11513" max="11513" width="11.42578125" style="122" customWidth="1"/>
    <col min="11514" max="11514" width="34.28515625" style="122" bestFit="1" customWidth="1"/>
    <col min="11515" max="11718" width="11.42578125" style="122"/>
    <col min="11719" max="11719" width="8.85546875" style="122" customWidth="1"/>
    <col min="11720" max="11720" width="35.7109375" style="122" bestFit="1" customWidth="1"/>
    <col min="11721" max="11721" width="5" style="122" customWidth="1"/>
    <col min="11722" max="11724" width="12.85546875" style="122" bestFit="1" customWidth="1"/>
    <col min="11725" max="11735" width="15.140625" style="122" customWidth="1"/>
    <col min="11736" max="11736" width="13.85546875" style="122" customWidth="1"/>
    <col min="11737" max="11737" width="11.42578125" style="122" customWidth="1"/>
    <col min="11738" max="11738" width="12" style="122" bestFit="1" customWidth="1"/>
    <col min="11739" max="11739" width="31.7109375" style="122" customWidth="1"/>
    <col min="11740" max="11740" width="13.85546875" style="122" customWidth="1"/>
    <col min="11741" max="11741" width="13.42578125" style="122" customWidth="1"/>
    <col min="11742" max="11745" width="16.140625" style="122" bestFit="1" customWidth="1"/>
    <col min="11746" max="11749" width="17.42578125" style="122" bestFit="1" customWidth="1"/>
    <col min="11750" max="11753" width="17.42578125" style="122" customWidth="1"/>
    <col min="11754" max="11754" width="27.28515625" style="122" customWidth="1"/>
    <col min="11755" max="11755" width="15.85546875" style="122" bestFit="1" customWidth="1"/>
    <col min="11756" max="11756" width="12.42578125" style="122" bestFit="1" customWidth="1"/>
    <col min="11757" max="11767" width="11.42578125" style="122" customWidth="1"/>
    <col min="11768" max="11768" width="17.140625" style="122" customWidth="1"/>
    <col min="11769" max="11769" width="11.42578125" style="122" customWidth="1"/>
    <col min="11770" max="11770" width="34.28515625" style="122" bestFit="1" customWidth="1"/>
    <col min="11771" max="11974" width="11.42578125" style="122"/>
    <col min="11975" max="11975" width="8.85546875" style="122" customWidth="1"/>
    <col min="11976" max="11976" width="35.7109375" style="122" bestFit="1" customWidth="1"/>
    <col min="11977" max="11977" width="5" style="122" customWidth="1"/>
    <col min="11978" max="11980" width="12.85546875" style="122" bestFit="1" customWidth="1"/>
    <col min="11981" max="11991" width="15.140625" style="122" customWidth="1"/>
    <col min="11992" max="11992" width="13.85546875" style="122" customWidth="1"/>
    <col min="11993" max="11993" width="11.42578125" style="122" customWidth="1"/>
    <col min="11994" max="11994" width="12" style="122" bestFit="1" customWidth="1"/>
    <col min="11995" max="11995" width="31.7109375" style="122" customWidth="1"/>
    <col min="11996" max="11996" width="13.85546875" style="122" customWidth="1"/>
    <col min="11997" max="11997" width="13.42578125" style="122" customWidth="1"/>
    <col min="11998" max="12001" width="16.140625" style="122" bestFit="1" customWidth="1"/>
    <col min="12002" max="12005" width="17.42578125" style="122" bestFit="1" customWidth="1"/>
    <col min="12006" max="12009" width="17.42578125" style="122" customWidth="1"/>
    <col min="12010" max="12010" width="27.28515625" style="122" customWidth="1"/>
    <col min="12011" max="12011" width="15.85546875" style="122" bestFit="1" customWidth="1"/>
    <col min="12012" max="12012" width="12.42578125" style="122" bestFit="1" customWidth="1"/>
    <col min="12013" max="12023" width="11.42578125" style="122" customWidth="1"/>
    <col min="12024" max="12024" width="17.140625" style="122" customWidth="1"/>
    <col min="12025" max="12025" width="11.42578125" style="122" customWidth="1"/>
    <col min="12026" max="12026" width="34.28515625" style="122" bestFit="1" customWidth="1"/>
    <col min="12027" max="12230" width="11.42578125" style="122"/>
    <col min="12231" max="12231" width="8.85546875" style="122" customWidth="1"/>
    <col min="12232" max="12232" width="35.7109375" style="122" bestFit="1" customWidth="1"/>
    <col min="12233" max="12233" width="5" style="122" customWidth="1"/>
    <col min="12234" max="12236" width="12.85546875" style="122" bestFit="1" customWidth="1"/>
    <col min="12237" max="12247" width="15.140625" style="122" customWidth="1"/>
    <col min="12248" max="12248" width="13.85546875" style="122" customWidth="1"/>
    <col min="12249" max="12249" width="11.42578125" style="122" customWidth="1"/>
    <col min="12250" max="12250" width="12" style="122" bestFit="1" customWidth="1"/>
    <col min="12251" max="12251" width="31.7109375" style="122" customWidth="1"/>
    <col min="12252" max="12252" width="13.85546875" style="122" customWidth="1"/>
    <col min="12253" max="12253" width="13.42578125" style="122" customWidth="1"/>
    <col min="12254" max="12257" width="16.140625" style="122" bestFit="1" customWidth="1"/>
    <col min="12258" max="12261" width="17.42578125" style="122" bestFit="1" customWidth="1"/>
    <col min="12262" max="12265" width="17.42578125" style="122" customWidth="1"/>
    <col min="12266" max="12266" width="27.28515625" style="122" customWidth="1"/>
    <col min="12267" max="12267" width="15.85546875" style="122" bestFit="1" customWidth="1"/>
    <col min="12268" max="12268" width="12.42578125" style="122" bestFit="1" customWidth="1"/>
    <col min="12269" max="12279" width="11.42578125" style="122" customWidth="1"/>
    <col min="12280" max="12280" width="17.140625" style="122" customWidth="1"/>
    <col min="12281" max="12281" width="11.42578125" style="122" customWidth="1"/>
    <col min="12282" max="12282" width="34.28515625" style="122" bestFit="1" customWidth="1"/>
    <col min="12283" max="12486" width="11.42578125" style="122"/>
    <col min="12487" max="12487" width="8.85546875" style="122" customWidth="1"/>
    <col min="12488" max="12488" width="35.7109375" style="122" bestFit="1" customWidth="1"/>
    <col min="12489" max="12489" width="5" style="122" customWidth="1"/>
    <col min="12490" max="12492" width="12.85546875" style="122" bestFit="1" customWidth="1"/>
    <col min="12493" max="12503" width="15.140625" style="122" customWidth="1"/>
    <col min="12504" max="12504" width="13.85546875" style="122" customWidth="1"/>
    <col min="12505" max="12505" width="11.42578125" style="122" customWidth="1"/>
    <col min="12506" max="12506" width="12" style="122" bestFit="1" customWidth="1"/>
    <col min="12507" max="12507" width="31.7109375" style="122" customWidth="1"/>
    <col min="12508" max="12508" width="13.85546875" style="122" customWidth="1"/>
    <col min="12509" max="12509" width="13.42578125" style="122" customWidth="1"/>
    <col min="12510" max="12513" width="16.140625" style="122" bestFit="1" customWidth="1"/>
    <col min="12514" max="12517" width="17.42578125" style="122" bestFit="1" customWidth="1"/>
    <col min="12518" max="12521" width="17.42578125" style="122" customWidth="1"/>
    <col min="12522" max="12522" width="27.28515625" style="122" customWidth="1"/>
    <col min="12523" max="12523" width="15.85546875" style="122" bestFit="1" customWidth="1"/>
    <col min="12524" max="12524" width="12.42578125" style="122" bestFit="1" customWidth="1"/>
    <col min="12525" max="12535" width="11.42578125" style="122" customWidth="1"/>
    <col min="12536" max="12536" width="17.140625" style="122" customWidth="1"/>
    <col min="12537" max="12537" width="11.42578125" style="122" customWidth="1"/>
    <col min="12538" max="12538" width="34.28515625" style="122" bestFit="1" customWidth="1"/>
    <col min="12539" max="12742" width="11.42578125" style="122"/>
    <col min="12743" max="12743" width="8.85546875" style="122" customWidth="1"/>
    <col min="12744" max="12744" width="35.7109375" style="122" bestFit="1" customWidth="1"/>
    <col min="12745" max="12745" width="5" style="122" customWidth="1"/>
    <col min="12746" max="12748" width="12.85546875" style="122" bestFit="1" customWidth="1"/>
    <col min="12749" max="12759" width="15.140625" style="122" customWidth="1"/>
    <col min="12760" max="12760" width="13.85546875" style="122" customWidth="1"/>
    <col min="12761" max="12761" width="11.42578125" style="122" customWidth="1"/>
    <col min="12762" max="12762" width="12" style="122" bestFit="1" customWidth="1"/>
    <col min="12763" max="12763" width="31.7109375" style="122" customWidth="1"/>
    <col min="12764" max="12764" width="13.85546875" style="122" customWidth="1"/>
    <col min="12765" max="12765" width="13.42578125" style="122" customWidth="1"/>
    <col min="12766" max="12769" width="16.140625" style="122" bestFit="1" customWidth="1"/>
    <col min="12770" max="12773" width="17.42578125" style="122" bestFit="1" customWidth="1"/>
    <col min="12774" max="12777" width="17.42578125" style="122" customWidth="1"/>
    <col min="12778" max="12778" width="27.28515625" style="122" customWidth="1"/>
    <col min="12779" max="12779" width="15.85546875" style="122" bestFit="1" customWidth="1"/>
    <col min="12780" max="12780" width="12.42578125" style="122" bestFit="1" customWidth="1"/>
    <col min="12781" max="12791" width="11.42578125" style="122" customWidth="1"/>
    <col min="12792" max="12792" width="17.140625" style="122" customWidth="1"/>
    <col min="12793" max="12793" width="11.42578125" style="122" customWidth="1"/>
    <col min="12794" max="12794" width="34.28515625" style="122" bestFit="1" customWidth="1"/>
    <col min="12795" max="12998" width="11.42578125" style="122"/>
    <col min="12999" max="12999" width="8.85546875" style="122" customWidth="1"/>
    <col min="13000" max="13000" width="35.7109375" style="122" bestFit="1" customWidth="1"/>
    <col min="13001" max="13001" width="5" style="122" customWidth="1"/>
    <col min="13002" max="13004" width="12.85546875" style="122" bestFit="1" customWidth="1"/>
    <col min="13005" max="13015" width="15.140625" style="122" customWidth="1"/>
    <col min="13016" max="13016" width="13.85546875" style="122" customWidth="1"/>
    <col min="13017" max="13017" width="11.42578125" style="122" customWidth="1"/>
    <col min="13018" max="13018" width="12" style="122" bestFit="1" customWidth="1"/>
    <col min="13019" max="13019" width="31.7109375" style="122" customWidth="1"/>
    <col min="13020" max="13020" width="13.85546875" style="122" customWidth="1"/>
    <col min="13021" max="13021" width="13.42578125" style="122" customWidth="1"/>
    <col min="13022" max="13025" width="16.140625" style="122" bestFit="1" customWidth="1"/>
    <col min="13026" max="13029" width="17.42578125" style="122" bestFit="1" customWidth="1"/>
    <col min="13030" max="13033" width="17.42578125" style="122" customWidth="1"/>
    <col min="13034" max="13034" width="27.28515625" style="122" customWidth="1"/>
    <col min="13035" max="13035" width="15.85546875" style="122" bestFit="1" customWidth="1"/>
    <col min="13036" max="13036" width="12.42578125" style="122" bestFit="1" customWidth="1"/>
    <col min="13037" max="13047" width="11.42578125" style="122" customWidth="1"/>
    <col min="13048" max="13048" width="17.140625" style="122" customWidth="1"/>
    <col min="13049" max="13049" width="11.42578125" style="122" customWidth="1"/>
    <col min="13050" max="13050" width="34.28515625" style="122" bestFit="1" customWidth="1"/>
    <col min="13051" max="13254" width="11.42578125" style="122"/>
    <col min="13255" max="13255" width="8.85546875" style="122" customWidth="1"/>
    <col min="13256" max="13256" width="35.7109375" style="122" bestFit="1" customWidth="1"/>
    <col min="13257" max="13257" width="5" style="122" customWidth="1"/>
    <col min="13258" max="13260" width="12.85546875" style="122" bestFit="1" customWidth="1"/>
    <col min="13261" max="13271" width="15.140625" style="122" customWidth="1"/>
    <col min="13272" max="13272" width="13.85546875" style="122" customWidth="1"/>
    <col min="13273" max="13273" width="11.42578125" style="122" customWidth="1"/>
    <col min="13274" max="13274" width="12" style="122" bestFit="1" customWidth="1"/>
    <col min="13275" max="13275" width="31.7109375" style="122" customWidth="1"/>
    <col min="13276" max="13276" width="13.85546875" style="122" customWidth="1"/>
    <col min="13277" max="13277" width="13.42578125" style="122" customWidth="1"/>
    <col min="13278" max="13281" width="16.140625" style="122" bestFit="1" customWidth="1"/>
    <col min="13282" max="13285" width="17.42578125" style="122" bestFit="1" customWidth="1"/>
    <col min="13286" max="13289" width="17.42578125" style="122" customWidth="1"/>
    <col min="13290" max="13290" width="27.28515625" style="122" customWidth="1"/>
    <col min="13291" max="13291" width="15.85546875" style="122" bestFit="1" customWidth="1"/>
    <col min="13292" max="13292" width="12.42578125" style="122" bestFit="1" customWidth="1"/>
    <col min="13293" max="13303" width="11.42578125" style="122" customWidth="1"/>
    <col min="13304" max="13304" width="17.140625" style="122" customWidth="1"/>
    <col min="13305" max="13305" width="11.42578125" style="122" customWidth="1"/>
    <col min="13306" max="13306" width="34.28515625" style="122" bestFit="1" customWidth="1"/>
    <col min="13307" max="13510" width="11.42578125" style="122"/>
    <col min="13511" max="13511" width="8.85546875" style="122" customWidth="1"/>
    <col min="13512" max="13512" width="35.7109375" style="122" bestFit="1" customWidth="1"/>
    <col min="13513" max="13513" width="5" style="122" customWidth="1"/>
    <col min="13514" max="13516" width="12.85546875" style="122" bestFit="1" customWidth="1"/>
    <col min="13517" max="13527" width="15.140625" style="122" customWidth="1"/>
    <col min="13528" max="13528" width="13.85546875" style="122" customWidth="1"/>
    <col min="13529" max="13529" width="11.42578125" style="122" customWidth="1"/>
    <col min="13530" max="13530" width="12" style="122" bestFit="1" customWidth="1"/>
    <col min="13531" max="13531" width="31.7109375" style="122" customWidth="1"/>
    <col min="13532" max="13532" width="13.85546875" style="122" customWidth="1"/>
    <col min="13533" max="13533" width="13.42578125" style="122" customWidth="1"/>
    <col min="13534" max="13537" width="16.140625" style="122" bestFit="1" customWidth="1"/>
    <col min="13538" max="13541" width="17.42578125" style="122" bestFit="1" customWidth="1"/>
    <col min="13542" max="13545" width="17.42578125" style="122" customWidth="1"/>
    <col min="13546" max="13546" width="27.28515625" style="122" customWidth="1"/>
    <col min="13547" max="13547" width="15.85546875" style="122" bestFit="1" customWidth="1"/>
    <col min="13548" max="13548" width="12.42578125" style="122" bestFit="1" customWidth="1"/>
    <col min="13549" max="13559" width="11.42578125" style="122" customWidth="1"/>
    <col min="13560" max="13560" width="17.140625" style="122" customWidth="1"/>
    <col min="13561" max="13561" width="11.42578125" style="122" customWidth="1"/>
    <col min="13562" max="13562" width="34.28515625" style="122" bestFit="1" customWidth="1"/>
    <col min="13563" max="13766" width="11.42578125" style="122"/>
    <col min="13767" max="13767" width="8.85546875" style="122" customWidth="1"/>
    <col min="13768" max="13768" width="35.7109375" style="122" bestFit="1" customWidth="1"/>
    <col min="13769" max="13769" width="5" style="122" customWidth="1"/>
    <col min="13770" max="13772" width="12.85546875" style="122" bestFit="1" customWidth="1"/>
    <col min="13773" max="13783" width="15.140625" style="122" customWidth="1"/>
    <col min="13784" max="13784" width="13.85546875" style="122" customWidth="1"/>
    <col min="13785" max="13785" width="11.42578125" style="122" customWidth="1"/>
    <col min="13786" max="13786" width="12" style="122" bestFit="1" customWidth="1"/>
    <col min="13787" max="13787" width="31.7109375" style="122" customWidth="1"/>
    <col min="13788" max="13788" width="13.85546875" style="122" customWidth="1"/>
    <col min="13789" max="13789" width="13.42578125" style="122" customWidth="1"/>
    <col min="13790" max="13793" width="16.140625" style="122" bestFit="1" customWidth="1"/>
    <col min="13794" max="13797" width="17.42578125" style="122" bestFit="1" customWidth="1"/>
    <col min="13798" max="13801" width="17.42578125" style="122" customWidth="1"/>
    <col min="13802" max="13802" width="27.28515625" style="122" customWidth="1"/>
    <col min="13803" max="13803" width="15.85546875" style="122" bestFit="1" customWidth="1"/>
    <col min="13804" max="13804" width="12.42578125" style="122" bestFit="1" customWidth="1"/>
    <col min="13805" max="13815" width="11.42578125" style="122" customWidth="1"/>
    <col min="13816" max="13816" width="17.140625" style="122" customWidth="1"/>
    <col min="13817" max="13817" width="11.42578125" style="122" customWidth="1"/>
    <col min="13818" max="13818" width="34.28515625" style="122" bestFit="1" customWidth="1"/>
    <col min="13819" max="14022" width="11.42578125" style="122"/>
    <col min="14023" max="14023" width="8.85546875" style="122" customWidth="1"/>
    <col min="14024" max="14024" width="35.7109375" style="122" bestFit="1" customWidth="1"/>
    <col min="14025" max="14025" width="5" style="122" customWidth="1"/>
    <col min="14026" max="14028" width="12.85546875" style="122" bestFit="1" customWidth="1"/>
    <col min="14029" max="14039" width="15.140625" style="122" customWidth="1"/>
    <col min="14040" max="14040" width="13.85546875" style="122" customWidth="1"/>
    <col min="14041" max="14041" width="11.42578125" style="122" customWidth="1"/>
    <col min="14042" max="14042" width="12" style="122" bestFit="1" customWidth="1"/>
    <col min="14043" max="14043" width="31.7109375" style="122" customWidth="1"/>
    <col min="14044" max="14044" width="13.85546875" style="122" customWidth="1"/>
    <col min="14045" max="14045" width="13.42578125" style="122" customWidth="1"/>
    <col min="14046" max="14049" width="16.140625" style="122" bestFit="1" customWidth="1"/>
    <col min="14050" max="14053" width="17.42578125" style="122" bestFit="1" customWidth="1"/>
    <col min="14054" max="14057" width="17.42578125" style="122" customWidth="1"/>
    <col min="14058" max="14058" width="27.28515625" style="122" customWidth="1"/>
    <col min="14059" max="14059" width="15.85546875" style="122" bestFit="1" customWidth="1"/>
    <col min="14060" max="14060" width="12.42578125" style="122" bestFit="1" customWidth="1"/>
    <col min="14061" max="14071" width="11.42578125" style="122" customWidth="1"/>
    <col min="14072" max="14072" width="17.140625" style="122" customWidth="1"/>
    <col min="14073" max="14073" width="11.42578125" style="122" customWidth="1"/>
    <col min="14074" max="14074" width="34.28515625" style="122" bestFit="1" customWidth="1"/>
    <col min="14075" max="14278" width="11.42578125" style="122"/>
    <col min="14279" max="14279" width="8.85546875" style="122" customWidth="1"/>
    <col min="14280" max="14280" width="35.7109375" style="122" bestFit="1" customWidth="1"/>
    <col min="14281" max="14281" width="5" style="122" customWidth="1"/>
    <col min="14282" max="14284" width="12.85546875" style="122" bestFit="1" customWidth="1"/>
    <col min="14285" max="14295" width="15.140625" style="122" customWidth="1"/>
    <col min="14296" max="14296" width="13.85546875" style="122" customWidth="1"/>
    <col min="14297" max="14297" width="11.42578125" style="122" customWidth="1"/>
    <col min="14298" max="14298" width="12" style="122" bestFit="1" customWidth="1"/>
    <col min="14299" max="14299" width="31.7109375" style="122" customWidth="1"/>
    <col min="14300" max="14300" width="13.85546875" style="122" customWidth="1"/>
    <col min="14301" max="14301" width="13.42578125" style="122" customWidth="1"/>
    <col min="14302" max="14305" width="16.140625" style="122" bestFit="1" customWidth="1"/>
    <col min="14306" max="14309" width="17.42578125" style="122" bestFit="1" customWidth="1"/>
    <col min="14310" max="14313" width="17.42578125" style="122" customWidth="1"/>
    <col min="14314" max="14314" width="27.28515625" style="122" customWidth="1"/>
    <col min="14315" max="14315" width="15.85546875" style="122" bestFit="1" customWidth="1"/>
    <col min="14316" max="14316" width="12.42578125" style="122" bestFit="1" customWidth="1"/>
    <col min="14317" max="14327" width="11.42578125" style="122" customWidth="1"/>
    <col min="14328" max="14328" width="17.140625" style="122" customWidth="1"/>
    <col min="14329" max="14329" width="11.42578125" style="122" customWidth="1"/>
    <col min="14330" max="14330" width="34.28515625" style="122" bestFit="1" customWidth="1"/>
    <col min="14331" max="14534" width="11.42578125" style="122"/>
    <col min="14535" max="14535" width="8.85546875" style="122" customWidth="1"/>
    <col min="14536" max="14536" width="35.7109375" style="122" bestFit="1" customWidth="1"/>
    <col min="14537" max="14537" width="5" style="122" customWidth="1"/>
    <col min="14538" max="14540" width="12.85546875" style="122" bestFit="1" customWidth="1"/>
    <col min="14541" max="14551" width="15.140625" style="122" customWidth="1"/>
    <col min="14552" max="14552" width="13.85546875" style="122" customWidth="1"/>
    <col min="14553" max="14553" width="11.42578125" style="122" customWidth="1"/>
    <col min="14554" max="14554" width="12" style="122" bestFit="1" customWidth="1"/>
    <col min="14555" max="14555" width="31.7109375" style="122" customWidth="1"/>
    <col min="14556" max="14556" width="13.85546875" style="122" customWidth="1"/>
    <col min="14557" max="14557" width="13.42578125" style="122" customWidth="1"/>
    <col min="14558" max="14561" width="16.140625" style="122" bestFit="1" customWidth="1"/>
    <col min="14562" max="14565" width="17.42578125" style="122" bestFit="1" customWidth="1"/>
    <col min="14566" max="14569" width="17.42578125" style="122" customWidth="1"/>
    <col min="14570" max="14570" width="27.28515625" style="122" customWidth="1"/>
    <col min="14571" max="14571" width="15.85546875" style="122" bestFit="1" customWidth="1"/>
    <col min="14572" max="14572" width="12.42578125" style="122" bestFit="1" customWidth="1"/>
    <col min="14573" max="14583" width="11.42578125" style="122" customWidth="1"/>
    <col min="14584" max="14584" width="17.140625" style="122" customWidth="1"/>
    <col min="14585" max="14585" width="11.42578125" style="122" customWidth="1"/>
    <col min="14586" max="14586" width="34.28515625" style="122" bestFit="1" customWidth="1"/>
    <col min="14587" max="14790" width="11.42578125" style="122"/>
    <col min="14791" max="14791" width="8.85546875" style="122" customWidth="1"/>
    <col min="14792" max="14792" width="35.7109375" style="122" bestFit="1" customWidth="1"/>
    <col min="14793" max="14793" width="5" style="122" customWidth="1"/>
    <col min="14794" max="14796" width="12.85546875" style="122" bestFit="1" customWidth="1"/>
    <col min="14797" max="14807" width="15.140625" style="122" customWidth="1"/>
    <col min="14808" max="14808" width="13.85546875" style="122" customWidth="1"/>
    <col min="14809" max="14809" width="11.42578125" style="122" customWidth="1"/>
    <col min="14810" max="14810" width="12" style="122" bestFit="1" customWidth="1"/>
    <col min="14811" max="14811" width="31.7109375" style="122" customWidth="1"/>
    <col min="14812" max="14812" width="13.85546875" style="122" customWidth="1"/>
    <col min="14813" max="14813" width="13.42578125" style="122" customWidth="1"/>
    <col min="14814" max="14817" width="16.140625" style="122" bestFit="1" customWidth="1"/>
    <col min="14818" max="14821" width="17.42578125" style="122" bestFit="1" customWidth="1"/>
    <col min="14822" max="14825" width="17.42578125" style="122" customWidth="1"/>
    <col min="14826" max="14826" width="27.28515625" style="122" customWidth="1"/>
    <col min="14827" max="14827" width="15.85546875" style="122" bestFit="1" customWidth="1"/>
    <col min="14828" max="14828" width="12.42578125" style="122" bestFit="1" customWidth="1"/>
    <col min="14829" max="14839" width="11.42578125" style="122" customWidth="1"/>
    <col min="14840" max="14840" width="17.140625" style="122" customWidth="1"/>
    <col min="14841" max="14841" width="11.42578125" style="122" customWidth="1"/>
    <col min="14842" max="14842" width="34.28515625" style="122" bestFit="1" customWidth="1"/>
    <col min="14843" max="15046" width="11.42578125" style="122"/>
    <col min="15047" max="15047" width="8.85546875" style="122" customWidth="1"/>
    <col min="15048" max="15048" width="35.7109375" style="122" bestFit="1" customWidth="1"/>
    <col min="15049" max="15049" width="5" style="122" customWidth="1"/>
    <col min="15050" max="15052" width="12.85546875" style="122" bestFit="1" customWidth="1"/>
    <col min="15053" max="15063" width="15.140625" style="122" customWidth="1"/>
    <col min="15064" max="15064" width="13.85546875" style="122" customWidth="1"/>
    <col min="15065" max="15065" width="11.42578125" style="122" customWidth="1"/>
    <col min="15066" max="15066" width="12" style="122" bestFit="1" customWidth="1"/>
    <col min="15067" max="15067" width="31.7109375" style="122" customWidth="1"/>
    <col min="15068" max="15068" width="13.85546875" style="122" customWidth="1"/>
    <col min="15069" max="15069" width="13.42578125" style="122" customWidth="1"/>
    <col min="15070" max="15073" width="16.140625" style="122" bestFit="1" customWidth="1"/>
    <col min="15074" max="15077" width="17.42578125" style="122" bestFit="1" customWidth="1"/>
    <col min="15078" max="15081" width="17.42578125" style="122" customWidth="1"/>
    <col min="15082" max="15082" width="27.28515625" style="122" customWidth="1"/>
    <col min="15083" max="15083" width="15.85546875" style="122" bestFit="1" customWidth="1"/>
    <col min="15084" max="15084" width="12.42578125" style="122" bestFit="1" customWidth="1"/>
    <col min="15085" max="15095" width="11.42578125" style="122" customWidth="1"/>
    <col min="15096" max="15096" width="17.140625" style="122" customWidth="1"/>
    <col min="15097" max="15097" width="11.42578125" style="122" customWidth="1"/>
    <col min="15098" max="15098" width="34.28515625" style="122" bestFit="1" customWidth="1"/>
    <col min="15099" max="15302" width="11.42578125" style="122"/>
    <col min="15303" max="15303" width="8.85546875" style="122" customWidth="1"/>
    <col min="15304" max="15304" width="35.7109375" style="122" bestFit="1" customWidth="1"/>
    <col min="15305" max="15305" width="5" style="122" customWidth="1"/>
    <col min="15306" max="15308" width="12.85546875" style="122" bestFit="1" customWidth="1"/>
    <col min="15309" max="15319" width="15.140625" style="122" customWidth="1"/>
    <col min="15320" max="15320" width="13.85546875" style="122" customWidth="1"/>
    <col min="15321" max="15321" width="11.42578125" style="122" customWidth="1"/>
    <col min="15322" max="15322" width="12" style="122" bestFit="1" customWidth="1"/>
    <col min="15323" max="15323" width="31.7109375" style="122" customWidth="1"/>
    <col min="15324" max="15324" width="13.85546875" style="122" customWidth="1"/>
    <col min="15325" max="15325" width="13.42578125" style="122" customWidth="1"/>
    <col min="15326" max="15329" width="16.140625" style="122" bestFit="1" customWidth="1"/>
    <col min="15330" max="15333" width="17.42578125" style="122" bestFit="1" customWidth="1"/>
    <col min="15334" max="15337" width="17.42578125" style="122" customWidth="1"/>
    <col min="15338" max="15338" width="27.28515625" style="122" customWidth="1"/>
    <col min="15339" max="15339" width="15.85546875" style="122" bestFit="1" customWidth="1"/>
    <col min="15340" max="15340" width="12.42578125" style="122" bestFit="1" customWidth="1"/>
    <col min="15341" max="15351" width="11.42578125" style="122" customWidth="1"/>
    <col min="15352" max="15352" width="17.140625" style="122" customWidth="1"/>
    <col min="15353" max="15353" width="11.42578125" style="122" customWidth="1"/>
    <col min="15354" max="15354" width="34.28515625" style="122" bestFit="1" customWidth="1"/>
    <col min="15355" max="15558" width="11.42578125" style="122"/>
    <col min="15559" max="15559" width="8.85546875" style="122" customWidth="1"/>
    <col min="15560" max="15560" width="35.7109375" style="122" bestFit="1" customWidth="1"/>
    <col min="15561" max="15561" width="5" style="122" customWidth="1"/>
    <col min="15562" max="15564" width="12.85546875" style="122" bestFit="1" customWidth="1"/>
    <col min="15565" max="15575" width="15.140625" style="122" customWidth="1"/>
    <col min="15576" max="15576" width="13.85546875" style="122" customWidth="1"/>
    <col min="15577" max="15577" width="11.42578125" style="122" customWidth="1"/>
    <col min="15578" max="15578" width="12" style="122" bestFit="1" customWidth="1"/>
    <col min="15579" max="15579" width="31.7109375" style="122" customWidth="1"/>
    <col min="15580" max="15580" width="13.85546875" style="122" customWidth="1"/>
    <col min="15581" max="15581" width="13.42578125" style="122" customWidth="1"/>
    <col min="15582" max="15585" width="16.140625" style="122" bestFit="1" customWidth="1"/>
    <col min="15586" max="15589" width="17.42578125" style="122" bestFit="1" customWidth="1"/>
    <col min="15590" max="15593" width="17.42578125" style="122" customWidth="1"/>
    <col min="15594" max="15594" width="27.28515625" style="122" customWidth="1"/>
    <col min="15595" max="15595" width="15.85546875" style="122" bestFit="1" customWidth="1"/>
    <col min="15596" max="15596" width="12.42578125" style="122" bestFit="1" customWidth="1"/>
    <col min="15597" max="15607" width="11.42578125" style="122" customWidth="1"/>
    <col min="15608" max="15608" width="17.140625" style="122" customWidth="1"/>
    <col min="15609" max="15609" width="11.42578125" style="122" customWidth="1"/>
    <col min="15610" max="15610" width="34.28515625" style="122" bestFit="1" customWidth="1"/>
    <col min="15611" max="15814" width="11.42578125" style="122"/>
    <col min="15815" max="15815" width="8.85546875" style="122" customWidth="1"/>
    <col min="15816" max="15816" width="35.7109375" style="122" bestFit="1" customWidth="1"/>
    <col min="15817" max="15817" width="5" style="122" customWidth="1"/>
    <col min="15818" max="15820" width="12.85546875" style="122" bestFit="1" customWidth="1"/>
    <col min="15821" max="15831" width="15.140625" style="122" customWidth="1"/>
    <col min="15832" max="15832" width="13.85546875" style="122" customWidth="1"/>
    <col min="15833" max="15833" width="11.42578125" style="122" customWidth="1"/>
    <col min="15834" max="15834" width="12" style="122" bestFit="1" customWidth="1"/>
    <col min="15835" max="15835" width="31.7109375" style="122" customWidth="1"/>
    <col min="15836" max="15836" width="13.85546875" style="122" customWidth="1"/>
    <col min="15837" max="15837" width="13.42578125" style="122" customWidth="1"/>
    <col min="15838" max="15841" width="16.140625" style="122" bestFit="1" customWidth="1"/>
    <col min="15842" max="15845" width="17.42578125" style="122" bestFit="1" customWidth="1"/>
    <col min="15846" max="15849" width="17.42578125" style="122" customWidth="1"/>
    <col min="15850" max="15850" width="27.28515625" style="122" customWidth="1"/>
    <col min="15851" max="15851" width="15.85546875" style="122" bestFit="1" customWidth="1"/>
    <col min="15852" max="15852" width="12.42578125" style="122" bestFit="1" customWidth="1"/>
    <col min="15853" max="15863" width="11.42578125" style="122" customWidth="1"/>
    <col min="15864" max="15864" width="17.140625" style="122" customWidth="1"/>
    <col min="15865" max="15865" width="11.42578125" style="122" customWidth="1"/>
    <col min="15866" max="15866" width="34.28515625" style="122" bestFit="1" customWidth="1"/>
    <col min="15867" max="16070" width="11.42578125" style="122"/>
    <col min="16071" max="16071" width="8.85546875" style="122" customWidth="1"/>
    <col min="16072" max="16072" width="35.7109375" style="122" bestFit="1" customWidth="1"/>
    <col min="16073" max="16073" width="5" style="122" customWidth="1"/>
    <col min="16074" max="16076" width="12.85546875" style="122" bestFit="1" customWidth="1"/>
    <col min="16077" max="16087" width="15.140625" style="122" customWidth="1"/>
    <col min="16088" max="16088" width="13.85546875" style="122" customWidth="1"/>
    <col min="16089" max="16089" width="11.42578125" style="122" customWidth="1"/>
    <col min="16090" max="16090" width="12" style="122" bestFit="1" customWidth="1"/>
    <col min="16091" max="16091" width="31.7109375" style="122" customWidth="1"/>
    <col min="16092" max="16092" width="13.85546875" style="122" customWidth="1"/>
    <col min="16093" max="16093" width="13.42578125" style="122" customWidth="1"/>
    <col min="16094" max="16097" width="16.140625" style="122" bestFit="1" customWidth="1"/>
    <col min="16098" max="16101" width="17.42578125" style="122" bestFit="1" customWidth="1"/>
    <col min="16102" max="16105" width="17.42578125" style="122" customWidth="1"/>
    <col min="16106" max="16106" width="27.28515625" style="122" customWidth="1"/>
    <col min="16107" max="16107" width="15.85546875" style="122" bestFit="1" customWidth="1"/>
    <col min="16108" max="16108" width="12.42578125" style="122" bestFit="1" customWidth="1"/>
    <col min="16109" max="16119" width="11.42578125" style="122" customWidth="1"/>
    <col min="16120" max="16120" width="17.140625" style="122" customWidth="1"/>
    <col min="16121" max="16121" width="11.42578125" style="122" customWidth="1"/>
    <col min="16122" max="16122" width="34.28515625" style="122" bestFit="1" customWidth="1"/>
    <col min="16123" max="16384" width="11.42578125" style="122"/>
  </cols>
  <sheetData>
    <row r="1" spans="1:15" s="129" customFormat="1" ht="16.5" customHeight="1">
      <c r="A1" s="135"/>
      <c r="B1" s="130"/>
      <c r="C1" s="131"/>
      <c r="D1" s="131"/>
      <c r="E1" s="444" t="s">
        <v>555</v>
      </c>
      <c r="F1" s="444"/>
      <c r="G1" s="444"/>
      <c r="H1" s="444"/>
      <c r="I1" s="122"/>
      <c r="J1" s="132"/>
      <c r="K1" s="131"/>
      <c r="L1" s="131"/>
      <c r="M1" s="131"/>
      <c r="N1" s="131"/>
      <c r="O1" s="131"/>
    </row>
    <row r="2" spans="1:15" ht="16.5" customHeight="1">
      <c r="A2" s="331"/>
    </row>
    <row r="3" spans="1:15" ht="16.5" customHeight="1" thickBot="1">
      <c r="B3" s="88" t="s">
        <v>181</v>
      </c>
      <c r="C3" s="88">
        <v>2001</v>
      </c>
      <c r="D3" s="88">
        <v>2002</v>
      </c>
      <c r="E3" s="88">
        <v>2003</v>
      </c>
      <c r="F3" s="88">
        <v>2004</v>
      </c>
      <c r="G3" s="49" t="s">
        <v>469</v>
      </c>
      <c r="H3" s="88">
        <v>2005</v>
      </c>
      <c r="I3" s="88">
        <v>2006</v>
      </c>
      <c r="J3" s="88">
        <v>2007</v>
      </c>
      <c r="K3" s="88">
        <v>2008</v>
      </c>
      <c r="L3" s="88">
        <v>2009</v>
      </c>
      <c r="M3" s="88">
        <v>2010</v>
      </c>
      <c r="N3" s="88">
        <v>2011</v>
      </c>
      <c r="O3" s="88">
        <v>2012</v>
      </c>
    </row>
    <row r="4" spans="1:15" ht="16.5" customHeight="1" thickTop="1">
      <c r="B4" s="229" t="s">
        <v>36</v>
      </c>
      <c r="C4" s="219">
        <f>+CantidadesdeCapital!C4*CostoUnitarioCapital!C4</f>
        <v>6697711.4926790455</v>
      </c>
      <c r="D4" s="219">
        <f>+CantidadesdeCapital!D4*CostoUnitarioCapital!D4</f>
        <v>7437875.7603910463</v>
      </c>
      <c r="E4" s="219">
        <f>+CantidadesdeCapital!E4*CostoUnitarioCapital!E4</f>
        <v>4795710.1287533194</v>
      </c>
      <c r="F4" s="219">
        <f>+CantidadesdeCapital!F4*CostoUnitarioCapital!F4</f>
        <v>2724694.8605790585</v>
      </c>
      <c r="G4" s="219">
        <f>+CantidadesdeCapital!G4*CostoUnitarioCapital!G4</f>
        <v>8185896.9347917493</v>
      </c>
      <c r="H4" s="219">
        <f>+CantidadesdeCapital!H4*CostoUnitarioCapital!H4</f>
        <v>8631219.5229195226</v>
      </c>
      <c r="I4" s="219">
        <f>+CantidadesdeCapital!I4*CostoUnitarioCapital!I4</f>
        <v>16994191.659084421</v>
      </c>
      <c r="J4" s="219">
        <f>+CantidadesdeCapital!J4*CostoUnitarioCapital!J4</f>
        <v>23124751.545504216</v>
      </c>
      <c r="K4" s="219">
        <f>+CantidadesdeCapital!K4*CostoUnitarioCapital!K4</f>
        <v>10725187.56615068</v>
      </c>
      <c r="L4" s="219">
        <f>+CantidadesdeCapital!L4*CostoUnitarioCapital!L4</f>
        <v>36093392.602953307</v>
      </c>
      <c r="M4" s="219">
        <f>+CantidadesdeCapital!M4*CostoUnitarioCapital!M4</f>
        <v>24422071.886798423</v>
      </c>
      <c r="N4" s="219">
        <f>+CantidadesdeCapital!N4*CostoUnitarioCapital!N4</f>
        <v>17254526.250722729</v>
      </c>
      <c r="O4" s="219">
        <f>+CantidadesdeCapital!O4*CostoUnitarioCapital!O4</f>
        <v>25466065.654003609</v>
      </c>
    </row>
    <row r="5" spans="1:15" ht="16.5" customHeight="1">
      <c r="B5" s="230" t="s">
        <v>532</v>
      </c>
      <c r="C5" s="230">
        <f>+CantidadesdeCapital!C5*CostoUnitarioCapital!C5</f>
        <v>327234.35094305978</v>
      </c>
      <c r="D5" s="230">
        <f>+CantidadesdeCapital!D5*CostoUnitarioCapital!D5</f>
        <v>737552.29988608486</v>
      </c>
      <c r="E5" s="230">
        <f>+CantidadesdeCapital!E5*CostoUnitarioCapital!E5</f>
        <v>482960.4203480694</v>
      </c>
      <c r="F5" s="230">
        <f>+CantidadesdeCapital!F5*CostoUnitarioCapital!F5</f>
        <v>267263.41633909353</v>
      </c>
      <c r="G5" s="230">
        <f>+CantidadesdeCapital!G5*CostoUnitarioCapital!G5</f>
        <v>276525.67422314978</v>
      </c>
      <c r="H5" s="230">
        <f>+CantidadesdeCapital!H5*CostoUnitarioCapital!H5</f>
        <v>276525.67422314978</v>
      </c>
      <c r="I5" s="230">
        <f>+CantidadesdeCapital!I5*CostoUnitarioCapital!I5</f>
        <v>310155.00869165547</v>
      </c>
      <c r="J5" s="230">
        <f>+CantidadesdeCapital!J5*CostoUnitarioCapital!J5</f>
        <v>396517.67136425857</v>
      </c>
      <c r="K5" s="230">
        <f>+CantidadesdeCapital!K5*CostoUnitarioCapital!K5</f>
        <v>178674.64264926221</v>
      </c>
      <c r="L5" s="230">
        <f>+CantidadesdeCapital!L5*CostoUnitarioCapital!L5</f>
        <v>528022.58927000477</v>
      </c>
      <c r="M5" s="230">
        <f>+CantidadesdeCapital!M5*CostoUnitarioCapital!M5</f>
        <v>309701.41884670052</v>
      </c>
      <c r="N5" s="230">
        <f>+CantidadesdeCapital!N5*CostoUnitarioCapital!N5</f>
        <v>212799.95141581169</v>
      </c>
      <c r="O5" s="230">
        <f>+CantidadesdeCapital!O5*CostoUnitarioCapital!O5</f>
        <v>291741.40056175517</v>
      </c>
    </row>
    <row r="6" spans="1:15" ht="16.5" customHeight="1">
      <c r="B6" s="231" t="s">
        <v>38</v>
      </c>
      <c r="C6" s="231">
        <f>+CantidadesdeCapital!C6*CostoUnitarioCapital!C6</f>
        <v>76753.088674660437</v>
      </c>
      <c r="D6" s="231">
        <f>+CantidadesdeCapital!D6*CostoUnitarioCapital!D6</f>
        <v>156680.58262636629</v>
      </c>
      <c r="E6" s="231">
        <f>+CantidadesdeCapital!E6*CostoUnitarioCapital!E6</f>
        <v>117624.88929343215</v>
      </c>
      <c r="F6" s="231">
        <f>+CantidadesdeCapital!F6*CostoUnitarioCapital!F6</f>
        <v>83228.691760064132</v>
      </c>
      <c r="G6" s="231">
        <f>+CantidadesdeCapital!G6*CostoUnitarioCapital!G6</f>
        <v>88746.077658913957</v>
      </c>
      <c r="H6" s="231">
        <f>+CantidadesdeCapital!H6*CostoUnitarioCapital!H6</f>
        <v>88746.077658913957</v>
      </c>
      <c r="I6" s="231">
        <f>+CantidadesdeCapital!I6*CostoUnitarioCapital!I6</f>
        <v>179504.95865750202</v>
      </c>
      <c r="J6" s="231">
        <f>+CantidadesdeCapital!J6*CostoUnitarioCapital!J6</f>
        <v>186254.78001315784</v>
      </c>
      <c r="K6" s="231">
        <f>+CantidadesdeCapital!K6*CostoUnitarioCapital!K6</f>
        <v>74269.804554994116</v>
      </c>
      <c r="L6" s="231">
        <f>+CantidadesdeCapital!L6*CostoUnitarioCapital!L6</f>
        <v>368743.06973904924</v>
      </c>
      <c r="M6" s="231">
        <f>+CantidadesdeCapital!M6*CostoUnitarioCapital!M6</f>
        <v>154031.22388485994</v>
      </c>
      <c r="N6" s="231">
        <f>+CantidadesdeCapital!N6*CostoUnitarioCapital!N6</f>
        <v>159193.0555151795</v>
      </c>
      <c r="O6" s="231">
        <f>+CantidadesdeCapital!O6*CostoUnitarioCapital!O6</f>
        <v>198243.2487885498</v>
      </c>
    </row>
    <row r="7" spans="1:15" ht="16.5" customHeight="1">
      <c r="B7" s="232" t="s">
        <v>135</v>
      </c>
      <c r="C7" s="232">
        <f>+CantidadesdeCapital!C7*CostoUnitarioCapital!C7</f>
        <v>0</v>
      </c>
      <c r="D7" s="232">
        <f>+CantidadesdeCapital!D7*CostoUnitarioCapital!D7</f>
        <v>425745.3641793094</v>
      </c>
      <c r="E7" s="232">
        <f>+CantidadesdeCapital!E7*CostoUnitarioCapital!E7</f>
        <v>568461.35575350176</v>
      </c>
      <c r="F7" s="232">
        <f>+CantidadesdeCapital!F7*CostoUnitarioCapital!F7</f>
        <v>348985.2588040749</v>
      </c>
      <c r="G7" s="232">
        <f>+CantidadesdeCapital!G7*CostoUnitarioCapital!G7</f>
        <v>284551.79954728874</v>
      </c>
      <c r="H7" s="232">
        <f>+CantidadesdeCapital!H7*CostoUnitarioCapital!H7</f>
        <v>284551.79954728874</v>
      </c>
      <c r="I7" s="232">
        <f>+CantidadesdeCapital!I7*CostoUnitarioCapital!I7</f>
        <v>354305.93984632817</v>
      </c>
      <c r="J7" s="232">
        <f>+CantidadesdeCapital!J7*CostoUnitarioCapital!J7</f>
        <v>296482.77727060649</v>
      </c>
      <c r="K7" s="232">
        <f>+CantidadesdeCapital!K7*CostoUnitarioCapital!K7</f>
        <v>91641.36728984947</v>
      </c>
      <c r="L7" s="232">
        <f>+CantidadesdeCapital!L7*CostoUnitarioCapital!L7</f>
        <v>285746.9453506404</v>
      </c>
      <c r="M7" s="232">
        <f>+CantidadesdeCapital!M7*CostoUnitarioCapital!M7</f>
        <v>95148.53774596077</v>
      </c>
      <c r="N7" s="232">
        <f>+CantidadesdeCapital!N7*CostoUnitarioCapital!N7</f>
        <v>82774.334205841937</v>
      </c>
      <c r="O7" s="232">
        <f>+CantidadesdeCapital!O7*CostoUnitarioCapital!O7</f>
        <v>59535.049696629489</v>
      </c>
    </row>
    <row r="8" spans="1:15" ht="16.5" customHeight="1">
      <c r="B8" s="219" t="s">
        <v>136</v>
      </c>
      <c r="C8" s="219">
        <f>+CantidadesdeCapital!C8*CostoUnitarioCapital!C8</f>
        <v>75299.677277017501</v>
      </c>
      <c r="D8" s="219">
        <f>+CantidadesdeCapital!D8*CostoUnitarioCapital!D8</f>
        <v>173876.34475544593</v>
      </c>
      <c r="E8" s="219">
        <f>+CantidadesdeCapital!E8*CostoUnitarioCapital!E8</f>
        <v>154558.79908683404</v>
      </c>
      <c r="F8" s="219">
        <f>+CantidadesdeCapital!F8*CostoUnitarioCapital!F8</f>
        <v>138429.81187368539</v>
      </c>
      <c r="G8" s="219">
        <f>+CantidadesdeCapital!G8*CostoUnitarioCapital!G8</f>
        <v>125686.13722552427</v>
      </c>
      <c r="H8" s="219">
        <f>+CantidadesdeCapital!H8*CostoUnitarioCapital!H8</f>
        <v>125686.13722552427</v>
      </c>
      <c r="I8" s="219">
        <f>+CantidadesdeCapital!I8*CostoUnitarioCapital!I8</f>
        <v>106923.59772990074</v>
      </c>
      <c r="J8" s="219">
        <f>+CantidadesdeCapital!J8*CostoUnitarioCapital!J8</f>
        <v>84187.756575651918</v>
      </c>
      <c r="K8" s="219">
        <f>+CantidadesdeCapital!K8*CostoUnitarioCapital!K8</f>
        <v>69838.544354260899</v>
      </c>
      <c r="L8" s="219">
        <f>+CantidadesdeCapital!L8*CostoUnitarioCapital!L8</f>
        <v>161372.25095299253</v>
      </c>
      <c r="M8" s="219">
        <f>+CantidadesdeCapital!M8*CostoUnitarioCapital!M8</f>
        <v>119159.17097318252</v>
      </c>
      <c r="N8" s="219">
        <f>+CantidadesdeCapital!N8*CostoUnitarioCapital!N8</f>
        <v>133638.04830498376</v>
      </c>
      <c r="O8" s="219">
        <f>+CantidadesdeCapital!O8*CostoUnitarioCapital!O8</f>
        <v>129321.35680558794</v>
      </c>
    </row>
    <row r="9" spans="1:15" ht="16.5" customHeight="1">
      <c r="B9" s="220" t="s">
        <v>137</v>
      </c>
      <c r="C9" s="220">
        <f>+CantidadesdeCapital!C9*CostoUnitarioCapital!C9</f>
        <v>45088.968834993982</v>
      </c>
      <c r="D9" s="220">
        <f>+CantidadesdeCapital!D9*CostoUnitarioCapital!D9</f>
        <v>110125.84425198736</v>
      </c>
      <c r="E9" s="220">
        <f>+CantidadesdeCapital!E9*CostoUnitarioCapital!E9</f>
        <v>95170.197709528176</v>
      </c>
      <c r="F9" s="220">
        <f>+CantidadesdeCapital!F9*CostoUnitarioCapital!F9</f>
        <v>69777.154236748887</v>
      </c>
      <c r="G9" s="220">
        <f>+CantidadesdeCapital!G9*CostoUnitarioCapital!G9</f>
        <v>60169.905922101694</v>
      </c>
      <c r="H9" s="220">
        <f>+CantidadesdeCapital!H9*CostoUnitarioCapital!H9</f>
        <v>60169.905922101694</v>
      </c>
      <c r="I9" s="220">
        <f>+CantidadesdeCapital!I9*CostoUnitarioCapital!I9</f>
        <v>151045.00602703704</v>
      </c>
      <c r="J9" s="220">
        <f>+CantidadesdeCapital!J9*CostoUnitarioCapital!J9</f>
        <v>208820.19554328706</v>
      </c>
      <c r="K9" s="220">
        <f>+CantidadesdeCapital!K9*CostoUnitarioCapital!K9</f>
        <v>91962.080444847001</v>
      </c>
      <c r="L9" s="220">
        <f>+CantidadesdeCapital!L9*CostoUnitarioCapital!L9</f>
        <v>450338.10222584085</v>
      </c>
      <c r="M9" s="220">
        <f>+CantidadesdeCapital!M9*CostoUnitarioCapital!M9</f>
        <v>179065.08195767173</v>
      </c>
      <c r="N9" s="220">
        <f>+CantidadesdeCapital!N9*CostoUnitarioCapital!N9</f>
        <v>184092.31560698192</v>
      </c>
      <c r="O9" s="220">
        <f>+CantidadesdeCapital!O9*CostoUnitarioCapital!O9</f>
        <v>258959.1209845969</v>
      </c>
    </row>
    <row r="10" spans="1:15" ht="16.5" customHeight="1">
      <c r="B10" s="219" t="s">
        <v>138</v>
      </c>
      <c r="C10" s="219">
        <f>+CantidadesdeCapital!C10*CostoUnitarioCapital!C10</f>
        <v>179910.47405444665</v>
      </c>
      <c r="D10" s="219">
        <f>+CantidadesdeCapital!D10*CostoUnitarioCapital!D10</f>
        <v>210975.61205002342</v>
      </c>
      <c r="E10" s="219">
        <f>+CantidadesdeCapital!E10*CostoUnitarioCapital!E10</f>
        <v>134891.65202600503</v>
      </c>
      <c r="F10" s="219">
        <f>+CantidadesdeCapital!F10*CostoUnitarioCapital!F10</f>
        <v>79796.123836903076</v>
      </c>
      <c r="G10" s="219">
        <f>+CantidadesdeCapital!G10*CostoUnitarioCapital!G10</f>
        <v>49143.542545647317</v>
      </c>
      <c r="H10" s="219">
        <f>+CantidadesdeCapital!H10*CostoUnitarioCapital!H10</f>
        <v>49143.542545647317</v>
      </c>
      <c r="I10" s="219">
        <f>+CantidadesdeCapital!I10*CostoUnitarioCapital!I10</f>
        <v>42179.918113975596</v>
      </c>
      <c r="J10" s="219">
        <f>+CantidadesdeCapital!J10*CostoUnitarioCapital!J10</f>
        <v>50242.80216860873</v>
      </c>
      <c r="K10" s="219">
        <f>+CantidadesdeCapital!K10*CostoUnitarioCapital!K10</f>
        <v>33829.495843732642</v>
      </c>
      <c r="L10" s="219">
        <f>+CantidadesdeCapital!L10*CostoUnitarioCapital!L10</f>
        <v>56046.959796794399</v>
      </c>
      <c r="M10" s="219">
        <f>+CantidadesdeCapital!M10*CostoUnitarioCapital!M10</f>
        <v>28589.270864435424</v>
      </c>
      <c r="N10" s="219">
        <f>+CantidadesdeCapital!N10*CostoUnitarioCapital!N10</f>
        <v>24998.824666494995</v>
      </c>
      <c r="O10" s="219">
        <f>+CantidadesdeCapital!O10*CostoUnitarioCapital!O10</f>
        <v>19991.530846991493</v>
      </c>
    </row>
    <row r="11" spans="1:15" ht="16.5" customHeight="1">
      <c r="B11" s="220" t="s">
        <v>33</v>
      </c>
      <c r="C11" s="220">
        <f>+CantidadesdeCapital!C11*CostoUnitarioCapital!C11</f>
        <v>94373.732006486389</v>
      </c>
      <c r="D11" s="220">
        <f>+CantidadesdeCapital!D11*CostoUnitarioCapital!D11</f>
        <v>94418.174883270942</v>
      </c>
      <c r="E11" s="220">
        <f>+CantidadesdeCapital!E11*CostoUnitarioCapital!E11</f>
        <v>63153.304805845866</v>
      </c>
      <c r="F11" s="220">
        <f>+CantidadesdeCapital!F11*CostoUnitarioCapital!F11</f>
        <v>38760.225157545923</v>
      </c>
      <c r="G11" s="220">
        <f>+CantidadesdeCapital!G11*CostoUnitarioCapital!G11</f>
        <v>31824.640853320856</v>
      </c>
      <c r="H11" s="220">
        <f>+CantidadesdeCapital!H11*CostoUnitarioCapital!H11</f>
        <v>31824.640853320856</v>
      </c>
      <c r="I11" s="220">
        <f>+CantidadesdeCapital!I11*CostoUnitarioCapital!I11</f>
        <v>113039.41093934271</v>
      </c>
      <c r="J11" s="220">
        <f>+CantidadesdeCapital!J11*CostoUnitarioCapital!J11</f>
        <v>166302.21472623755</v>
      </c>
      <c r="K11" s="220">
        <f>+CantidadesdeCapital!K11*CostoUnitarioCapital!K11</f>
        <v>63861.943549962234</v>
      </c>
      <c r="L11" s="220">
        <f>+CantidadesdeCapital!L11*CostoUnitarioCapital!L11</f>
        <v>283393.44146465301</v>
      </c>
      <c r="M11" s="220">
        <f>+CantidadesdeCapital!M11*CostoUnitarioCapital!M11</f>
        <v>106549.64726799481</v>
      </c>
      <c r="N11" s="220">
        <f>+CantidadesdeCapital!N11*CostoUnitarioCapital!N11</f>
        <v>104052.75620806601</v>
      </c>
      <c r="O11" s="220">
        <f>+CantidadesdeCapital!O11*CostoUnitarioCapital!O11</f>
        <v>113944.89446505958</v>
      </c>
    </row>
    <row r="12" spans="1:15" ht="16.5" customHeight="1" thickBot="1">
      <c r="B12" s="88" t="s">
        <v>171</v>
      </c>
      <c r="C12" s="88">
        <f>SUM(C4:C11)</f>
        <v>7496371.7844697107</v>
      </c>
      <c r="D12" s="88">
        <f>SUM(D4:D11)</f>
        <v>9347249.9830235336</v>
      </c>
      <c r="E12" s="88">
        <f t="shared" ref="E12:N12" si="0">SUM(E4:E11)</f>
        <v>6412530.7477765363</v>
      </c>
      <c r="F12" s="88">
        <f t="shared" si="0"/>
        <v>3750935.5425871741</v>
      </c>
      <c r="G12" s="88">
        <f t="shared" si="0"/>
        <v>9102544.7127676941</v>
      </c>
      <c r="H12" s="88">
        <f>SUM(H4:H11)</f>
        <v>9547867.3008954674</v>
      </c>
      <c r="I12" s="88">
        <f t="shared" si="0"/>
        <v>18251345.499090165</v>
      </c>
      <c r="J12" s="88">
        <f t="shared" si="0"/>
        <v>24513559.743166022</v>
      </c>
      <c r="K12" s="88">
        <f t="shared" si="0"/>
        <v>11329265.444837589</v>
      </c>
      <c r="L12" s="88">
        <f t="shared" si="0"/>
        <v>38227055.961753279</v>
      </c>
      <c r="M12" s="88">
        <f t="shared" si="0"/>
        <v>25414316.238339223</v>
      </c>
      <c r="N12" s="88">
        <f t="shared" si="0"/>
        <v>18156075.53664609</v>
      </c>
      <c r="O12" s="88">
        <f>SUM(O4:O11)</f>
        <v>26537802.256152775</v>
      </c>
    </row>
    <row r="13" spans="1:15" ht="16.5" customHeight="1" thickTop="1">
      <c r="B13" s="229" t="s">
        <v>182</v>
      </c>
      <c r="C13" s="219">
        <v>0</v>
      </c>
      <c r="D13" s="219">
        <v>1685000</v>
      </c>
      <c r="E13" s="219">
        <v>644000</v>
      </c>
      <c r="F13" s="219">
        <v>2614000</v>
      </c>
      <c r="G13" s="219">
        <v>1175000</v>
      </c>
      <c r="H13" s="219">
        <v>1175000</v>
      </c>
      <c r="I13" s="219">
        <v>2802000</v>
      </c>
      <c r="J13" s="219">
        <v>2886000</v>
      </c>
      <c r="K13" s="219">
        <v>2738000</v>
      </c>
      <c r="L13" s="219">
        <v>5036000</v>
      </c>
      <c r="M13" s="219">
        <v>6662000</v>
      </c>
      <c r="N13" s="219">
        <v>12479000</v>
      </c>
      <c r="O13" s="219">
        <v>9216000</v>
      </c>
    </row>
    <row r="14" spans="1:15" ht="16.5" customHeight="1">
      <c r="B14" s="230" t="s">
        <v>537</v>
      </c>
      <c r="C14" s="230"/>
      <c r="D14" s="122">
        <v>403000</v>
      </c>
      <c r="E14" s="122">
        <v>154000</v>
      </c>
      <c r="F14" s="122">
        <v>625000</v>
      </c>
      <c r="G14" s="122">
        <v>281000</v>
      </c>
      <c r="H14" s="122">
        <v>281000</v>
      </c>
      <c r="I14" s="122">
        <v>670000</v>
      </c>
      <c r="J14" s="122">
        <v>691000</v>
      </c>
      <c r="K14" s="122">
        <v>655000</v>
      </c>
      <c r="L14" s="122">
        <v>1205000</v>
      </c>
      <c r="M14" s="400">
        <v>1594000</v>
      </c>
      <c r="N14" s="220"/>
      <c r="O14" s="220"/>
    </row>
    <row r="15" spans="1:15" ht="16.5" customHeight="1" thickBot="1">
      <c r="B15" s="88" t="s">
        <v>536</v>
      </c>
      <c r="C15" s="88">
        <f t="shared" ref="C15:O15" si="1">+C12+C13+C14</f>
        <v>7496371.7844697107</v>
      </c>
      <c r="D15" s="88">
        <f t="shared" si="1"/>
        <v>11435249.983023534</v>
      </c>
      <c r="E15" s="88">
        <f t="shared" si="1"/>
        <v>7210530.7477765363</v>
      </c>
      <c r="F15" s="88">
        <f t="shared" si="1"/>
        <v>6989935.5425871741</v>
      </c>
      <c r="G15" s="88">
        <f t="shared" si="1"/>
        <v>10558544.712767694</v>
      </c>
      <c r="H15" s="88">
        <f t="shared" si="1"/>
        <v>11003867.300895467</v>
      </c>
      <c r="I15" s="88">
        <f t="shared" si="1"/>
        <v>21723345.499090165</v>
      </c>
      <c r="J15" s="88">
        <f t="shared" si="1"/>
        <v>28090559.743166022</v>
      </c>
      <c r="K15" s="88">
        <f t="shared" si="1"/>
        <v>14722265.444837589</v>
      </c>
      <c r="L15" s="88">
        <f t="shared" si="1"/>
        <v>44468055.961753279</v>
      </c>
      <c r="M15" s="88">
        <f t="shared" si="1"/>
        <v>33670316.238339223</v>
      </c>
      <c r="N15" s="88">
        <f t="shared" si="1"/>
        <v>30635075.53664609</v>
      </c>
      <c r="O15" s="88">
        <f t="shared" si="1"/>
        <v>35753802.256152779</v>
      </c>
    </row>
    <row r="16" spans="1:15" ht="16.5" customHeight="1" thickTop="1" thickBot="1">
      <c r="B16" s="88" t="s">
        <v>184</v>
      </c>
      <c r="C16" s="172">
        <f t="shared" ref="C16:O16" si="2">+(C13+C14)/C15</f>
        <v>0</v>
      </c>
      <c r="D16" s="172">
        <f t="shared" si="2"/>
        <v>0.18259329731311419</v>
      </c>
      <c r="E16" s="172">
        <f t="shared" si="2"/>
        <v>0.11067146482193062</v>
      </c>
      <c r="F16" s="172">
        <f t="shared" si="2"/>
        <v>0.46338052479396025</v>
      </c>
      <c r="G16" s="172">
        <f t="shared" si="2"/>
        <v>0.13789779175148667</v>
      </c>
      <c r="H16" s="172">
        <f t="shared" si="2"/>
        <v>0.1323171172630839</v>
      </c>
      <c r="I16" s="172">
        <f t="shared" si="2"/>
        <v>0.15982805227424188</v>
      </c>
      <c r="J16" s="172">
        <f t="shared" si="2"/>
        <v>0.12733815319825467</v>
      </c>
      <c r="K16" s="172">
        <f t="shared" si="2"/>
        <v>0.23046724790509512</v>
      </c>
      <c r="L16" s="172">
        <f t="shared" si="2"/>
        <v>0.14034793887476998</v>
      </c>
      <c r="M16" s="172">
        <f t="shared" si="2"/>
        <v>0.24520114220368322</v>
      </c>
      <c r="N16" s="172">
        <f t="shared" si="2"/>
        <v>0.40734353617220403</v>
      </c>
      <c r="O16" s="172">
        <f t="shared" si="2"/>
        <v>0.25776279496019316</v>
      </c>
    </row>
    <row r="17" spans="1:15" ht="16.5" customHeight="1" thickTop="1">
      <c r="A17" s="133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15" ht="16.5" customHeight="1"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</row>
    <row r="19" spans="1:15" ht="16.5" customHeight="1"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</row>
    <row r="20" spans="1:15" ht="16.5" customHeight="1">
      <c r="B20" s="126"/>
      <c r="D20" s="144"/>
      <c r="F20" s="142"/>
    </row>
    <row r="21" spans="1:15" ht="16.5" customHeight="1" thickBot="1">
      <c r="B21" s="88"/>
      <c r="C21" s="88">
        <v>2001</v>
      </c>
      <c r="D21" s="88">
        <v>2002</v>
      </c>
      <c r="E21" s="88">
        <v>2003</v>
      </c>
      <c r="F21" s="88">
        <v>2004</v>
      </c>
      <c r="G21" s="49" t="s">
        <v>469</v>
      </c>
      <c r="H21" s="88">
        <v>2005</v>
      </c>
      <c r="I21" s="88">
        <v>2006</v>
      </c>
      <c r="J21" s="88">
        <v>2007</v>
      </c>
      <c r="K21" s="88">
        <v>2008</v>
      </c>
      <c r="L21" s="88">
        <v>2009</v>
      </c>
      <c r="M21" s="88">
        <v>2010</v>
      </c>
      <c r="N21" s="88">
        <v>2011</v>
      </c>
      <c r="O21" s="88">
        <v>2012</v>
      </c>
    </row>
    <row r="22" spans="1:15" ht="16.5" customHeight="1" thickTop="1">
      <c r="B22" s="229" t="str">
        <f>B4</f>
        <v>Mejoras Aeropuerto</v>
      </c>
      <c r="C22" s="229">
        <f>+CostoUnitarioCapital!C4/(1-C$16)</f>
        <v>0.17554480925696356</v>
      </c>
      <c r="D22" s="229">
        <f>+CostoUnitarioCapital!D4/(1-D$16)</f>
        <v>0.23540669629755931</v>
      </c>
      <c r="E22" s="229">
        <f>+CostoUnitarioCapital!E4/(1-E$16)</f>
        <v>0.14396216484157023</v>
      </c>
      <c r="F22" s="229">
        <f>+CostoUnitarioCapital!F4/(1-F$16)</f>
        <v>0.14359465825110537</v>
      </c>
      <c r="G22" s="229">
        <f>+CostoUnitarioCapital!G4/(1-G$16)</f>
        <v>9.9985535294661809E-2</v>
      </c>
      <c r="H22" s="229">
        <f>+CostoUnitarioCapital!H4/(1-H$16)</f>
        <v>9.9342458501135406E-2</v>
      </c>
      <c r="I22" s="229">
        <f>+CostoUnitarioCapital!I4/(1-I$16)</f>
        <v>0.12481669435834734</v>
      </c>
      <c r="J22" s="229">
        <f>+CostoUnitarioCapital!J4/(1-J$16)</f>
        <v>0.16318898971198195</v>
      </c>
      <c r="K22" s="229">
        <f>+CostoUnitarioCapital!K4/(1-K$16)</f>
        <v>9.0965778196734709E-2</v>
      </c>
      <c r="L22" s="229">
        <f>+CostoUnitarioCapital!L4/(1-L$16)</f>
        <v>0.25185795634047581</v>
      </c>
      <c r="M22" s="229">
        <f>+CostoUnitarioCapital!M4/(1-M$16)</f>
        <v>0.17556179428330829</v>
      </c>
      <c r="N22" s="229">
        <f>+CostoUnitarioCapital!N4/(1-N$16)</f>
        <v>0.16763517935355907</v>
      </c>
      <c r="O22" s="229">
        <f>+CostoUnitarioCapital!O4/(1-O$16)</f>
        <v>0.19842317643395596</v>
      </c>
    </row>
    <row r="23" spans="1:15" ht="16.5" customHeight="1">
      <c r="B23" s="230" t="str">
        <f t="shared" ref="B23:B29" si="3">B5</f>
        <v>Costos Concesión</v>
      </c>
      <c r="C23" s="230">
        <f>+CostoUnitarioCapital!C5/(1-C$16)</f>
        <v>0.17438150953855278</v>
      </c>
      <c r="D23" s="230">
        <f>+CostoUnitarioCapital!D5/(1-D$16)</f>
        <v>0.23398722522849374</v>
      </c>
      <c r="E23" s="230">
        <f>+CostoUnitarioCapital!E5/(1-E$16)</f>
        <v>0.14261528733061013</v>
      </c>
      <c r="F23" s="230">
        <f>+CostoUnitarioCapital!F5/(1-F$16)</f>
        <v>0.14124699629357099</v>
      </c>
      <c r="G23" s="230">
        <f>+CostoUnitarioCapital!G5/(1-G$16)</f>
        <v>9.8453833201728069E-2</v>
      </c>
      <c r="H23" s="230">
        <f>+CostoUnitarioCapital!H5/(1-H$16)</f>
        <v>9.7820607853889865E-2</v>
      </c>
      <c r="I23" s="230">
        <f>+CostoUnitarioCapital!I5/(1-I$16)</f>
        <v>0.12317532392685937</v>
      </c>
      <c r="J23" s="230">
        <f>+CostoUnitarioCapital!J5/(1-J$16)</f>
        <v>0.16160307261651374</v>
      </c>
      <c r="K23" s="230">
        <f>+CostoUnitarioCapital!K5/(1-K$16)</f>
        <v>8.9043575950801854E-2</v>
      </c>
      <c r="L23" s="230">
        <f>+CostoUnitarioCapital!L5/(1-L$16)</f>
        <v>0.25019745652636044</v>
      </c>
      <c r="M23" s="230">
        <f>+CostoUnitarioCapital!M5/(1-M$16)</f>
        <v>0.1736278552692406</v>
      </c>
      <c r="N23" s="230">
        <f>+CostoUnitarioCapital!N5/(1-N$16)</f>
        <v>0.16504745237173613</v>
      </c>
      <c r="O23" s="230">
        <f>+CostoUnitarioCapital!O5/(1-O$16)</f>
        <v>0.19632405155540855</v>
      </c>
    </row>
    <row r="24" spans="1:15" ht="16.5" customHeight="1">
      <c r="B24" s="229" t="str">
        <f t="shared" si="3"/>
        <v>Otros</v>
      </c>
      <c r="C24" s="231">
        <f>+CostoUnitarioCapital!C6/(1-C$16)</f>
        <v>0.24658197473858678</v>
      </c>
      <c r="D24" s="231">
        <f>+CostoUnitarioCapital!D6/(1-D$16)</f>
        <v>0.3176742135725576</v>
      </c>
      <c r="E24" s="231">
        <f>+CostoUnitarioCapital!E6/(1-E$16)</f>
        <v>0.2074294538344236</v>
      </c>
      <c r="F24" s="231">
        <f>+CostoUnitarioCapital!F6/(1-F$16)</f>
        <v>0.24294739356340522</v>
      </c>
      <c r="G24" s="231">
        <f>+CostoUnitarioCapital!G6/(1-G$16)</f>
        <v>0.14790523657593665</v>
      </c>
      <c r="H24" s="231">
        <f>+CostoUnitarioCapital!H6/(1-H$16)</f>
        <v>0.1469539547229895</v>
      </c>
      <c r="I24" s="231">
        <f>+CostoUnitarioCapital!I6/(1-I$16)</f>
        <v>0.22198216783532024</v>
      </c>
      <c r="J24" s="231">
        <f>+CostoUnitarioCapital!J6/(1-J$16)</f>
        <v>0.20867526524701002</v>
      </c>
      <c r="K24" s="231">
        <f>+CostoUnitarioCapital!K6/(1-K$16)</f>
        <v>0.10717098448590111</v>
      </c>
      <c r="L24" s="231">
        <f>+CostoUnitarioCapital!L6/(1-L$16)</f>
        <v>0.45771971598714384</v>
      </c>
      <c r="M24" s="231">
        <f>+CostoUnitarioCapital!M6/(1-M$16)</f>
        <v>0.21537965017278976</v>
      </c>
      <c r="N24" s="231">
        <f>+CostoUnitarioCapital!N6/(1-N$16)</f>
        <v>0.32463220832551304</v>
      </c>
      <c r="O24" s="231">
        <f>+CostoUnitarioCapital!O6/(1-O$16)</f>
        <v>0.31099839807354046</v>
      </c>
    </row>
    <row r="25" spans="1:15" ht="16.5" customHeight="1">
      <c r="A25" s="372"/>
      <c r="B25" s="230" t="str">
        <f t="shared" si="3"/>
        <v>Equipos de Seguridad y Rescate</v>
      </c>
      <c r="C25" s="232">
        <f>+CostoUnitarioCapital!C7/(1-C$16)</f>
        <v>0.24658197473858678</v>
      </c>
      <c r="D25" s="232">
        <f>+CostoUnitarioCapital!D7/(1-D$16)</f>
        <v>0.3176742135725576</v>
      </c>
      <c r="E25" s="232">
        <f>+CostoUnitarioCapital!E7/(1-E$16)</f>
        <v>0.2074294538344236</v>
      </c>
      <c r="F25" s="232">
        <f>+CostoUnitarioCapital!F7/(1-F$16)</f>
        <v>0.24294739356340522</v>
      </c>
      <c r="G25" s="232">
        <f>+CostoUnitarioCapital!G7/(1-G$16)</f>
        <v>0.14790523657593665</v>
      </c>
      <c r="H25" s="232">
        <f>+CostoUnitarioCapital!H7/(1-H$16)</f>
        <v>0.1469539547229895</v>
      </c>
      <c r="I25" s="232">
        <f>+CostoUnitarioCapital!I7/(1-I$16)</f>
        <v>0.22198216783532024</v>
      </c>
      <c r="J25" s="232">
        <f>+CostoUnitarioCapital!J7/(1-J$16)</f>
        <v>0.20867526524701002</v>
      </c>
      <c r="K25" s="232">
        <f>+CostoUnitarioCapital!K7/(1-K$16)</f>
        <v>0.10717098448590111</v>
      </c>
      <c r="L25" s="232">
        <f>+CostoUnitarioCapital!L7/(1-L$16)</f>
        <v>0.45771971598714384</v>
      </c>
      <c r="M25" s="232">
        <f>+CostoUnitarioCapital!M7/(1-M$16)</f>
        <v>0.21537965017278976</v>
      </c>
      <c r="N25" s="232">
        <f>+CostoUnitarioCapital!N7/(1-N$16)</f>
        <v>0.32463220832551304</v>
      </c>
      <c r="O25" s="232">
        <f>+CostoUnitarioCapital!O7/(1-O$16)</f>
        <v>0.31099839807354046</v>
      </c>
    </row>
    <row r="26" spans="1:15" ht="16.5" customHeight="1">
      <c r="B26" s="229" t="str">
        <f t="shared" si="3"/>
        <v>Equipos de Computo</v>
      </c>
      <c r="C26" s="229">
        <f>+CostoUnitarioCapital!C8/(1-C$16)</f>
        <v>0.39760440773582439</v>
      </c>
      <c r="D26" s="229">
        <f>+CostoUnitarioCapital!D8/(1-D$16)</f>
        <v>0.5014534520235665</v>
      </c>
      <c r="E26" s="229">
        <f>+CostoUnitarioCapital!E8/(1-E$16)</f>
        <v>0.38373714070493287</v>
      </c>
      <c r="F26" s="229">
        <f>+CostoUnitarioCapital!F8/(1-F$16)</f>
        <v>0.55614491038852387</v>
      </c>
      <c r="G26" s="229">
        <f>+CostoUnitarioCapital!G8/(1-G$16)</f>
        <v>0.35950716763254359</v>
      </c>
      <c r="H26" s="229">
        <f>+CostoUnitarioCapital!H8/(1-H$16)</f>
        <v>0.35719492600749686</v>
      </c>
      <c r="I26" s="229">
        <f>+CostoUnitarioCapital!I8/(1-I$16)</f>
        <v>0.45026641211007906</v>
      </c>
      <c r="J26" s="229">
        <f>+CostoUnitarioCapital!J8/(1-J$16)</f>
        <v>0.43951138716787902</v>
      </c>
      <c r="K26" s="229">
        <f>+CostoUnitarioCapital!K8/(1-K$16)</f>
        <v>0.40637006451412316</v>
      </c>
      <c r="L26" s="229">
        <f>+CostoUnitarioCapital!L8/(1-L$16)</f>
        <v>0.70877985308066149</v>
      </c>
      <c r="M26" s="229">
        <f>+CostoUnitarioCapital!M8/(1-M$16)</f>
        <v>0.52707258187822859</v>
      </c>
      <c r="N26" s="229">
        <f>+CostoUnitarioCapital!N8/(1-N$16)</f>
        <v>0.75245718900244241</v>
      </c>
      <c r="O26" s="229">
        <f>+CostoUnitarioCapital!O8/(1-O$16)</f>
        <v>0.67337084483478715</v>
      </c>
    </row>
    <row r="27" spans="1:15" ht="16.5" customHeight="1">
      <c r="B27" s="230" t="str">
        <f t="shared" si="3"/>
        <v>Equipos Diversos</v>
      </c>
      <c r="C27" s="230">
        <f>+CostoUnitarioCapital!C9/(1-C$16)</f>
        <v>0.24658197473858678</v>
      </c>
      <c r="D27" s="230">
        <f>+CostoUnitarioCapital!D9/(1-D$16)</f>
        <v>0.3176742135725576</v>
      </c>
      <c r="E27" s="230">
        <f>+CostoUnitarioCapital!E9/(1-E$16)</f>
        <v>0.2074294538344236</v>
      </c>
      <c r="F27" s="230">
        <f>+CostoUnitarioCapital!F9/(1-F$16)</f>
        <v>0.24294739356340522</v>
      </c>
      <c r="G27" s="230">
        <f>+CostoUnitarioCapital!G9/(1-G$16)</f>
        <v>0.14790523657593665</v>
      </c>
      <c r="H27" s="230">
        <f>+CostoUnitarioCapital!H9/(1-H$16)</f>
        <v>0.1469539547229895</v>
      </c>
      <c r="I27" s="230">
        <f>+CostoUnitarioCapital!I9/(1-I$16)</f>
        <v>0.22198216783532024</v>
      </c>
      <c r="J27" s="230">
        <f>+CostoUnitarioCapital!J9/(1-J$16)</f>
        <v>0.20867526524701002</v>
      </c>
      <c r="K27" s="230">
        <f>+CostoUnitarioCapital!K9/(1-K$16)</f>
        <v>0.10717098448590111</v>
      </c>
      <c r="L27" s="230">
        <f>+CostoUnitarioCapital!L9/(1-L$16)</f>
        <v>0.45771971598714384</v>
      </c>
      <c r="M27" s="230">
        <f>+CostoUnitarioCapital!M9/(1-M$16)</f>
        <v>0.21537965017278976</v>
      </c>
      <c r="N27" s="230">
        <f>+CostoUnitarioCapital!N9/(1-N$16)</f>
        <v>0.32463220832551304</v>
      </c>
      <c r="O27" s="230">
        <f>+CostoUnitarioCapital!O9/(1-O$16)</f>
        <v>0.31099839807354046</v>
      </c>
    </row>
    <row r="28" spans="1:15" ht="16.5" customHeight="1">
      <c r="B28" s="229" t="str">
        <f t="shared" si="3"/>
        <v>Unidades de Transporte</v>
      </c>
      <c r="C28" s="229">
        <f>+CostoUnitarioCapital!C10/(1-C$16)</f>
        <v>0.34726359673674517</v>
      </c>
      <c r="D28" s="229">
        <f>+CostoUnitarioCapital!D10/(1-D$16)</f>
        <v>0.4401937058732302</v>
      </c>
      <c r="E28" s="229">
        <f>+CostoUnitarioCapital!E10/(1-E$16)</f>
        <v>0.32496791174809647</v>
      </c>
      <c r="F28" s="229">
        <f>+CostoUnitarioCapital!F10/(1-F$16)</f>
        <v>0.45174573811348434</v>
      </c>
      <c r="G28" s="229">
        <f>+CostoUnitarioCapital!G10/(1-G$16)</f>
        <v>0.2889731906136746</v>
      </c>
      <c r="H28" s="229">
        <f>+CostoUnitarioCapital!H10/(1-H$16)</f>
        <v>0.28711460224599439</v>
      </c>
      <c r="I28" s="229">
        <f>+CostoUnitarioCapital!I10/(1-I$16)</f>
        <v>0.37417166401849283</v>
      </c>
      <c r="J28" s="229">
        <f>+CostoUnitarioCapital!J10/(1-J$16)</f>
        <v>0.36256601319425602</v>
      </c>
      <c r="K28" s="229">
        <f>+CostoUnitarioCapital!K10/(1-K$16)</f>
        <v>0.30663703783804919</v>
      </c>
      <c r="L28" s="229">
        <f>+CostoUnitarioCapital!L10/(1-L$16)</f>
        <v>0.62509314071615563</v>
      </c>
      <c r="M28" s="229">
        <f>+CostoUnitarioCapital!M10/(1-M$16)</f>
        <v>0.42317493797641564</v>
      </c>
      <c r="N28" s="229">
        <f>+CostoUnitarioCapital!N10/(1-N$16)</f>
        <v>0.60984886211013267</v>
      </c>
      <c r="O28" s="229">
        <f>+CostoUnitarioCapital!O10/(1-O$16)</f>
        <v>0.552580029247705</v>
      </c>
    </row>
    <row r="29" spans="1:15" ht="16.5" customHeight="1">
      <c r="B29" s="230" t="str">
        <f t="shared" si="3"/>
        <v>Muebles y Enseres</v>
      </c>
      <c r="C29" s="230">
        <f>+CostoUnitarioCapital!C11/(1-C$16)</f>
        <v>0.24658197473858678</v>
      </c>
      <c r="D29" s="230">
        <f>+CostoUnitarioCapital!D11/(1-D$16)</f>
        <v>0.3176742135725576</v>
      </c>
      <c r="E29" s="230">
        <f>+CostoUnitarioCapital!E11/(1-E$16)</f>
        <v>0.2074294538344236</v>
      </c>
      <c r="F29" s="230">
        <f>+CostoUnitarioCapital!F11/(1-F$16)</f>
        <v>0.24294739356340522</v>
      </c>
      <c r="G29" s="230">
        <f>+CostoUnitarioCapital!G11/(1-G$16)</f>
        <v>0.14790523657593665</v>
      </c>
      <c r="H29" s="230">
        <f>+CostoUnitarioCapital!H11/(1-H$16)</f>
        <v>0.1469539547229895</v>
      </c>
      <c r="I29" s="230">
        <f>+CostoUnitarioCapital!I11/(1-I$16)</f>
        <v>0.22198216783532024</v>
      </c>
      <c r="J29" s="230">
        <f>+CostoUnitarioCapital!J11/(1-J$16)</f>
        <v>0.20867526524701002</v>
      </c>
      <c r="K29" s="230">
        <f>+CostoUnitarioCapital!K11/(1-K$16)</f>
        <v>0.10717098448590111</v>
      </c>
      <c r="L29" s="230">
        <f>+CostoUnitarioCapital!L11/(1-L$16)</f>
        <v>0.45771971598714384</v>
      </c>
      <c r="M29" s="230">
        <f>+CostoUnitarioCapital!M11/(1-M$16)</f>
        <v>0.21537965017278976</v>
      </c>
      <c r="N29" s="230">
        <f>+CostoUnitarioCapital!N11/(1-N$16)</f>
        <v>0.32463220832551304</v>
      </c>
      <c r="O29" s="230">
        <f>+CostoUnitarioCapital!O11/(1-O$16)</f>
        <v>0.31099839807354046</v>
      </c>
    </row>
    <row r="30" spans="1:15" ht="16.5" customHeight="1">
      <c r="A30" s="146"/>
      <c r="B30" s="124"/>
      <c r="C30" s="147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</row>
    <row r="31" spans="1:15" ht="21" customHeight="1">
      <c r="A31" s="126"/>
      <c r="B31" s="149"/>
      <c r="C31" s="136"/>
      <c r="D31" s="136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</row>
    <row r="32" spans="1:15" ht="16.5" customHeight="1" thickBot="1">
      <c r="B32" s="88" t="s">
        <v>181</v>
      </c>
      <c r="C32" s="88">
        <v>2001</v>
      </c>
      <c r="D32" s="88">
        <v>2002</v>
      </c>
      <c r="E32" s="88">
        <v>2003</v>
      </c>
      <c r="F32" s="88">
        <v>2004</v>
      </c>
      <c r="G32" s="88">
        <v>2005</v>
      </c>
      <c r="H32" s="49" t="s">
        <v>469</v>
      </c>
      <c r="I32" s="88">
        <v>2006</v>
      </c>
      <c r="J32" s="88">
        <v>2007</v>
      </c>
      <c r="K32" s="88">
        <v>2008</v>
      </c>
      <c r="L32" s="88">
        <v>2009</v>
      </c>
      <c r="M32" s="88">
        <v>2010</v>
      </c>
      <c r="N32" s="88">
        <v>2011</v>
      </c>
      <c r="O32" s="88">
        <v>2012</v>
      </c>
    </row>
    <row r="33" spans="1:15" ht="16.5" customHeight="1" thickTop="1">
      <c r="B33" s="229" t="s">
        <v>36</v>
      </c>
      <c r="C33" s="219">
        <f>+C22*CantidadesdeCapital!C4</f>
        <v>6697711.4926790455</v>
      </c>
      <c r="D33" s="219">
        <f>+D22*CantidadesdeCapital!D4</f>
        <v>9099357.4385212548</v>
      </c>
      <c r="E33" s="219">
        <f>+E22*CantidadesdeCapital!E4</f>
        <v>5392506.7498178035</v>
      </c>
      <c r="F33" s="219">
        <f>+F22*CantidadesdeCapital!F4</f>
        <v>5077517.6572428495</v>
      </c>
      <c r="G33" s="219">
        <f>+G22*CantidadesdeCapital!G4</f>
        <v>9495274.2916905358</v>
      </c>
      <c r="H33" s="219">
        <f>+H22*CantidadesdeCapital!H4</f>
        <v>9947435.51433702</v>
      </c>
      <c r="I33" s="219">
        <f>+I22*CantidadesdeCapital!I4</f>
        <v>20227040.078028794</v>
      </c>
      <c r="J33" s="219">
        <f>+J22*CantidadesdeCapital!J4</f>
        <v>26499097.709215865</v>
      </c>
      <c r="K33" s="219">
        <f>+K22*CantidadesdeCapital!K4</f>
        <v>13937272.373337483</v>
      </c>
      <c r="L33" s="219">
        <f>+L22*CantidadesdeCapital!L4</f>
        <v>41986047.885128483</v>
      </c>
      <c r="M33" s="219">
        <f>+M22*CantidadesdeCapital!M4</f>
        <v>32355735.086961068</v>
      </c>
      <c r="N33" s="219">
        <f>+N22*CantidadesdeCapital!N4</f>
        <v>29113875.075757638</v>
      </c>
      <c r="O33" s="219">
        <f>+O22*CantidadesdeCapital!O4</f>
        <v>34309874.903990887</v>
      </c>
    </row>
    <row r="34" spans="1:15" ht="16.5" customHeight="1">
      <c r="B34" s="230" t="s">
        <v>37</v>
      </c>
      <c r="C34" s="220">
        <f>+C23*CantidadesdeCapital!C5</f>
        <v>327234.35094305978</v>
      </c>
      <c r="D34" s="220">
        <f>+D23*CantidadesdeCapital!D5</f>
        <v>902307.62417495146</v>
      </c>
      <c r="E34" s="220">
        <f>+E23*CantidadesdeCapital!E5</f>
        <v>543061.87336198171</v>
      </c>
      <c r="F34" s="220">
        <f>+F23*CantidadesdeCapital!F5</f>
        <v>498050.16159071634</v>
      </c>
      <c r="G34" s="220">
        <f>+G23*CantidadesdeCapital!G5</f>
        <v>320757.41318996513</v>
      </c>
      <c r="H34" s="220">
        <f>+H23*CantidadesdeCapital!H5</f>
        <v>318694.39829319896</v>
      </c>
      <c r="I34" s="220">
        <f>+I23*CantidadesdeCapital!I5</f>
        <v>369156.58697152039</v>
      </c>
      <c r="J34" s="220">
        <f>+J23*CantidadesdeCapital!J5</f>
        <v>454377.22849632148</v>
      </c>
      <c r="K34" s="220">
        <f>+K23*CantidadesdeCapital!K5</f>
        <v>232185.88443812804</v>
      </c>
      <c r="L34" s="220">
        <f>+L23*CantidadesdeCapital!L5</f>
        <v>614228.25948774733</v>
      </c>
      <c r="M34" s="220">
        <f>+M23*CantidadesdeCapital!M5</f>
        <v>410309.86685763346</v>
      </c>
      <c r="N34" s="220">
        <f>+N23*CantidadesdeCapital!N5</f>
        <v>359061.21742332581</v>
      </c>
      <c r="O34" s="220">
        <f>+O23*CantidadesdeCapital!O5</f>
        <v>393056.82682143216</v>
      </c>
    </row>
    <row r="35" spans="1:15" ht="16.5" customHeight="1">
      <c r="B35" s="229" t="s">
        <v>38</v>
      </c>
      <c r="C35" s="219">
        <f>+C24*CantidadesdeCapital!C6</f>
        <v>76753.088674660437</v>
      </c>
      <c r="D35" s="219">
        <f>+D24*CantidadesdeCapital!D6</f>
        <v>191680.08056619036</v>
      </c>
      <c r="E35" s="219">
        <f>+E24*CantidadesdeCapital!E6</f>
        <v>132262.58310701817</v>
      </c>
      <c r="F35" s="219">
        <f>+F24*CantidadesdeCapital!F6</f>
        <v>155098.15727076947</v>
      </c>
      <c r="G35" s="219">
        <f>+G24*CantidadesdeCapital!G6</f>
        <v>102941.48049941154</v>
      </c>
      <c r="H35" s="219">
        <f>+H24*CantidadesdeCapital!H6</f>
        <v>102279.39195825075</v>
      </c>
      <c r="I35" s="219">
        <f>+I24*CantidadesdeCapital!I6</f>
        <v>213652.64472754634</v>
      </c>
      <c r="J35" s="219">
        <f>+J24*CantidadesdeCapital!J6</f>
        <v>213432.93590268755</v>
      </c>
      <c r="K35" s="219">
        <f>+K24*CantidadesdeCapital!K6</f>
        <v>96512.857123766153</v>
      </c>
      <c r="L35" s="219">
        <f>+L24*CantidadesdeCapital!L6</f>
        <v>428944.55374932493</v>
      </c>
      <c r="M35" s="219">
        <f>+M24*CantidadesdeCapital!M6</f>
        <v>204069.23287425723</v>
      </c>
      <c r="N35" s="219">
        <f>+N24*CantidadesdeCapital!N6</f>
        <v>268609.3297405343</v>
      </c>
      <c r="O35" s="219">
        <f>+O24*CantidadesdeCapital!O6</f>
        <v>267088.80589988461</v>
      </c>
    </row>
    <row r="36" spans="1:15" ht="16.5" customHeight="1">
      <c r="B36" s="230" t="s">
        <v>135</v>
      </c>
      <c r="C36" s="220">
        <f>+C25*CantidadesdeCapital!C7</f>
        <v>0</v>
      </c>
      <c r="D36" s="220">
        <f>+D25*CantidadesdeCapital!D7</f>
        <v>520848.87826322915</v>
      </c>
      <c r="E36" s="220">
        <f>+E25*CantidadesdeCapital!E7</f>
        <v>639202.87415457692</v>
      </c>
      <c r="F36" s="220">
        <f>+F25*CantidadesdeCapital!F7</f>
        <v>650340.27822057495</v>
      </c>
      <c r="G36" s="220">
        <f>+G25*CantidadesdeCapital!G7</f>
        <v>330067.35955983377</v>
      </c>
      <c r="H36" s="220">
        <f>+H25*CantidadesdeCapital!H7</f>
        <v>327944.46589718619</v>
      </c>
      <c r="I36" s="220">
        <f>+I25*CantidadesdeCapital!I7</f>
        <v>421706.46235617687</v>
      </c>
      <c r="J36" s="220">
        <f>+J25*CantidadesdeCapital!J7</f>
        <v>339745.31871331215</v>
      </c>
      <c r="K36" s="220">
        <f>+K25*CantidadesdeCapital!K7</f>
        <v>119087.02656303253</v>
      </c>
      <c r="L36" s="220">
        <f>+L25*CantidadesdeCapital!L7</f>
        <v>332398.37170472869</v>
      </c>
      <c r="M36" s="220">
        <f>+M25*CantidadesdeCapital!M7</f>
        <v>126058.13689722978</v>
      </c>
      <c r="N36" s="220">
        <f>+N25*CantidadesdeCapital!N7</f>
        <v>139666.63532398944</v>
      </c>
      <c r="O36" s="220">
        <f>+O25*CantidadesdeCapital!O7</f>
        <v>80210.274144687442</v>
      </c>
    </row>
    <row r="37" spans="1:15" ht="16.5" customHeight="1">
      <c r="B37" s="229" t="s">
        <v>136</v>
      </c>
      <c r="C37" s="219">
        <f>+C26*CantidadesdeCapital!C8</f>
        <v>75299.677277017501</v>
      </c>
      <c r="D37" s="219">
        <f>+D26*CantidadesdeCapital!D8</f>
        <v>212717.05282560014</v>
      </c>
      <c r="E37" s="219">
        <f>+E26*CantidadesdeCapital!E8</f>
        <v>173792.69074716786</v>
      </c>
      <c r="F37" s="219">
        <f>+F26*CantidadesdeCapital!F8</f>
        <v>257966.43295611674</v>
      </c>
      <c r="G37" s="219">
        <f>+G26*CantidadesdeCapital!G8</f>
        <v>145790.29727910573</v>
      </c>
      <c r="H37" s="219">
        <f>+H26*CantidadesdeCapital!H8</f>
        <v>144852.6180775571</v>
      </c>
      <c r="I37" s="219">
        <f>+I26*CantidadesdeCapital!I8</f>
        <v>127263.94640921983</v>
      </c>
      <c r="J37" s="219">
        <f>+J26*CantidadesdeCapital!J8</f>
        <v>96472.37000700229</v>
      </c>
      <c r="K37" s="219">
        <f>+K26*CantidadesdeCapital!K8</f>
        <v>90754.479473601212</v>
      </c>
      <c r="L37" s="219">
        <f>+L26*CantidadesdeCapital!L8</f>
        <v>187718.09927584711</v>
      </c>
      <c r="M37" s="219">
        <f>+M26*CantidadesdeCapital!M8</f>
        <v>157868.77489597071</v>
      </c>
      <c r="N37" s="219">
        <f>+N26*CantidadesdeCapital!N8</f>
        <v>225489.90260201404</v>
      </c>
      <c r="O37" s="219">
        <f>+O26*CantidadesdeCapital!O8</f>
        <v>174231.84384654002</v>
      </c>
    </row>
    <row r="38" spans="1:15" ht="16.5" customHeight="1">
      <c r="B38" s="230" t="s">
        <v>137</v>
      </c>
      <c r="C38" s="220">
        <f>+C27*CantidadesdeCapital!C9</f>
        <v>45088.968834993982</v>
      </c>
      <c r="D38" s="220">
        <f>+D27*CantidadesdeCapital!D9</f>
        <v>134725.88845918962</v>
      </c>
      <c r="E38" s="220">
        <f>+E27*CantidadesdeCapital!E9</f>
        <v>107013.5433026135</v>
      </c>
      <c r="F38" s="220">
        <f>+F27*CantidadesdeCapital!F9</f>
        <v>130030.97625176076</v>
      </c>
      <c r="G38" s="220">
        <f>+G27*CantidadesdeCapital!G9</f>
        <v>69794.399488136856</v>
      </c>
      <c r="H38" s="220">
        <f>+H27*CantidadesdeCapital!H9</f>
        <v>69345.502970288959</v>
      </c>
      <c r="I38" s="220">
        <f>+I27*CantidadesdeCapital!I9</f>
        <v>179778.68272785979</v>
      </c>
      <c r="J38" s="220">
        <f>+J27*CantidadesdeCapital!J9</f>
        <v>239291.07971042953</v>
      </c>
      <c r="K38" s="220">
        <f>+K27*CantidadesdeCapital!K9</f>
        <v>119503.79005246746</v>
      </c>
      <c r="L38" s="220">
        <f>+L27*CantidadesdeCapital!L9</f>
        <v>523860.89976493141</v>
      </c>
      <c r="M38" s="220">
        <f>+M27*CantidadesdeCapital!M9</f>
        <v>237235.49672619221</v>
      </c>
      <c r="N38" s="220">
        <f>+N27*CantidadesdeCapital!N9</f>
        <v>310622.30287337647</v>
      </c>
      <c r="O38" s="220">
        <f>+O27*CantidadesdeCapital!O9</f>
        <v>348889.97644723119</v>
      </c>
    </row>
    <row r="39" spans="1:15" ht="16.5" customHeight="1">
      <c r="B39" s="229" t="s">
        <v>138</v>
      </c>
      <c r="C39" s="219">
        <f>+C28*CantidadesdeCapital!C10</f>
        <v>179910.47405444665</v>
      </c>
      <c r="D39" s="219">
        <f>+D28*CantidadesdeCapital!D10</f>
        <v>258103.59929338543</v>
      </c>
      <c r="E39" s="219">
        <f>+E28*CantidadesdeCapital!E10</f>
        <v>151678.08823203429</v>
      </c>
      <c r="F39" s="219">
        <f>+F28*CantidadesdeCapital!F10</f>
        <v>148701.50548722566</v>
      </c>
      <c r="G39" s="219">
        <f>+G28*CantidadesdeCapital!G10</f>
        <v>57004.311177313422</v>
      </c>
      <c r="H39" s="219">
        <f>+H28*CantidadesdeCapital!H10</f>
        <v>56637.676648218243</v>
      </c>
      <c r="I39" s="219">
        <f>+I28*CantidadesdeCapital!I10</f>
        <v>50203.911506628421</v>
      </c>
      <c r="J39" s="219">
        <f>+J28*CantidadesdeCapital!J10</f>
        <v>57574.193661319863</v>
      </c>
      <c r="K39" s="219">
        <f>+K28*CantidadesdeCapital!K10</f>
        <v>43961.086453615317</v>
      </c>
      <c r="L39" s="219">
        <f>+L28*CantidadesdeCapital!L10</f>
        <v>65197.260998167658</v>
      </c>
      <c r="M39" s="219">
        <f>+M28*CantidadesdeCapital!M10</f>
        <v>37876.67478446327</v>
      </c>
      <c r="N39" s="219">
        <f>+N28*CantidadesdeCapital!N10</f>
        <v>42180.970245451885</v>
      </c>
      <c r="O39" s="219">
        <f>+O28*CantidadesdeCapital!O10</f>
        <v>26934.153544511864</v>
      </c>
    </row>
    <row r="40" spans="1:15" ht="16.5" customHeight="1">
      <c r="B40" s="230" t="s">
        <v>33</v>
      </c>
      <c r="C40" s="220">
        <f>+C29*CantidadesdeCapital!C11</f>
        <v>94373.732006486389</v>
      </c>
      <c r="D40" s="220">
        <f>+D29*CantidadesdeCapital!D11</f>
        <v>115509.42091973349</v>
      </c>
      <c r="E40" s="220">
        <f>+E29*CantidadesdeCapital!E11</f>
        <v>71012.345053339304</v>
      </c>
      <c r="F40" s="220">
        <f>+F29*CantidadesdeCapital!F11</f>
        <v>72230.373567160583</v>
      </c>
      <c r="G40" s="220">
        <f>+G29*CantidadesdeCapital!G11</f>
        <v>36915.15988339395</v>
      </c>
      <c r="H40" s="220">
        <f>+H29*CantidadesdeCapital!H11</f>
        <v>36677.732713750185</v>
      </c>
      <c r="I40" s="220">
        <f>+I29*CantidadesdeCapital!I11</f>
        <v>134543.18636241838</v>
      </c>
      <c r="J40" s="220">
        <f>+J29*CantidadesdeCapital!J11</f>
        <v>190568.90745908677</v>
      </c>
      <c r="K40" s="220">
        <f>+K29*CantidadesdeCapital!K11</f>
        <v>82987.947395494703</v>
      </c>
      <c r="L40" s="220">
        <f>+L29*CantidadesdeCapital!L11</f>
        <v>329660.63164405018</v>
      </c>
      <c r="M40" s="220">
        <f>+M29*CantidadesdeCapital!M11</f>
        <v>141162.96834241811</v>
      </c>
      <c r="N40" s="220">
        <f>+N29*CantidadesdeCapital!N11</f>
        <v>175570.10267975391</v>
      </c>
      <c r="O40" s="220">
        <f>+O29*CantidadesdeCapital!O11</f>
        <v>153515.47145760313</v>
      </c>
    </row>
    <row r="41" spans="1:15" ht="16.5" customHeight="1" thickBot="1">
      <c r="B41" s="88" t="s">
        <v>171</v>
      </c>
      <c r="C41" s="88">
        <f>SUM(C33:C40)</f>
        <v>7496371.7844697107</v>
      </c>
      <c r="D41" s="88">
        <f t="shared" ref="D41:M41" si="4">SUM(D33:D40)</f>
        <v>11435249.983023532</v>
      </c>
      <c r="E41" s="88">
        <f t="shared" si="4"/>
        <v>7210530.7477765344</v>
      </c>
      <c r="F41" s="88">
        <f t="shared" si="4"/>
        <v>6989935.5425871741</v>
      </c>
      <c r="G41" s="88">
        <f t="shared" si="4"/>
        <v>10558544.712767696</v>
      </c>
      <c r="H41" s="88">
        <f t="shared" si="4"/>
        <v>11003867.300895471</v>
      </c>
      <c r="I41" s="88">
        <f t="shared" si="4"/>
        <v>21723345.499090161</v>
      </c>
      <c r="J41" s="88">
        <f t="shared" si="4"/>
        <v>28090559.743166026</v>
      </c>
      <c r="K41" s="88">
        <f t="shared" si="4"/>
        <v>14722265.444837587</v>
      </c>
      <c r="L41" s="88">
        <f t="shared" si="4"/>
        <v>44468055.961753279</v>
      </c>
      <c r="M41" s="88">
        <f t="shared" si="4"/>
        <v>33670316.23833923</v>
      </c>
      <c r="N41" s="88">
        <f>SUM(N33:N40)</f>
        <v>30635075.536646087</v>
      </c>
      <c r="O41" s="88">
        <f>SUM(O33:O40)</f>
        <v>35753802.256152779</v>
      </c>
    </row>
    <row r="42" spans="1:15" ht="16.5" customHeight="1" thickTop="1">
      <c r="A42" s="150"/>
      <c r="B42" s="149"/>
      <c r="C42" s="341"/>
      <c r="D42" s="341"/>
      <c r="E42" s="341"/>
      <c r="F42" s="341"/>
      <c r="G42" s="341"/>
      <c r="H42" s="341"/>
      <c r="I42" s="341"/>
      <c r="J42" s="341"/>
      <c r="K42" s="341"/>
      <c r="L42" s="341"/>
      <c r="M42" s="341"/>
      <c r="N42" s="341"/>
      <c r="O42" s="341"/>
    </row>
    <row r="43" spans="1:15" ht="16.5" customHeight="1">
      <c r="C43" s="341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341"/>
    </row>
    <row r="44" spans="1:15" ht="16.5" customHeight="1">
      <c r="C44" s="341"/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341"/>
    </row>
    <row r="45" spans="1:15">
      <c r="A45" s="145"/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</row>
    <row r="46" spans="1:15">
      <c r="A46" s="145"/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</row>
    <row r="47" spans="1:15">
      <c r="A47" s="145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</row>
    <row r="48" spans="1:15">
      <c r="A48" s="145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</row>
    <row r="49" spans="1:12">
      <c r="A49" s="145"/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</row>
    <row r="50" spans="1:12">
      <c r="A50" s="145"/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</row>
    <row r="51" spans="1:12">
      <c r="A51" s="145"/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</row>
    <row r="52" spans="1:12">
      <c r="A52" s="145"/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</row>
    <row r="53" spans="1:12">
      <c r="A53" s="145"/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</row>
    <row r="54" spans="1:12">
      <c r="A54" s="145"/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</row>
    <row r="55" spans="1:12">
      <c r="A55" s="145"/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</row>
    <row r="56" spans="1:12">
      <c r="A56" s="145"/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</row>
  </sheetData>
  <mergeCells count="1">
    <mergeCell ref="E1:H1"/>
  </mergeCells>
  <hyperlinks>
    <hyperlink ref="E1:H1" location="Indice!D3" display="ÍNDICE"/>
  </hyperlink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49">
    <tabColor rgb="FF92D050"/>
  </sheetPr>
  <dimension ref="A1:R31"/>
  <sheetViews>
    <sheetView showGridLines="0" workbookViewId="0">
      <selection activeCell="E2" sqref="E2:H2"/>
    </sheetView>
  </sheetViews>
  <sheetFormatPr baseColWidth="10" defaultRowHeight="9"/>
  <cols>
    <col min="1" max="1" width="4.5703125" style="122" customWidth="1"/>
    <col min="2" max="2" width="31.28515625" style="122" bestFit="1" customWidth="1"/>
    <col min="3" max="15" width="8.5703125" style="129" customWidth="1"/>
    <col min="16" max="16" width="13.85546875" style="122" customWidth="1"/>
    <col min="17" max="214" width="11.42578125" style="122"/>
    <col min="215" max="215" width="8.85546875" style="122" customWidth="1"/>
    <col min="216" max="216" width="35.7109375" style="122" bestFit="1" customWidth="1"/>
    <col min="217" max="217" width="5" style="122" customWidth="1"/>
    <col min="218" max="220" width="12.85546875" style="122" bestFit="1" customWidth="1"/>
    <col min="221" max="231" width="15.140625" style="122" customWidth="1"/>
    <col min="232" max="232" width="13.85546875" style="122" customWidth="1"/>
    <col min="233" max="233" width="11.42578125" style="122" customWidth="1"/>
    <col min="234" max="234" width="12" style="122" bestFit="1" customWidth="1"/>
    <col min="235" max="235" width="31.7109375" style="122" customWidth="1"/>
    <col min="236" max="236" width="13.85546875" style="122" customWidth="1"/>
    <col min="237" max="237" width="13.42578125" style="122" customWidth="1"/>
    <col min="238" max="241" width="16.140625" style="122" bestFit="1" customWidth="1"/>
    <col min="242" max="245" width="17.42578125" style="122" bestFit="1" customWidth="1"/>
    <col min="246" max="249" width="17.42578125" style="122" customWidth="1"/>
    <col min="250" max="250" width="27.28515625" style="122" customWidth="1"/>
    <col min="251" max="251" width="15.85546875" style="122" bestFit="1" customWidth="1"/>
    <col min="252" max="252" width="12.42578125" style="122" bestFit="1" customWidth="1"/>
    <col min="253" max="263" width="11.42578125" style="122" customWidth="1"/>
    <col min="264" max="264" width="17.140625" style="122" customWidth="1"/>
    <col min="265" max="265" width="11.42578125" style="122" customWidth="1"/>
    <col min="266" max="266" width="34.28515625" style="122" bestFit="1" customWidth="1"/>
    <col min="267" max="470" width="11.42578125" style="122"/>
    <col min="471" max="471" width="8.85546875" style="122" customWidth="1"/>
    <col min="472" max="472" width="35.7109375" style="122" bestFit="1" customWidth="1"/>
    <col min="473" max="473" width="5" style="122" customWidth="1"/>
    <col min="474" max="476" width="12.85546875" style="122" bestFit="1" customWidth="1"/>
    <col min="477" max="487" width="15.140625" style="122" customWidth="1"/>
    <col min="488" max="488" width="13.85546875" style="122" customWidth="1"/>
    <col min="489" max="489" width="11.42578125" style="122" customWidth="1"/>
    <col min="490" max="490" width="12" style="122" bestFit="1" customWidth="1"/>
    <col min="491" max="491" width="31.7109375" style="122" customWidth="1"/>
    <col min="492" max="492" width="13.85546875" style="122" customWidth="1"/>
    <col min="493" max="493" width="13.42578125" style="122" customWidth="1"/>
    <col min="494" max="497" width="16.140625" style="122" bestFit="1" customWidth="1"/>
    <col min="498" max="501" width="17.42578125" style="122" bestFit="1" customWidth="1"/>
    <col min="502" max="505" width="17.42578125" style="122" customWidth="1"/>
    <col min="506" max="506" width="27.28515625" style="122" customWidth="1"/>
    <col min="507" max="507" width="15.85546875" style="122" bestFit="1" customWidth="1"/>
    <col min="508" max="508" width="12.42578125" style="122" bestFit="1" customWidth="1"/>
    <col min="509" max="519" width="11.42578125" style="122" customWidth="1"/>
    <col min="520" max="520" width="17.140625" style="122" customWidth="1"/>
    <col min="521" max="521" width="11.42578125" style="122" customWidth="1"/>
    <col min="522" max="522" width="34.28515625" style="122" bestFit="1" customWidth="1"/>
    <col min="523" max="726" width="11.42578125" style="122"/>
    <col min="727" max="727" width="8.85546875" style="122" customWidth="1"/>
    <col min="728" max="728" width="35.7109375" style="122" bestFit="1" customWidth="1"/>
    <col min="729" max="729" width="5" style="122" customWidth="1"/>
    <col min="730" max="732" width="12.85546875" style="122" bestFit="1" customWidth="1"/>
    <col min="733" max="743" width="15.140625" style="122" customWidth="1"/>
    <col min="744" max="744" width="13.85546875" style="122" customWidth="1"/>
    <col min="745" max="745" width="11.42578125" style="122" customWidth="1"/>
    <col min="746" max="746" width="12" style="122" bestFit="1" customWidth="1"/>
    <col min="747" max="747" width="31.7109375" style="122" customWidth="1"/>
    <col min="748" max="748" width="13.85546875" style="122" customWidth="1"/>
    <col min="749" max="749" width="13.42578125" style="122" customWidth="1"/>
    <col min="750" max="753" width="16.140625" style="122" bestFit="1" customWidth="1"/>
    <col min="754" max="757" width="17.42578125" style="122" bestFit="1" customWidth="1"/>
    <col min="758" max="761" width="17.42578125" style="122" customWidth="1"/>
    <col min="762" max="762" width="27.28515625" style="122" customWidth="1"/>
    <col min="763" max="763" width="15.85546875" style="122" bestFit="1" customWidth="1"/>
    <col min="764" max="764" width="12.42578125" style="122" bestFit="1" customWidth="1"/>
    <col min="765" max="775" width="11.42578125" style="122" customWidth="1"/>
    <col min="776" max="776" width="17.140625" style="122" customWidth="1"/>
    <col min="777" max="777" width="11.42578125" style="122" customWidth="1"/>
    <col min="778" max="778" width="34.28515625" style="122" bestFit="1" customWidth="1"/>
    <col min="779" max="982" width="11.42578125" style="122"/>
    <col min="983" max="983" width="8.85546875" style="122" customWidth="1"/>
    <col min="984" max="984" width="35.7109375" style="122" bestFit="1" customWidth="1"/>
    <col min="985" max="985" width="5" style="122" customWidth="1"/>
    <col min="986" max="988" width="12.85546875" style="122" bestFit="1" customWidth="1"/>
    <col min="989" max="999" width="15.140625" style="122" customWidth="1"/>
    <col min="1000" max="1000" width="13.85546875" style="122" customWidth="1"/>
    <col min="1001" max="1001" width="11.42578125" style="122" customWidth="1"/>
    <col min="1002" max="1002" width="12" style="122" bestFit="1" customWidth="1"/>
    <col min="1003" max="1003" width="31.7109375" style="122" customWidth="1"/>
    <col min="1004" max="1004" width="13.85546875" style="122" customWidth="1"/>
    <col min="1005" max="1005" width="13.42578125" style="122" customWidth="1"/>
    <col min="1006" max="1009" width="16.140625" style="122" bestFit="1" customWidth="1"/>
    <col min="1010" max="1013" width="17.42578125" style="122" bestFit="1" customWidth="1"/>
    <col min="1014" max="1017" width="17.42578125" style="122" customWidth="1"/>
    <col min="1018" max="1018" width="27.28515625" style="122" customWidth="1"/>
    <col min="1019" max="1019" width="15.85546875" style="122" bestFit="1" customWidth="1"/>
    <col min="1020" max="1020" width="12.42578125" style="122" bestFit="1" customWidth="1"/>
    <col min="1021" max="1031" width="11.42578125" style="122" customWidth="1"/>
    <col min="1032" max="1032" width="17.140625" style="122" customWidth="1"/>
    <col min="1033" max="1033" width="11.42578125" style="122" customWidth="1"/>
    <col min="1034" max="1034" width="34.28515625" style="122" bestFit="1" customWidth="1"/>
    <col min="1035" max="1238" width="11.42578125" style="122"/>
    <col min="1239" max="1239" width="8.85546875" style="122" customWidth="1"/>
    <col min="1240" max="1240" width="35.7109375" style="122" bestFit="1" customWidth="1"/>
    <col min="1241" max="1241" width="5" style="122" customWidth="1"/>
    <col min="1242" max="1244" width="12.85546875" style="122" bestFit="1" customWidth="1"/>
    <col min="1245" max="1255" width="15.140625" style="122" customWidth="1"/>
    <col min="1256" max="1256" width="13.85546875" style="122" customWidth="1"/>
    <col min="1257" max="1257" width="11.42578125" style="122" customWidth="1"/>
    <col min="1258" max="1258" width="12" style="122" bestFit="1" customWidth="1"/>
    <col min="1259" max="1259" width="31.7109375" style="122" customWidth="1"/>
    <col min="1260" max="1260" width="13.85546875" style="122" customWidth="1"/>
    <col min="1261" max="1261" width="13.42578125" style="122" customWidth="1"/>
    <col min="1262" max="1265" width="16.140625" style="122" bestFit="1" customWidth="1"/>
    <col min="1266" max="1269" width="17.42578125" style="122" bestFit="1" customWidth="1"/>
    <col min="1270" max="1273" width="17.42578125" style="122" customWidth="1"/>
    <col min="1274" max="1274" width="27.28515625" style="122" customWidth="1"/>
    <col min="1275" max="1275" width="15.85546875" style="122" bestFit="1" customWidth="1"/>
    <col min="1276" max="1276" width="12.42578125" style="122" bestFit="1" customWidth="1"/>
    <col min="1277" max="1287" width="11.42578125" style="122" customWidth="1"/>
    <col min="1288" max="1288" width="17.140625" style="122" customWidth="1"/>
    <col min="1289" max="1289" width="11.42578125" style="122" customWidth="1"/>
    <col min="1290" max="1290" width="34.28515625" style="122" bestFit="1" customWidth="1"/>
    <col min="1291" max="1494" width="11.42578125" style="122"/>
    <col min="1495" max="1495" width="8.85546875" style="122" customWidth="1"/>
    <col min="1496" max="1496" width="35.7109375" style="122" bestFit="1" customWidth="1"/>
    <col min="1497" max="1497" width="5" style="122" customWidth="1"/>
    <col min="1498" max="1500" width="12.85546875" style="122" bestFit="1" customWidth="1"/>
    <col min="1501" max="1511" width="15.140625" style="122" customWidth="1"/>
    <col min="1512" max="1512" width="13.85546875" style="122" customWidth="1"/>
    <col min="1513" max="1513" width="11.42578125" style="122" customWidth="1"/>
    <col min="1514" max="1514" width="12" style="122" bestFit="1" customWidth="1"/>
    <col min="1515" max="1515" width="31.7109375" style="122" customWidth="1"/>
    <col min="1516" max="1516" width="13.85546875" style="122" customWidth="1"/>
    <col min="1517" max="1517" width="13.42578125" style="122" customWidth="1"/>
    <col min="1518" max="1521" width="16.140625" style="122" bestFit="1" customWidth="1"/>
    <col min="1522" max="1525" width="17.42578125" style="122" bestFit="1" customWidth="1"/>
    <col min="1526" max="1529" width="17.42578125" style="122" customWidth="1"/>
    <col min="1530" max="1530" width="27.28515625" style="122" customWidth="1"/>
    <col min="1531" max="1531" width="15.85546875" style="122" bestFit="1" customWidth="1"/>
    <col min="1532" max="1532" width="12.42578125" style="122" bestFit="1" customWidth="1"/>
    <col min="1533" max="1543" width="11.42578125" style="122" customWidth="1"/>
    <col min="1544" max="1544" width="17.140625" style="122" customWidth="1"/>
    <col min="1545" max="1545" width="11.42578125" style="122" customWidth="1"/>
    <col min="1546" max="1546" width="34.28515625" style="122" bestFit="1" customWidth="1"/>
    <col min="1547" max="1750" width="11.42578125" style="122"/>
    <col min="1751" max="1751" width="8.85546875" style="122" customWidth="1"/>
    <col min="1752" max="1752" width="35.7109375" style="122" bestFit="1" customWidth="1"/>
    <col min="1753" max="1753" width="5" style="122" customWidth="1"/>
    <col min="1754" max="1756" width="12.85546875" style="122" bestFit="1" customWidth="1"/>
    <col min="1757" max="1767" width="15.140625" style="122" customWidth="1"/>
    <col min="1768" max="1768" width="13.85546875" style="122" customWidth="1"/>
    <col min="1769" max="1769" width="11.42578125" style="122" customWidth="1"/>
    <col min="1770" max="1770" width="12" style="122" bestFit="1" customWidth="1"/>
    <col min="1771" max="1771" width="31.7109375" style="122" customWidth="1"/>
    <col min="1772" max="1772" width="13.85546875" style="122" customWidth="1"/>
    <col min="1773" max="1773" width="13.42578125" style="122" customWidth="1"/>
    <col min="1774" max="1777" width="16.140625" style="122" bestFit="1" customWidth="1"/>
    <col min="1778" max="1781" width="17.42578125" style="122" bestFit="1" customWidth="1"/>
    <col min="1782" max="1785" width="17.42578125" style="122" customWidth="1"/>
    <col min="1786" max="1786" width="27.28515625" style="122" customWidth="1"/>
    <col min="1787" max="1787" width="15.85546875" style="122" bestFit="1" customWidth="1"/>
    <col min="1788" max="1788" width="12.42578125" style="122" bestFit="1" customWidth="1"/>
    <col min="1789" max="1799" width="11.42578125" style="122" customWidth="1"/>
    <col min="1800" max="1800" width="17.140625" style="122" customWidth="1"/>
    <col min="1801" max="1801" width="11.42578125" style="122" customWidth="1"/>
    <col min="1802" max="1802" width="34.28515625" style="122" bestFit="1" customWidth="1"/>
    <col min="1803" max="2006" width="11.42578125" style="122"/>
    <col min="2007" max="2007" width="8.85546875" style="122" customWidth="1"/>
    <col min="2008" max="2008" width="35.7109375" style="122" bestFit="1" customWidth="1"/>
    <col min="2009" max="2009" width="5" style="122" customWidth="1"/>
    <col min="2010" max="2012" width="12.85546875" style="122" bestFit="1" customWidth="1"/>
    <col min="2013" max="2023" width="15.140625" style="122" customWidth="1"/>
    <col min="2024" max="2024" width="13.85546875" style="122" customWidth="1"/>
    <col min="2025" max="2025" width="11.42578125" style="122" customWidth="1"/>
    <col min="2026" max="2026" width="12" style="122" bestFit="1" customWidth="1"/>
    <col min="2027" max="2027" width="31.7109375" style="122" customWidth="1"/>
    <col min="2028" max="2028" width="13.85546875" style="122" customWidth="1"/>
    <col min="2029" max="2029" width="13.42578125" style="122" customWidth="1"/>
    <col min="2030" max="2033" width="16.140625" style="122" bestFit="1" customWidth="1"/>
    <col min="2034" max="2037" width="17.42578125" style="122" bestFit="1" customWidth="1"/>
    <col min="2038" max="2041" width="17.42578125" style="122" customWidth="1"/>
    <col min="2042" max="2042" width="27.28515625" style="122" customWidth="1"/>
    <col min="2043" max="2043" width="15.85546875" style="122" bestFit="1" customWidth="1"/>
    <col min="2044" max="2044" width="12.42578125" style="122" bestFit="1" customWidth="1"/>
    <col min="2045" max="2055" width="11.42578125" style="122" customWidth="1"/>
    <col min="2056" max="2056" width="17.140625" style="122" customWidth="1"/>
    <col min="2057" max="2057" width="11.42578125" style="122" customWidth="1"/>
    <col min="2058" max="2058" width="34.28515625" style="122" bestFit="1" customWidth="1"/>
    <col min="2059" max="2262" width="11.42578125" style="122"/>
    <col min="2263" max="2263" width="8.85546875" style="122" customWidth="1"/>
    <col min="2264" max="2264" width="35.7109375" style="122" bestFit="1" customWidth="1"/>
    <col min="2265" max="2265" width="5" style="122" customWidth="1"/>
    <col min="2266" max="2268" width="12.85546875" style="122" bestFit="1" customWidth="1"/>
    <col min="2269" max="2279" width="15.140625" style="122" customWidth="1"/>
    <col min="2280" max="2280" width="13.85546875" style="122" customWidth="1"/>
    <col min="2281" max="2281" width="11.42578125" style="122" customWidth="1"/>
    <col min="2282" max="2282" width="12" style="122" bestFit="1" customWidth="1"/>
    <col min="2283" max="2283" width="31.7109375" style="122" customWidth="1"/>
    <col min="2284" max="2284" width="13.85546875" style="122" customWidth="1"/>
    <col min="2285" max="2285" width="13.42578125" style="122" customWidth="1"/>
    <col min="2286" max="2289" width="16.140625" style="122" bestFit="1" customWidth="1"/>
    <col min="2290" max="2293" width="17.42578125" style="122" bestFit="1" customWidth="1"/>
    <col min="2294" max="2297" width="17.42578125" style="122" customWidth="1"/>
    <col min="2298" max="2298" width="27.28515625" style="122" customWidth="1"/>
    <col min="2299" max="2299" width="15.85546875" style="122" bestFit="1" customWidth="1"/>
    <col min="2300" max="2300" width="12.42578125" style="122" bestFit="1" customWidth="1"/>
    <col min="2301" max="2311" width="11.42578125" style="122" customWidth="1"/>
    <col min="2312" max="2312" width="17.140625" style="122" customWidth="1"/>
    <col min="2313" max="2313" width="11.42578125" style="122" customWidth="1"/>
    <col min="2314" max="2314" width="34.28515625" style="122" bestFit="1" customWidth="1"/>
    <col min="2315" max="2518" width="11.42578125" style="122"/>
    <col min="2519" max="2519" width="8.85546875" style="122" customWidth="1"/>
    <col min="2520" max="2520" width="35.7109375" style="122" bestFit="1" customWidth="1"/>
    <col min="2521" max="2521" width="5" style="122" customWidth="1"/>
    <col min="2522" max="2524" width="12.85546875" style="122" bestFit="1" customWidth="1"/>
    <col min="2525" max="2535" width="15.140625" style="122" customWidth="1"/>
    <col min="2536" max="2536" width="13.85546875" style="122" customWidth="1"/>
    <col min="2537" max="2537" width="11.42578125" style="122" customWidth="1"/>
    <col min="2538" max="2538" width="12" style="122" bestFit="1" customWidth="1"/>
    <col min="2539" max="2539" width="31.7109375" style="122" customWidth="1"/>
    <col min="2540" max="2540" width="13.85546875" style="122" customWidth="1"/>
    <col min="2541" max="2541" width="13.42578125" style="122" customWidth="1"/>
    <col min="2542" max="2545" width="16.140625" style="122" bestFit="1" customWidth="1"/>
    <col min="2546" max="2549" width="17.42578125" style="122" bestFit="1" customWidth="1"/>
    <col min="2550" max="2553" width="17.42578125" style="122" customWidth="1"/>
    <col min="2554" max="2554" width="27.28515625" style="122" customWidth="1"/>
    <col min="2555" max="2555" width="15.85546875" style="122" bestFit="1" customWidth="1"/>
    <col min="2556" max="2556" width="12.42578125" style="122" bestFit="1" customWidth="1"/>
    <col min="2557" max="2567" width="11.42578125" style="122" customWidth="1"/>
    <col min="2568" max="2568" width="17.140625" style="122" customWidth="1"/>
    <col min="2569" max="2569" width="11.42578125" style="122" customWidth="1"/>
    <col min="2570" max="2570" width="34.28515625" style="122" bestFit="1" customWidth="1"/>
    <col min="2571" max="2774" width="11.42578125" style="122"/>
    <col min="2775" max="2775" width="8.85546875" style="122" customWidth="1"/>
    <col min="2776" max="2776" width="35.7109375" style="122" bestFit="1" customWidth="1"/>
    <col min="2777" max="2777" width="5" style="122" customWidth="1"/>
    <col min="2778" max="2780" width="12.85546875" style="122" bestFit="1" customWidth="1"/>
    <col min="2781" max="2791" width="15.140625" style="122" customWidth="1"/>
    <col min="2792" max="2792" width="13.85546875" style="122" customWidth="1"/>
    <col min="2793" max="2793" width="11.42578125" style="122" customWidth="1"/>
    <col min="2794" max="2794" width="12" style="122" bestFit="1" customWidth="1"/>
    <col min="2795" max="2795" width="31.7109375" style="122" customWidth="1"/>
    <col min="2796" max="2796" width="13.85546875" style="122" customWidth="1"/>
    <col min="2797" max="2797" width="13.42578125" style="122" customWidth="1"/>
    <col min="2798" max="2801" width="16.140625" style="122" bestFit="1" customWidth="1"/>
    <col min="2802" max="2805" width="17.42578125" style="122" bestFit="1" customWidth="1"/>
    <col min="2806" max="2809" width="17.42578125" style="122" customWidth="1"/>
    <col min="2810" max="2810" width="27.28515625" style="122" customWidth="1"/>
    <col min="2811" max="2811" width="15.85546875" style="122" bestFit="1" customWidth="1"/>
    <col min="2812" max="2812" width="12.42578125" style="122" bestFit="1" customWidth="1"/>
    <col min="2813" max="2823" width="11.42578125" style="122" customWidth="1"/>
    <col min="2824" max="2824" width="17.140625" style="122" customWidth="1"/>
    <col min="2825" max="2825" width="11.42578125" style="122" customWidth="1"/>
    <col min="2826" max="2826" width="34.28515625" style="122" bestFit="1" customWidth="1"/>
    <col min="2827" max="3030" width="11.42578125" style="122"/>
    <col min="3031" max="3031" width="8.85546875" style="122" customWidth="1"/>
    <col min="3032" max="3032" width="35.7109375" style="122" bestFit="1" customWidth="1"/>
    <col min="3033" max="3033" width="5" style="122" customWidth="1"/>
    <col min="3034" max="3036" width="12.85546875" style="122" bestFit="1" customWidth="1"/>
    <col min="3037" max="3047" width="15.140625" style="122" customWidth="1"/>
    <col min="3048" max="3048" width="13.85546875" style="122" customWidth="1"/>
    <col min="3049" max="3049" width="11.42578125" style="122" customWidth="1"/>
    <col min="3050" max="3050" width="12" style="122" bestFit="1" customWidth="1"/>
    <col min="3051" max="3051" width="31.7109375" style="122" customWidth="1"/>
    <col min="3052" max="3052" width="13.85546875" style="122" customWidth="1"/>
    <col min="3053" max="3053" width="13.42578125" style="122" customWidth="1"/>
    <col min="3054" max="3057" width="16.140625" style="122" bestFit="1" customWidth="1"/>
    <col min="3058" max="3061" width="17.42578125" style="122" bestFit="1" customWidth="1"/>
    <col min="3062" max="3065" width="17.42578125" style="122" customWidth="1"/>
    <col min="3066" max="3066" width="27.28515625" style="122" customWidth="1"/>
    <col min="3067" max="3067" width="15.85546875" style="122" bestFit="1" customWidth="1"/>
    <col min="3068" max="3068" width="12.42578125" style="122" bestFit="1" customWidth="1"/>
    <col min="3069" max="3079" width="11.42578125" style="122" customWidth="1"/>
    <col min="3080" max="3080" width="17.140625" style="122" customWidth="1"/>
    <col min="3081" max="3081" width="11.42578125" style="122" customWidth="1"/>
    <col min="3082" max="3082" width="34.28515625" style="122" bestFit="1" customWidth="1"/>
    <col min="3083" max="3286" width="11.42578125" style="122"/>
    <col min="3287" max="3287" width="8.85546875" style="122" customWidth="1"/>
    <col min="3288" max="3288" width="35.7109375" style="122" bestFit="1" customWidth="1"/>
    <col min="3289" max="3289" width="5" style="122" customWidth="1"/>
    <col min="3290" max="3292" width="12.85546875" style="122" bestFit="1" customWidth="1"/>
    <col min="3293" max="3303" width="15.140625" style="122" customWidth="1"/>
    <col min="3304" max="3304" width="13.85546875" style="122" customWidth="1"/>
    <col min="3305" max="3305" width="11.42578125" style="122" customWidth="1"/>
    <col min="3306" max="3306" width="12" style="122" bestFit="1" customWidth="1"/>
    <col min="3307" max="3307" width="31.7109375" style="122" customWidth="1"/>
    <col min="3308" max="3308" width="13.85546875" style="122" customWidth="1"/>
    <col min="3309" max="3309" width="13.42578125" style="122" customWidth="1"/>
    <col min="3310" max="3313" width="16.140625" style="122" bestFit="1" customWidth="1"/>
    <col min="3314" max="3317" width="17.42578125" style="122" bestFit="1" customWidth="1"/>
    <col min="3318" max="3321" width="17.42578125" style="122" customWidth="1"/>
    <col min="3322" max="3322" width="27.28515625" style="122" customWidth="1"/>
    <col min="3323" max="3323" width="15.85546875" style="122" bestFit="1" customWidth="1"/>
    <col min="3324" max="3324" width="12.42578125" style="122" bestFit="1" customWidth="1"/>
    <col min="3325" max="3335" width="11.42578125" style="122" customWidth="1"/>
    <col min="3336" max="3336" width="17.140625" style="122" customWidth="1"/>
    <col min="3337" max="3337" width="11.42578125" style="122" customWidth="1"/>
    <col min="3338" max="3338" width="34.28515625" style="122" bestFit="1" customWidth="1"/>
    <col min="3339" max="3542" width="11.42578125" style="122"/>
    <col min="3543" max="3543" width="8.85546875" style="122" customWidth="1"/>
    <col min="3544" max="3544" width="35.7109375" style="122" bestFit="1" customWidth="1"/>
    <col min="3545" max="3545" width="5" style="122" customWidth="1"/>
    <col min="3546" max="3548" width="12.85546875" style="122" bestFit="1" customWidth="1"/>
    <col min="3549" max="3559" width="15.140625" style="122" customWidth="1"/>
    <col min="3560" max="3560" width="13.85546875" style="122" customWidth="1"/>
    <col min="3561" max="3561" width="11.42578125" style="122" customWidth="1"/>
    <col min="3562" max="3562" width="12" style="122" bestFit="1" customWidth="1"/>
    <col min="3563" max="3563" width="31.7109375" style="122" customWidth="1"/>
    <col min="3564" max="3564" width="13.85546875" style="122" customWidth="1"/>
    <col min="3565" max="3565" width="13.42578125" style="122" customWidth="1"/>
    <col min="3566" max="3569" width="16.140625" style="122" bestFit="1" customWidth="1"/>
    <col min="3570" max="3573" width="17.42578125" style="122" bestFit="1" customWidth="1"/>
    <col min="3574" max="3577" width="17.42578125" style="122" customWidth="1"/>
    <col min="3578" max="3578" width="27.28515625" style="122" customWidth="1"/>
    <col min="3579" max="3579" width="15.85546875" style="122" bestFit="1" customWidth="1"/>
    <col min="3580" max="3580" width="12.42578125" style="122" bestFit="1" customWidth="1"/>
    <col min="3581" max="3591" width="11.42578125" style="122" customWidth="1"/>
    <col min="3592" max="3592" width="17.140625" style="122" customWidth="1"/>
    <col min="3593" max="3593" width="11.42578125" style="122" customWidth="1"/>
    <col min="3594" max="3594" width="34.28515625" style="122" bestFit="1" customWidth="1"/>
    <col min="3595" max="3798" width="11.42578125" style="122"/>
    <col min="3799" max="3799" width="8.85546875" style="122" customWidth="1"/>
    <col min="3800" max="3800" width="35.7109375" style="122" bestFit="1" customWidth="1"/>
    <col min="3801" max="3801" width="5" style="122" customWidth="1"/>
    <col min="3802" max="3804" width="12.85546875" style="122" bestFit="1" customWidth="1"/>
    <col min="3805" max="3815" width="15.140625" style="122" customWidth="1"/>
    <col min="3816" max="3816" width="13.85546875" style="122" customWidth="1"/>
    <col min="3817" max="3817" width="11.42578125" style="122" customWidth="1"/>
    <col min="3818" max="3818" width="12" style="122" bestFit="1" customWidth="1"/>
    <col min="3819" max="3819" width="31.7109375" style="122" customWidth="1"/>
    <col min="3820" max="3820" width="13.85546875" style="122" customWidth="1"/>
    <col min="3821" max="3821" width="13.42578125" style="122" customWidth="1"/>
    <col min="3822" max="3825" width="16.140625" style="122" bestFit="1" customWidth="1"/>
    <col min="3826" max="3829" width="17.42578125" style="122" bestFit="1" customWidth="1"/>
    <col min="3830" max="3833" width="17.42578125" style="122" customWidth="1"/>
    <col min="3834" max="3834" width="27.28515625" style="122" customWidth="1"/>
    <col min="3835" max="3835" width="15.85546875" style="122" bestFit="1" customWidth="1"/>
    <col min="3836" max="3836" width="12.42578125" style="122" bestFit="1" customWidth="1"/>
    <col min="3837" max="3847" width="11.42578125" style="122" customWidth="1"/>
    <col min="3848" max="3848" width="17.140625" style="122" customWidth="1"/>
    <col min="3849" max="3849" width="11.42578125" style="122" customWidth="1"/>
    <col min="3850" max="3850" width="34.28515625" style="122" bestFit="1" customWidth="1"/>
    <col min="3851" max="4054" width="11.42578125" style="122"/>
    <col min="4055" max="4055" width="8.85546875" style="122" customWidth="1"/>
    <col min="4056" max="4056" width="35.7109375" style="122" bestFit="1" customWidth="1"/>
    <col min="4057" max="4057" width="5" style="122" customWidth="1"/>
    <col min="4058" max="4060" width="12.85546875" style="122" bestFit="1" customWidth="1"/>
    <col min="4061" max="4071" width="15.140625" style="122" customWidth="1"/>
    <col min="4072" max="4072" width="13.85546875" style="122" customWidth="1"/>
    <col min="4073" max="4073" width="11.42578125" style="122" customWidth="1"/>
    <col min="4074" max="4074" width="12" style="122" bestFit="1" customWidth="1"/>
    <col min="4075" max="4075" width="31.7109375" style="122" customWidth="1"/>
    <col min="4076" max="4076" width="13.85546875" style="122" customWidth="1"/>
    <col min="4077" max="4077" width="13.42578125" style="122" customWidth="1"/>
    <col min="4078" max="4081" width="16.140625" style="122" bestFit="1" customWidth="1"/>
    <col min="4082" max="4085" width="17.42578125" style="122" bestFit="1" customWidth="1"/>
    <col min="4086" max="4089" width="17.42578125" style="122" customWidth="1"/>
    <col min="4090" max="4090" width="27.28515625" style="122" customWidth="1"/>
    <col min="4091" max="4091" width="15.85546875" style="122" bestFit="1" customWidth="1"/>
    <col min="4092" max="4092" width="12.42578125" style="122" bestFit="1" customWidth="1"/>
    <col min="4093" max="4103" width="11.42578125" style="122" customWidth="1"/>
    <col min="4104" max="4104" width="17.140625" style="122" customWidth="1"/>
    <col min="4105" max="4105" width="11.42578125" style="122" customWidth="1"/>
    <col min="4106" max="4106" width="34.28515625" style="122" bestFit="1" customWidth="1"/>
    <col min="4107" max="4310" width="11.42578125" style="122"/>
    <col min="4311" max="4311" width="8.85546875" style="122" customWidth="1"/>
    <col min="4312" max="4312" width="35.7109375" style="122" bestFit="1" customWidth="1"/>
    <col min="4313" max="4313" width="5" style="122" customWidth="1"/>
    <col min="4314" max="4316" width="12.85546875" style="122" bestFit="1" customWidth="1"/>
    <col min="4317" max="4327" width="15.140625" style="122" customWidth="1"/>
    <col min="4328" max="4328" width="13.85546875" style="122" customWidth="1"/>
    <col min="4329" max="4329" width="11.42578125" style="122" customWidth="1"/>
    <col min="4330" max="4330" width="12" style="122" bestFit="1" customWidth="1"/>
    <col min="4331" max="4331" width="31.7109375" style="122" customWidth="1"/>
    <col min="4332" max="4332" width="13.85546875" style="122" customWidth="1"/>
    <col min="4333" max="4333" width="13.42578125" style="122" customWidth="1"/>
    <col min="4334" max="4337" width="16.140625" style="122" bestFit="1" customWidth="1"/>
    <col min="4338" max="4341" width="17.42578125" style="122" bestFit="1" customWidth="1"/>
    <col min="4342" max="4345" width="17.42578125" style="122" customWidth="1"/>
    <col min="4346" max="4346" width="27.28515625" style="122" customWidth="1"/>
    <col min="4347" max="4347" width="15.85546875" style="122" bestFit="1" customWidth="1"/>
    <col min="4348" max="4348" width="12.42578125" style="122" bestFit="1" customWidth="1"/>
    <col min="4349" max="4359" width="11.42578125" style="122" customWidth="1"/>
    <col min="4360" max="4360" width="17.140625" style="122" customWidth="1"/>
    <col min="4361" max="4361" width="11.42578125" style="122" customWidth="1"/>
    <col min="4362" max="4362" width="34.28515625" style="122" bestFit="1" customWidth="1"/>
    <col min="4363" max="4566" width="11.42578125" style="122"/>
    <col min="4567" max="4567" width="8.85546875" style="122" customWidth="1"/>
    <col min="4568" max="4568" width="35.7109375" style="122" bestFit="1" customWidth="1"/>
    <col min="4569" max="4569" width="5" style="122" customWidth="1"/>
    <col min="4570" max="4572" width="12.85546875" style="122" bestFit="1" customWidth="1"/>
    <col min="4573" max="4583" width="15.140625" style="122" customWidth="1"/>
    <col min="4584" max="4584" width="13.85546875" style="122" customWidth="1"/>
    <col min="4585" max="4585" width="11.42578125" style="122" customWidth="1"/>
    <col min="4586" max="4586" width="12" style="122" bestFit="1" customWidth="1"/>
    <col min="4587" max="4587" width="31.7109375" style="122" customWidth="1"/>
    <col min="4588" max="4588" width="13.85546875" style="122" customWidth="1"/>
    <col min="4589" max="4589" width="13.42578125" style="122" customWidth="1"/>
    <col min="4590" max="4593" width="16.140625" style="122" bestFit="1" customWidth="1"/>
    <col min="4594" max="4597" width="17.42578125" style="122" bestFit="1" customWidth="1"/>
    <col min="4598" max="4601" width="17.42578125" style="122" customWidth="1"/>
    <col min="4602" max="4602" width="27.28515625" style="122" customWidth="1"/>
    <col min="4603" max="4603" width="15.85546875" style="122" bestFit="1" customWidth="1"/>
    <col min="4604" max="4604" width="12.42578125" style="122" bestFit="1" customWidth="1"/>
    <col min="4605" max="4615" width="11.42578125" style="122" customWidth="1"/>
    <col min="4616" max="4616" width="17.140625" style="122" customWidth="1"/>
    <col min="4617" max="4617" width="11.42578125" style="122" customWidth="1"/>
    <col min="4618" max="4618" width="34.28515625" style="122" bestFit="1" customWidth="1"/>
    <col min="4619" max="4822" width="11.42578125" style="122"/>
    <col min="4823" max="4823" width="8.85546875" style="122" customWidth="1"/>
    <col min="4824" max="4824" width="35.7109375" style="122" bestFit="1" customWidth="1"/>
    <col min="4825" max="4825" width="5" style="122" customWidth="1"/>
    <col min="4826" max="4828" width="12.85546875" style="122" bestFit="1" customWidth="1"/>
    <col min="4829" max="4839" width="15.140625" style="122" customWidth="1"/>
    <col min="4840" max="4840" width="13.85546875" style="122" customWidth="1"/>
    <col min="4841" max="4841" width="11.42578125" style="122" customWidth="1"/>
    <col min="4842" max="4842" width="12" style="122" bestFit="1" customWidth="1"/>
    <col min="4843" max="4843" width="31.7109375" style="122" customWidth="1"/>
    <col min="4844" max="4844" width="13.85546875" style="122" customWidth="1"/>
    <col min="4845" max="4845" width="13.42578125" style="122" customWidth="1"/>
    <col min="4846" max="4849" width="16.140625" style="122" bestFit="1" customWidth="1"/>
    <col min="4850" max="4853" width="17.42578125" style="122" bestFit="1" customWidth="1"/>
    <col min="4854" max="4857" width="17.42578125" style="122" customWidth="1"/>
    <col min="4858" max="4858" width="27.28515625" style="122" customWidth="1"/>
    <col min="4859" max="4859" width="15.85546875" style="122" bestFit="1" customWidth="1"/>
    <col min="4860" max="4860" width="12.42578125" style="122" bestFit="1" customWidth="1"/>
    <col min="4861" max="4871" width="11.42578125" style="122" customWidth="1"/>
    <col min="4872" max="4872" width="17.140625" style="122" customWidth="1"/>
    <col min="4873" max="4873" width="11.42578125" style="122" customWidth="1"/>
    <col min="4874" max="4874" width="34.28515625" style="122" bestFit="1" customWidth="1"/>
    <col min="4875" max="5078" width="11.42578125" style="122"/>
    <col min="5079" max="5079" width="8.85546875" style="122" customWidth="1"/>
    <col min="5080" max="5080" width="35.7109375" style="122" bestFit="1" customWidth="1"/>
    <col min="5081" max="5081" width="5" style="122" customWidth="1"/>
    <col min="5082" max="5084" width="12.85546875" style="122" bestFit="1" customWidth="1"/>
    <col min="5085" max="5095" width="15.140625" style="122" customWidth="1"/>
    <col min="5096" max="5096" width="13.85546875" style="122" customWidth="1"/>
    <col min="5097" max="5097" width="11.42578125" style="122" customWidth="1"/>
    <col min="5098" max="5098" width="12" style="122" bestFit="1" customWidth="1"/>
    <col min="5099" max="5099" width="31.7109375" style="122" customWidth="1"/>
    <col min="5100" max="5100" width="13.85546875" style="122" customWidth="1"/>
    <col min="5101" max="5101" width="13.42578125" style="122" customWidth="1"/>
    <col min="5102" max="5105" width="16.140625" style="122" bestFit="1" customWidth="1"/>
    <col min="5106" max="5109" width="17.42578125" style="122" bestFit="1" customWidth="1"/>
    <col min="5110" max="5113" width="17.42578125" style="122" customWidth="1"/>
    <col min="5114" max="5114" width="27.28515625" style="122" customWidth="1"/>
    <col min="5115" max="5115" width="15.85546875" style="122" bestFit="1" customWidth="1"/>
    <col min="5116" max="5116" width="12.42578125" style="122" bestFit="1" customWidth="1"/>
    <col min="5117" max="5127" width="11.42578125" style="122" customWidth="1"/>
    <col min="5128" max="5128" width="17.140625" style="122" customWidth="1"/>
    <col min="5129" max="5129" width="11.42578125" style="122" customWidth="1"/>
    <col min="5130" max="5130" width="34.28515625" style="122" bestFit="1" customWidth="1"/>
    <col min="5131" max="5334" width="11.42578125" style="122"/>
    <col min="5335" max="5335" width="8.85546875" style="122" customWidth="1"/>
    <col min="5336" max="5336" width="35.7109375" style="122" bestFit="1" customWidth="1"/>
    <col min="5337" max="5337" width="5" style="122" customWidth="1"/>
    <col min="5338" max="5340" width="12.85546875" style="122" bestFit="1" customWidth="1"/>
    <col min="5341" max="5351" width="15.140625" style="122" customWidth="1"/>
    <col min="5352" max="5352" width="13.85546875" style="122" customWidth="1"/>
    <col min="5353" max="5353" width="11.42578125" style="122" customWidth="1"/>
    <col min="5354" max="5354" width="12" style="122" bestFit="1" customWidth="1"/>
    <col min="5355" max="5355" width="31.7109375" style="122" customWidth="1"/>
    <col min="5356" max="5356" width="13.85546875" style="122" customWidth="1"/>
    <col min="5357" max="5357" width="13.42578125" style="122" customWidth="1"/>
    <col min="5358" max="5361" width="16.140625" style="122" bestFit="1" customWidth="1"/>
    <col min="5362" max="5365" width="17.42578125" style="122" bestFit="1" customWidth="1"/>
    <col min="5366" max="5369" width="17.42578125" style="122" customWidth="1"/>
    <col min="5370" max="5370" width="27.28515625" style="122" customWidth="1"/>
    <col min="5371" max="5371" width="15.85546875" style="122" bestFit="1" customWidth="1"/>
    <col min="5372" max="5372" width="12.42578125" style="122" bestFit="1" customWidth="1"/>
    <col min="5373" max="5383" width="11.42578125" style="122" customWidth="1"/>
    <col min="5384" max="5384" width="17.140625" style="122" customWidth="1"/>
    <col min="5385" max="5385" width="11.42578125" style="122" customWidth="1"/>
    <col min="5386" max="5386" width="34.28515625" style="122" bestFit="1" customWidth="1"/>
    <col min="5387" max="5590" width="11.42578125" style="122"/>
    <col min="5591" max="5591" width="8.85546875" style="122" customWidth="1"/>
    <col min="5592" max="5592" width="35.7109375" style="122" bestFit="1" customWidth="1"/>
    <col min="5593" max="5593" width="5" style="122" customWidth="1"/>
    <col min="5594" max="5596" width="12.85546875" style="122" bestFit="1" customWidth="1"/>
    <col min="5597" max="5607" width="15.140625" style="122" customWidth="1"/>
    <col min="5608" max="5608" width="13.85546875" style="122" customWidth="1"/>
    <col min="5609" max="5609" width="11.42578125" style="122" customWidth="1"/>
    <col min="5610" max="5610" width="12" style="122" bestFit="1" customWidth="1"/>
    <col min="5611" max="5611" width="31.7109375" style="122" customWidth="1"/>
    <col min="5612" max="5612" width="13.85546875" style="122" customWidth="1"/>
    <col min="5613" max="5613" width="13.42578125" style="122" customWidth="1"/>
    <col min="5614" max="5617" width="16.140625" style="122" bestFit="1" customWidth="1"/>
    <col min="5618" max="5621" width="17.42578125" style="122" bestFit="1" customWidth="1"/>
    <col min="5622" max="5625" width="17.42578125" style="122" customWidth="1"/>
    <col min="5626" max="5626" width="27.28515625" style="122" customWidth="1"/>
    <col min="5627" max="5627" width="15.85546875" style="122" bestFit="1" customWidth="1"/>
    <col min="5628" max="5628" width="12.42578125" style="122" bestFit="1" customWidth="1"/>
    <col min="5629" max="5639" width="11.42578125" style="122" customWidth="1"/>
    <col min="5640" max="5640" width="17.140625" style="122" customWidth="1"/>
    <col min="5641" max="5641" width="11.42578125" style="122" customWidth="1"/>
    <col min="5642" max="5642" width="34.28515625" style="122" bestFit="1" customWidth="1"/>
    <col min="5643" max="5846" width="11.42578125" style="122"/>
    <col min="5847" max="5847" width="8.85546875" style="122" customWidth="1"/>
    <col min="5848" max="5848" width="35.7109375" style="122" bestFit="1" customWidth="1"/>
    <col min="5849" max="5849" width="5" style="122" customWidth="1"/>
    <col min="5850" max="5852" width="12.85546875" style="122" bestFit="1" customWidth="1"/>
    <col min="5853" max="5863" width="15.140625" style="122" customWidth="1"/>
    <col min="5864" max="5864" width="13.85546875" style="122" customWidth="1"/>
    <col min="5865" max="5865" width="11.42578125" style="122" customWidth="1"/>
    <col min="5866" max="5866" width="12" style="122" bestFit="1" customWidth="1"/>
    <col min="5867" max="5867" width="31.7109375" style="122" customWidth="1"/>
    <col min="5868" max="5868" width="13.85546875" style="122" customWidth="1"/>
    <col min="5869" max="5869" width="13.42578125" style="122" customWidth="1"/>
    <col min="5870" max="5873" width="16.140625" style="122" bestFit="1" customWidth="1"/>
    <col min="5874" max="5877" width="17.42578125" style="122" bestFit="1" customWidth="1"/>
    <col min="5878" max="5881" width="17.42578125" style="122" customWidth="1"/>
    <col min="5882" max="5882" width="27.28515625" style="122" customWidth="1"/>
    <col min="5883" max="5883" width="15.85546875" style="122" bestFit="1" customWidth="1"/>
    <col min="5884" max="5884" width="12.42578125" style="122" bestFit="1" customWidth="1"/>
    <col min="5885" max="5895" width="11.42578125" style="122" customWidth="1"/>
    <col min="5896" max="5896" width="17.140625" style="122" customWidth="1"/>
    <col min="5897" max="5897" width="11.42578125" style="122" customWidth="1"/>
    <col min="5898" max="5898" width="34.28515625" style="122" bestFit="1" customWidth="1"/>
    <col min="5899" max="6102" width="11.42578125" style="122"/>
    <col min="6103" max="6103" width="8.85546875" style="122" customWidth="1"/>
    <col min="6104" max="6104" width="35.7109375" style="122" bestFit="1" customWidth="1"/>
    <col min="6105" max="6105" width="5" style="122" customWidth="1"/>
    <col min="6106" max="6108" width="12.85546875" style="122" bestFit="1" customWidth="1"/>
    <col min="6109" max="6119" width="15.140625" style="122" customWidth="1"/>
    <col min="6120" max="6120" width="13.85546875" style="122" customWidth="1"/>
    <col min="6121" max="6121" width="11.42578125" style="122" customWidth="1"/>
    <col min="6122" max="6122" width="12" style="122" bestFit="1" customWidth="1"/>
    <col min="6123" max="6123" width="31.7109375" style="122" customWidth="1"/>
    <col min="6124" max="6124" width="13.85546875" style="122" customWidth="1"/>
    <col min="6125" max="6125" width="13.42578125" style="122" customWidth="1"/>
    <col min="6126" max="6129" width="16.140625" style="122" bestFit="1" customWidth="1"/>
    <col min="6130" max="6133" width="17.42578125" style="122" bestFit="1" customWidth="1"/>
    <col min="6134" max="6137" width="17.42578125" style="122" customWidth="1"/>
    <col min="6138" max="6138" width="27.28515625" style="122" customWidth="1"/>
    <col min="6139" max="6139" width="15.85546875" style="122" bestFit="1" customWidth="1"/>
    <col min="6140" max="6140" width="12.42578125" style="122" bestFit="1" customWidth="1"/>
    <col min="6141" max="6151" width="11.42578125" style="122" customWidth="1"/>
    <col min="6152" max="6152" width="17.140625" style="122" customWidth="1"/>
    <col min="6153" max="6153" width="11.42578125" style="122" customWidth="1"/>
    <col min="6154" max="6154" width="34.28515625" style="122" bestFit="1" customWidth="1"/>
    <col min="6155" max="6358" width="11.42578125" style="122"/>
    <col min="6359" max="6359" width="8.85546875" style="122" customWidth="1"/>
    <col min="6360" max="6360" width="35.7109375" style="122" bestFit="1" customWidth="1"/>
    <col min="6361" max="6361" width="5" style="122" customWidth="1"/>
    <col min="6362" max="6364" width="12.85546875" style="122" bestFit="1" customWidth="1"/>
    <col min="6365" max="6375" width="15.140625" style="122" customWidth="1"/>
    <col min="6376" max="6376" width="13.85546875" style="122" customWidth="1"/>
    <col min="6377" max="6377" width="11.42578125" style="122" customWidth="1"/>
    <col min="6378" max="6378" width="12" style="122" bestFit="1" customWidth="1"/>
    <col min="6379" max="6379" width="31.7109375" style="122" customWidth="1"/>
    <col min="6380" max="6380" width="13.85546875" style="122" customWidth="1"/>
    <col min="6381" max="6381" width="13.42578125" style="122" customWidth="1"/>
    <col min="6382" max="6385" width="16.140625" style="122" bestFit="1" customWidth="1"/>
    <col min="6386" max="6389" width="17.42578125" style="122" bestFit="1" customWidth="1"/>
    <col min="6390" max="6393" width="17.42578125" style="122" customWidth="1"/>
    <col min="6394" max="6394" width="27.28515625" style="122" customWidth="1"/>
    <col min="6395" max="6395" width="15.85546875" style="122" bestFit="1" customWidth="1"/>
    <col min="6396" max="6396" width="12.42578125" style="122" bestFit="1" customWidth="1"/>
    <col min="6397" max="6407" width="11.42578125" style="122" customWidth="1"/>
    <col min="6408" max="6408" width="17.140625" style="122" customWidth="1"/>
    <col min="6409" max="6409" width="11.42578125" style="122" customWidth="1"/>
    <col min="6410" max="6410" width="34.28515625" style="122" bestFit="1" customWidth="1"/>
    <col min="6411" max="6614" width="11.42578125" style="122"/>
    <col min="6615" max="6615" width="8.85546875" style="122" customWidth="1"/>
    <col min="6616" max="6616" width="35.7109375" style="122" bestFit="1" customWidth="1"/>
    <col min="6617" max="6617" width="5" style="122" customWidth="1"/>
    <col min="6618" max="6620" width="12.85546875" style="122" bestFit="1" customWidth="1"/>
    <col min="6621" max="6631" width="15.140625" style="122" customWidth="1"/>
    <col min="6632" max="6632" width="13.85546875" style="122" customWidth="1"/>
    <col min="6633" max="6633" width="11.42578125" style="122" customWidth="1"/>
    <col min="6634" max="6634" width="12" style="122" bestFit="1" customWidth="1"/>
    <col min="6635" max="6635" width="31.7109375" style="122" customWidth="1"/>
    <col min="6636" max="6636" width="13.85546875" style="122" customWidth="1"/>
    <col min="6637" max="6637" width="13.42578125" style="122" customWidth="1"/>
    <col min="6638" max="6641" width="16.140625" style="122" bestFit="1" customWidth="1"/>
    <col min="6642" max="6645" width="17.42578125" style="122" bestFit="1" customWidth="1"/>
    <col min="6646" max="6649" width="17.42578125" style="122" customWidth="1"/>
    <col min="6650" max="6650" width="27.28515625" style="122" customWidth="1"/>
    <col min="6651" max="6651" width="15.85546875" style="122" bestFit="1" customWidth="1"/>
    <col min="6652" max="6652" width="12.42578125" style="122" bestFit="1" customWidth="1"/>
    <col min="6653" max="6663" width="11.42578125" style="122" customWidth="1"/>
    <col min="6664" max="6664" width="17.140625" style="122" customWidth="1"/>
    <col min="6665" max="6665" width="11.42578125" style="122" customWidth="1"/>
    <col min="6666" max="6666" width="34.28515625" style="122" bestFit="1" customWidth="1"/>
    <col min="6667" max="6870" width="11.42578125" style="122"/>
    <col min="6871" max="6871" width="8.85546875" style="122" customWidth="1"/>
    <col min="6872" max="6872" width="35.7109375" style="122" bestFit="1" customWidth="1"/>
    <col min="6873" max="6873" width="5" style="122" customWidth="1"/>
    <col min="6874" max="6876" width="12.85546875" style="122" bestFit="1" customWidth="1"/>
    <col min="6877" max="6887" width="15.140625" style="122" customWidth="1"/>
    <col min="6888" max="6888" width="13.85546875" style="122" customWidth="1"/>
    <col min="6889" max="6889" width="11.42578125" style="122" customWidth="1"/>
    <col min="6890" max="6890" width="12" style="122" bestFit="1" customWidth="1"/>
    <col min="6891" max="6891" width="31.7109375" style="122" customWidth="1"/>
    <col min="6892" max="6892" width="13.85546875" style="122" customWidth="1"/>
    <col min="6893" max="6893" width="13.42578125" style="122" customWidth="1"/>
    <col min="6894" max="6897" width="16.140625" style="122" bestFit="1" customWidth="1"/>
    <col min="6898" max="6901" width="17.42578125" style="122" bestFit="1" customWidth="1"/>
    <col min="6902" max="6905" width="17.42578125" style="122" customWidth="1"/>
    <col min="6906" max="6906" width="27.28515625" style="122" customWidth="1"/>
    <col min="6907" max="6907" width="15.85546875" style="122" bestFit="1" customWidth="1"/>
    <col min="6908" max="6908" width="12.42578125" style="122" bestFit="1" customWidth="1"/>
    <col min="6909" max="6919" width="11.42578125" style="122" customWidth="1"/>
    <col min="6920" max="6920" width="17.140625" style="122" customWidth="1"/>
    <col min="6921" max="6921" width="11.42578125" style="122" customWidth="1"/>
    <col min="6922" max="6922" width="34.28515625" style="122" bestFit="1" customWidth="1"/>
    <col min="6923" max="7126" width="11.42578125" style="122"/>
    <col min="7127" max="7127" width="8.85546875" style="122" customWidth="1"/>
    <col min="7128" max="7128" width="35.7109375" style="122" bestFit="1" customWidth="1"/>
    <col min="7129" max="7129" width="5" style="122" customWidth="1"/>
    <col min="7130" max="7132" width="12.85546875" style="122" bestFit="1" customWidth="1"/>
    <col min="7133" max="7143" width="15.140625" style="122" customWidth="1"/>
    <col min="7144" max="7144" width="13.85546875" style="122" customWidth="1"/>
    <col min="7145" max="7145" width="11.42578125" style="122" customWidth="1"/>
    <col min="7146" max="7146" width="12" style="122" bestFit="1" customWidth="1"/>
    <col min="7147" max="7147" width="31.7109375" style="122" customWidth="1"/>
    <col min="7148" max="7148" width="13.85546875" style="122" customWidth="1"/>
    <col min="7149" max="7149" width="13.42578125" style="122" customWidth="1"/>
    <col min="7150" max="7153" width="16.140625" style="122" bestFit="1" customWidth="1"/>
    <col min="7154" max="7157" width="17.42578125" style="122" bestFit="1" customWidth="1"/>
    <col min="7158" max="7161" width="17.42578125" style="122" customWidth="1"/>
    <col min="7162" max="7162" width="27.28515625" style="122" customWidth="1"/>
    <col min="7163" max="7163" width="15.85546875" style="122" bestFit="1" customWidth="1"/>
    <col min="7164" max="7164" width="12.42578125" style="122" bestFit="1" customWidth="1"/>
    <col min="7165" max="7175" width="11.42578125" style="122" customWidth="1"/>
    <col min="7176" max="7176" width="17.140625" style="122" customWidth="1"/>
    <col min="7177" max="7177" width="11.42578125" style="122" customWidth="1"/>
    <col min="7178" max="7178" width="34.28515625" style="122" bestFit="1" customWidth="1"/>
    <col min="7179" max="7382" width="11.42578125" style="122"/>
    <col min="7383" max="7383" width="8.85546875" style="122" customWidth="1"/>
    <col min="7384" max="7384" width="35.7109375" style="122" bestFit="1" customWidth="1"/>
    <col min="7385" max="7385" width="5" style="122" customWidth="1"/>
    <col min="7386" max="7388" width="12.85546875" style="122" bestFit="1" customWidth="1"/>
    <col min="7389" max="7399" width="15.140625" style="122" customWidth="1"/>
    <col min="7400" max="7400" width="13.85546875" style="122" customWidth="1"/>
    <col min="7401" max="7401" width="11.42578125" style="122" customWidth="1"/>
    <col min="7402" max="7402" width="12" style="122" bestFit="1" customWidth="1"/>
    <col min="7403" max="7403" width="31.7109375" style="122" customWidth="1"/>
    <col min="7404" max="7404" width="13.85546875" style="122" customWidth="1"/>
    <col min="7405" max="7405" width="13.42578125" style="122" customWidth="1"/>
    <col min="7406" max="7409" width="16.140625" style="122" bestFit="1" customWidth="1"/>
    <col min="7410" max="7413" width="17.42578125" style="122" bestFit="1" customWidth="1"/>
    <col min="7414" max="7417" width="17.42578125" style="122" customWidth="1"/>
    <col min="7418" max="7418" width="27.28515625" style="122" customWidth="1"/>
    <col min="7419" max="7419" width="15.85546875" style="122" bestFit="1" customWidth="1"/>
    <col min="7420" max="7420" width="12.42578125" style="122" bestFit="1" customWidth="1"/>
    <col min="7421" max="7431" width="11.42578125" style="122" customWidth="1"/>
    <col min="7432" max="7432" width="17.140625" style="122" customWidth="1"/>
    <col min="7433" max="7433" width="11.42578125" style="122" customWidth="1"/>
    <col min="7434" max="7434" width="34.28515625" style="122" bestFit="1" customWidth="1"/>
    <col min="7435" max="7638" width="11.42578125" style="122"/>
    <col min="7639" max="7639" width="8.85546875" style="122" customWidth="1"/>
    <col min="7640" max="7640" width="35.7109375" style="122" bestFit="1" customWidth="1"/>
    <col min="7641" max="7641" width="5" style="122" customWidth="1"/>
    <col min="7642" max="7644" width="12.85546875" style="122" bestFit="1" customWidth="1"/>
    <col min="7645" max="7655" width="15.140625" style="122" customWidth="1"/>
    <col min="7656" max="7656" width="13.85546875" style="122" customWidth="1"/>
    <col min="7657" max="7657" width="11.42578125" style="122" customWidth="1"/>
    <col min="7658" max="7658" width="12" style="122" bestFit="1" customWidth="1"/>
    <col min="7659" max="7659" width="31.7109375" style="122" customWidth="1"/>
    <col min="7660" max="7660" width="13.85546875" style="122" customWidth="1"/>
    <col min="7661" max="7661" width="13.42578125" style="122" customWidth="1"/>
    <col min="7662" max="7665" width="16.140625" style="122" bestFit="1" customWidth="1"/>
    <col min="7666" max="7669" width="17.42578125" style="122" bestFit="1" customWidth="1"/>
    <col min="7670" max="7673" width="17.42578125" style="122" customWidth="1"/>
    <col min="7674" max="7674" width="27.28515625" style="122" customWidth="1"/>
    <col min="7675" max="7675" width="15.85546875" style="122" bestFit="1" customWidth="1"/>
    <col min="7676" max="7676" width="12.42578125" style="122" bestFit="1" customWidth="1"/>
    <col min="7677" max="7687" width="11.42578125" style="122" customWidth="1"/>
    <col min="7688" max="7688" width="17.140625" style="122" customWidth="1"/>
    <col min="7689" max="7689" width="11.42578125" style="122" customWidth="1"/>
    <col min="7690" max="7690" width="34.28515625" style="122" bestFit="1" customWidth="1"/>
    <col min="7691" max="7894" width="11.42578125" style="122"/>
    <col min="7895" max="7895" width="8.85546875" style="122" customWidth="1"/>
    <col min="7896" max="7896" width="35.7109375" style="122" bestFit="1" customWidth="1"/>
    <col min="7897" max="7897" width="5" style="122" customWidth="1"/>
    <col min="7898" max="7900" width="12.85546875" style="122" bestFit="1" customWidth="1"/>
    <col min="7901" max="7911" width="15.140625" style="122" customWidth="1"/>
    <col min="7912" max="7912" width="13.85546875" style="122" customWidth="1"/>
    <col min="7913" max="7913" width="11.42578125" style="122" customWidth="1"/>
    <col min="7914" max="7914" width="12" style="122" bestFit="1" customWidth="1"/>
    <col min="7915" max="7915" width="31.7109375" style="122" customWidth="1"/>
    <col min="7916" max="7916" width="13.85546875" style="122" customWidth="1"/>
    <col min="7917" max="7917" width="13.42578125" style="122" customWidth="1"/>
    <col min="7918" max="7921" width="16.140625" style="122" bestFit="1" customWidth="1"/>
    <col min="7922" max="7925" width="17.42578125" style="122" bestFit="1" customWidth="1"/>
    <col min="7926" max="7929" width="17.42578125" style="122" customWidth="1"/>
    <col min="7930" max="7930" width="27.28515625" style="122" customWidth="1"/>
    <col min="7931" max="7931" width="15.85546875" style="122" bestFit="1" customWidth="1"/>
    <col min="7932" max="7932" width="12.42578125" style="122" bestFit="1" customWidth="1"/>
    <col min="7933" max="7943" width="11.42578125" style="122" customWidth="1"/>
    <col min="7944" max="7944" width="17.140625" style="122" customWidth="1"/>
    <col min="7945" max="7945" width="11.42578125" style="122" customWidth="1"/>
    <col min="7946" max="7946" width="34.28515625" style="122" bestFit="1" customWidth="1"/>
    <col min="7947" max="8150" width="11.42578125" style="122"/>
    <col min="8151" max="8151" width="8.85546875" style="122" customWidth="1"/>
    <col min="8152" max="8152" width="35.7109375" style="122" bestFit="1" customWidth="1"/>
    <col min="8153" max="8153" width="5" style="122" customWidth="1"/>
    <col min="8154" max="8156" width="12.85546875" style="122" bestFit="1" customWidth="1"/>
    <col min="8157" max="8167" width="15.140625" style="122" customWidth="1"/>
    <col min="8168" max="8168" width="13.85546875" style="122" customWidth="1"/>
    <col min="8169" max="8169" width="11.42578125" style="122" customWidth="1"/>
    <col min="8170" max="8170" width="12" style="122" bestFit="1" customWidth="1"/>
    <col min="8171" max="8171" width="31.7109375" style="122" customWidth="1"/>
    <col min="8172" max="8172" width="13.85546875" style="122" customWidth="1"/>
    <col min="8173" max="8173" width="13.42578125" style="122" customWidth="1"/>
    <col min="8174" max="8177" width="16.140625" style="122" bestFit="1" customWidth="1"/>
    <col min="8178" max="8181" width="17.42578125" style="122" bestFit="1" customWidth="1"/>
    <col min="8182" max="8185" width="17.42578125" style="122" customWidth="1"/>
    <col min="8186" max="8186" width="27.28515625" style="122" customWidth="1"/>
    <col min="8187" max="8187" width="15.85546875" style="122" bestFit="1" customWidth="1"/>
    <col min="8188" max="8188" width="12.42578125" style="122" bestFit="1" customWidth="1"/>
    <col min="8189" max="8199" width="11.42578125" style="122" customWidth="1"/>
    <col min="8200" max="8200" width="17.140625" style="122" customWidth="1"/>
    <col min="8201" max="8201" width="11.42578125" style="122" customWidth="1"/>
    <col min="8202" max="8202" width="34.28515625" style="122" bestFit="1" customWidth="1"/>
    <col min="8203" max="8406" width="11.42578125" style="122"/>
    <col min="8407" max="8407" width="8.85546875" style="122" customWidth="1"/>
    <col min="8408" max="8408" width="35.7109375" style="122" bestFit="1" customWidth="1"/>
    <col min="8409" max="8409" width="5" style="122" customWidth="1"/>
    <col min="8410" max="8412" width="12.85546875" style="122" bestFit="1" customWidth="1"/>
    <col min="8413" max="8423" width="15.140625" style="122" customWidth="1"/>
    <col min="8424" max="8424" width="13.85546875" style="122" customWidth="1"/>
    <col min="8425" max="8425" width="11.42578125" style="122" customWidth="1"/>
    <col min="8426" max="8426" width="12" style="122" bestFit="1" customWidth="1"/>
    <col min="8427" max="8427" width="31.7109375" style="122" customWidth="1"/>
    <col min="8428" max="8428" width="13.85546875" style="122" customWidth="1"/>
    <col min="8429" max="8429" width="13.42578125" style="122" customWidth="1"/>
    <col min="8430" max="8433" width="16.140625" style="122" bestFit="1" customWidth="1"/>
    <col min="8434" max="8437" width="17.42578125" style="122" bestFit="1" customWidth="1"/>
    <col min="8438" max="8441" width="17.42578125" style="122" customWidth="1"/>
    <col min="8442" max="8442" width="27.28515625" style="122" customWidth="1"/>
    <col min="8443" max="8443" width="15.85546875" style="122" bestFit="1" customWidth="1"/>
    <col min="8444" max="8444" width="12.42578125" style="122" bestFit="1" customWidth="1"/>
    <col min="8445" max="8455" width="11.42578125" style="122" customWidth="1"/>
    <col min="8456" max="8456" width="17.140625" style="122" customWidth="1"/>
    <col min="8457" max="8457" width="11.42578125" style="122" customWidth="1"/>
    <col min="8458" max="8458" width="34.28515625" style="122" bestFit="1" customWidth="1"/>
    <col min="8459" max="8662" width="11.42578125" style="122"/>
    <col min="8663" max="8663" width="8.85546875" style="122" customWidth="1"/>
    <col min="8664" max="8664" width="35.7109375" style="122" bestFit="1" customWidth="1"/>
    <col min="8665" max="8665" width="5" style="122" customWidth="1"/>
    <col min="8666" max="8668" width="12.85546875" style="122" bestFit="1" customWidth="1"/>
    <col min="8669" max="8679" width="15.140625" style="122" customWidth="1"/>
    <col min="8680" max="8680" width="13.85546875" style="122" customWidth="1"/>
    <col min="8681" max="8681" width="11.42578125" style="122" customWidth="1"/>
    <col min="8682" max="8682" width="12" style="122" bestFit="1" customWidth="1"/>
    <col min="8683" max="8683" width="31.7109375" style="122" customWidth="1"/>
    <col min="8684" max="8684" width="13.85546875" style="122" customWidth="1"/>
    <col min="8685" max="8685" width="13.42578125" style="122" customWidth="1"/>
    <col min="8686" max="8689" width="16.140625" style="122" bestFit="1" customWidth="1"/>
    <col min="8690" max="8693" width="17.42578125" style="122" bestFit="1" customWidth="1"/>
    <col min="8694" max="8697" width="17.42578125" style="122" customWidth="1"/>
    <col min="8698" max="8698" width="27.28515625" style="122" customWidth="1"/>
    <col min="8699" max="8699" width="15.85546875" style="122" bestFit="1" customWidth="1"/>
    <col min="8700" max="8700" width="12.42578125" style="122" bestFit="1" customWidth="1"/>
    <col min="8701" max="8711" width="11.42578125" style="122" customWidth="1"/>
    <col min="8712" max="8712" width="17.140625" style="122" customWidth="1"/>
    <col min="8713" max="8713" width="11.42578125" style="122" customWidth="1"/>
    <col min="8714" max="8714" width="34.28515625" style="122" bestFit="1" customWidth="1"/>
    <col min="8715" max="8918" width="11.42578125" style="122"/>
    <col min="8919" max="8919" width="8.85546875" style="122" customWidth="1"/>
    <col min="8920" max="8920" width="35.7109375" style="122" bestFit="1" customWidth="1"/>
    <col min="8921" max="8921" width="5" style="122" customWidth="1"/>
    <col min="8922" max="8924" width="12.85546875" style="122" bestFit="1" customWidth="1"/>
    <col min="8925" max="8935" width="15.140625" style="122" customWidth="1"/>
    <col min="8936" max="8936" width="13.85546875" style="122" customWidth="1"/>
    <col min="8937" max="8937" width="11.42578125" style="122" customWidth="1"/>
    <col min="8938" max="8938" width="12" style="122" bestFit="1" customWidth="1"/>
    <col min="8939" max="8939" width="31.7109375" style="122" customWidth="1"/>
    <col min="8940" max="8940" width="13.85546875" style="122" customWidth="1"/>
    <col min="8941" max="8941" width="13.42578125" style="122" customWidth="1"/>
    <col min="8942" max="8945" width="16.140625" style="122" bestFit="1" customWidth="1"/>
    <col min="8946" max="8949" width="17.42578125" style="122" bestFit="1" customWidth="1"/>
    <col min="8950" max="8953" width="17.42578125" style="122" customWidth="1"/>
    <col min="8954" max="8954" width="27.28515625" style="122" customWidth="1"/>
    <col min="8955" max="8955" width="15.85546875" style="122" bestFit="1" customWidth="1"/>
    <col min="8956" max="8956" width="12.42578125" style="122" bestFit="1" customWidth="1"/>
    <col min="8957" max="8967" width="11.42578125" style="122" customWidth="1"/>
    <col min="8968" max="8968" width="17.140625" style="122" customWidth="1"/>
    <col min="8969" max="8969" width="11.42578125" style="122" customWidth="1"/>
    <col min="8970" max="8970" width="34.28515625" style="122" bestFit="1" customWidth="1"/>
    <col min="8971" max="9174" width="11.42578125" style="122"/>
    <col min="9175" max="9175" width="8.85546875" style="122" customWidth="1"/>
    <col min="9176" max="9176" width="35.7109375" style="122" bestFit="1" customWidth="1"/>
    <col min="9177" max="9177" width="5" style="122" customWidth="1"/>
    <col min="9178" max="9180" width="12.85546875" style="122" bestFit="1" customWidth="1"/>
    <col min="9181" max="9191" width="15.140625" style="122" customWidth="1"/>
    <col min="9192" max="9192" width="13.85546875" style="122" customWidth="1"/>
    <col min="9193" max="9193" width="11.42578125" style="122" customWidth="1"/>
    <col min="9194" max="9194" width="12" style="122" bestFit="1" customWidth="1"/>
    <col min="9195" max="9195" width="31.7109375" style="122" customWidth="1"/>
    <col min="9196" max="9196" width="13.85546875" style="122" customWidth="1"/>
    <col min="9197" max="9197" width="13.42578125" style="122" customWidth="1"/>
    <col min="9198" max="9201" width="16.140625" style="122" bestFit="1" customWidth="1"/>
    <col min="9202" max="9205" width="17.42578125" style="122" bestFit="1" customWidth="1"/>
    <col min="9206" max="9209" width="17.42578125" style="122" customWidth="1"/>
    <col min="9210" max="9210" width="27.28515625" style="122" customWidth="1"/>
    <col min="9211" max="9211" width="15.85546875" style="122" bestFit="1" customWidth="1"/>
    <col min="9212" max="9212" width="12.42578125" style="122" bestFit="1" customWidth="1"/>
    <col min="9213" max="9223" width="11.42578125" style="122" customWidth="1"/>
    <col min="9224" max="9224" width="17.140625" style="122" customWidth="1"/>
    <col min="9225" max="9225" width="11.42578125" style="122" customWidth="1"/>
    <col min="9226" max="9226" width="34.28515625" style="122" bestFit="1" customWidth="1"/>
    <col min="9227" max="9430" width="11.42578125" style="122"/>
    <col min="9431" max="9431" width="8.85546875" style="122" customWidth="1"/>
    <col min="9432" max="9432" width="35.7109375" style="122" bestFit="1" customWidth="1"/>
    <col min="9433" max="9433" width="5" style="122" customWidth="1"/>
    <col min="9434" max="9436" width="12.85546875" style="122" bestFit="1" customWidth="1"/>
    <col min="9437" max="9447" width="15.140625" style="122" customWidth="1"/>
    <col min="9448" max="9448" width="13.85546875" style="122" customWidth="1"/>
    <col min="9449" max="9449" width="11.42578125" style="122" customWidth="1"/>
    <col min="9450" max="9450" width="12" style="122" bestFit="1" customWidth="1"/>
    <col min="9451" max="9451" width="31.7109375" style="122" customWidth="1"/>
    <col min="9452" max="9452" width="13.85546875" style="122" customWidth="1"/>
    <col min="9453" max="9453" width="13.42578125" style="122" customWidth="1"/>
    <col min="9454" max="9457" width="16.140625" style="122" bestFit="1" customWidth="1"/>
    <col min="9458" max="9461" width="17.42578125" style="122" bestFit="1" customWidth="1"/>
    <col min="9462" max="9465" width="17.42578125" style="122" customWidth="1"/>
    <col min="9466" max="9466" width="27.28515625" style="122" customWidth="1"/>
    <col min="9467" max="9467" width="15.85546875" style="122" bestFit="1" customWidth="1"/>
    <col min="9468" max="9468" width="12.42578125" style="122" bestFit="1" customWidth="1"/>
    <col min="9469" max="9479" width="11.42578125" style="122" customWidth="1"/>
    <col min="9480" max="9480" width="17.140625" style="122" customWidth="1"/>
    <col min="9481" max="9481" width="11.42578125" style="122" customWidth="1"/>
    <col min="9482" max="9482" width="34.28515625" style="122" bestFit="1" customWidth="1"/>
    <col min="9483" max="9686" width="11.42578125" style="122"/>
    <col min="9687" max="9687" width="8.85546875" style="122" customWidth="1"/>
    <col min="9688" max="9688" width="35.7109375" style="122" bestFit="1" customWidth="1"/>
    <col min="9689" max="9689" width="5" style="122" customWidth="1"/>
    <col min="9690" max="9692" width="12.85546875" style="122" bestFit="1" customWidth="1"/>
    <col min="9693" max="9703" width="15.140625" style="122" customWidth="1"/>
    <col min="9704" max="9704" width="13.85546875" style="122" customWidth="1"/>
    <col min="9705" max="9705" width="11.42578125" style="122" customWidth="1"/>
    <col min="9706" max="9706" width="12" style="122" bestFit="1" customWidth="1"/>
    <col min="9707" max="9707" width="31.7109375" style="122" customWidth="1"/>
    <col min="9708" max="9708" width="13.85546875" style="122" customWidth="1"/>
    <col min="9709" max="9709" width="13.42578125" style="122" customWidth="1"/>
    <col min="9710" max="9713" width="16.140625" style="122" bestFit="1" customWidth="1"/>
    <col min="9714" max="9717" width="17.42578125" style="122" bestFit="1" customWidth="1"/>
    <col min="9718" max="9721" width="17.42578125" style="122" customWidth="1"/>
    <col min="9722" max="9722" width="27.28515625" style="122" customWidth="1"/>
    <col min="9723" max="9723" width="15.85546875" style="122" bestFit="1" customWidth="1"/>
    <col min="9724" max="9724" width="12.42578125" style="122" bestFit="1" customWidth="1"/>
    <col min="9725" max="9735" width="11.42578125" style="122" customWidth="1"/>
    <col min="9736" max="9736" width="17.140625" style="122" customWidth="1"/>
    <col min="9737" max="9737" width="11.42578125" style="122" customWidth="1"/>
    <col min="9738" max="9738" width="34.28515625" style="122" bestFit="1" customWidth="1"/>
    <col min="9739" max="9942" width="11.42578125" style="122"/>
    <col min="9943" max="9943" width="8.85546875" style="122" customWidth="1"/>
    <col min="9944" max="9944" width="35.7109375" style="122" bestFit="1" customWidth="1"/>
    <col min="9945" max="9945" width="5" style="122" customWidth="1"/>
    <col min="9946" max="9948" width="12.85546875" style="122" bestFit="1" customWidth="1"/>
    <col min="9949" max="9959" width="15.140625" style="122" customWidth="1"/>
    <col min="9960" max="9960" width="13.85546875" style="122" customWidth="1"/>
    <col min="9961" max="9961" width="11.42578125" style="122" customWidth="1"/>
    <col min="9962" max="9962" width="12" style="122" bestFit="1" customWidth="1"/>
    <col min="9963" max="9963" width="31.7109375" style="122" customWidth="1"/>
    <col min="9964" max="9964" width="13.85546875" style="122" customWidth="1"/>
    <col min="9965" max="9965" width="13.42578125" style="122" customWidth="1"/>
    <col min="9966" max="9969" width="16.140625" style="122" bestFit="1" customWidth="1"/>
    <col min="9970" max="9973" width="17.42578125" style="122" bestFit="1" customWidth="1"/>
    <col min="9974" max="9977" width="17.42578125" style="122" customWidth="1"/>
    <col min="9978" max="9978" width="27.28515625" style="122" customWidth="1"/>
    <col min="9979" max="9979" width="15.85546875" style="122" bestFit="1" customWidth="1"/>
    <col min="9980" max="9980" width="12.42578125" style="122" bestFit="1" customWidth="1"/>
    <col min="9981" max="9991" width="11.42578125" style="122" customWidth="1"/>
    <col min="9992" max="9992" width="17.140625" style="122" customWidth="1"/>
    <col min="9993" max="9993" width="11.42578125" style="122" customWidth="1"/>
    <col min="9994" max="9994" width="34.28515625" style="122" bestFit="1" customWidth="1"/>
    <col min="9995" max="10198" width="11.42578125" style="122"/>
    <col min="10199" max="10199" width="8.85546875" style="122" customWidth="1"/>
    <col min="10200" max="10200" width="35.7109375" style="122" bestFit="1" customWidth="1"/>
    <col min="10201" max="10201" width="5" style="122" customWidth="1"/>
    <col min="10202" max="10204" width="12.85546875" style="122" bestFit="1" customWidth="1"/>
    <col min="10205" max="10215" width="15.140625" style="122" customWidth="1"/>
    <col min="10216" max="10216" width="13.85546875" style="122" customWidth="1"/>
    <col min="10217" max="10217" width="11.42578125" style="122" customWidth="1"/>
    <col min="10218" max="10218" width="12" style="122" bestFit="1" customWidth="1"/>
    <col min="10219" max="10219" width="31.7109375" style="122" customWidth="1"/>
    <col min="10220" max="10220" width="13.85546875" style="122" customWidth="1"/>
    <col min="10221" max="10221" width="13.42578125" style="122" customWidth="1"/>
    <col min="10222" max="10225" width="16.140625" style="122" bestFit="1" customWidth="1"/>
    <col min="10226" max="10229" width="17.42578125" style="122" bestFit="1" customWidth="1"/>
    <col min="10230" max="10233" width="17.42578125" style="122" customWidth="1"/>
    <col min="10234" max="10234" width="27.28515625" style="122" customWidth="1"/>
    <col min="10235" max="10235" width="15.85546875" style="122" bestFit="1" customWidth="1"/>
    <col min="10236" max="10236" width="12.42578125" style="122" bestFit="1" customWidth="1"/>
    <col min="10237" max="10247" width="11.42578125" style="122" customWidth="1"/>
    <col min="10248" max="10248" width="17.140625" style="122" customWidth="1"/>
    <col min="10249" max="10249" width="11.42578125" style="122" customWidth="1"/>
    <col min="10250" max="10250" width="34.28515625" style="122" bestFit="1" customWidth="1"/>
    <col min="10251" max="10454" width="11.42578125" style="122"/>
    <col min="10455" max="10455" width="8.85546875" style="122" customWidth="1"/>
    <col min="10456" max="10456" width="35.7109375" style="122" bestFit="1" customWidth="1"/>
    <col min="10457" max="10457" width="5" style="122" customWidth="1"/>
    <col min="10458" max="10460" width="12.85546875" style="122" bestFit="1" customWidth="1"/>
    <col min="10461" max="10471" width="15.140625" style="122" customWidth="1"/>
    <col min="10472" max="10472" width="13.85546875" style="122" customWidth="1"/>
    <col min="10473" max="10473" width="11.42578125" style="122" customWidth="1"/>
    <col min="10474" max="10474" width="12" style="122" bestFit="1" customWidth="1"/>
    <col min="10475" max="10475" width="31.7109375" style="122" customWidth="1"/>
    <col min="10476" max="10476" width="13.85546875" style="122" customWidth="1"/>
    <col min="10477" max="10477" width="13.42578125" style="122" customWidth="1"/>
    <col min="10478" max="10481" width="16.140625" style="122" bestFit="1" customWidth="1"/>
    <col min="10482" max="10485" width="17.42578125" style="122" bestFit="1" customWidth="1"/>
    <col min="10486" max="10489" width="17.42578125" style="122" customWidth="1"/>
    <col min="10490" max="10490" width="27.28515625" style="122" customWidth="1"/>
    <col min="10491" max="10491" width="15.85546875" style="122" bestFit="1" customWidth="1"/>
    <col min="10492" max="10492" width="12.42578125" style="122" bestFit="1" customWidth="1"/>
    <col min="10493" max="10503" width="11.42578125" style="122" customWidth="1"/>
    <col min="10504" max="10504" width="17.140625" style="122" customWidth="1"/>
    <col min="10505" max="10505" width="11.42578125" style="122" customWidth="1"/>
    <col min="10506" max="10506" width="34.28515625" style="122" bestFit="1" customWidth="1"/>
    <col min="10507" max="10710" width="11.42578125" style="122"/>
    <col min="10711" max="10711" width="8.85546875" style="122" customWidth="1"/>
    <col min="10712" max="10712" width="35.7109375" style="122" bestFit="1" customWidth="1"/>
    <col min="10713" max="10713" width="5" style="122" customWidth="1"/>
    <col min="10714" max="10716" width="12.85546875" style="122" bestFit="1" customWidth="1"/>
    <col min="10717" max="10727" width="15.140625" style="122" customWidth="1"/>
    <col min="10728" max="10728" width="13.85546875" style="122" customWidth="1"/>
    <col min="10729" max="10729" width="11.42578125" style="122" customWidth="1"/>
    <col min="10730" max="10730" width="12" style="122" bestFit="1" customWidth="1"/>
    <col min="10731" max="10731" width="31.7109375" style="122" customWidth="1"/>
    <col min="10732" max="10732" width="13.85546875" style="122" customWidth="1"/>
    <col min="10733" max="10733" width="13.42578125" style="122" customWidth="1"/>
    <col min="10734" max="10737" width="16.140625" style="122" bestFit="1" customWidth="1"/>
    <col min="10738" max="10741" width="17.42578125" style="122" bestFit="1" customWidth="1"/>
    <col min="10742" max="10745" width="17.42578125" style="122" customWidth="1"/>
    <col min="10746" max="10746" width="27.28515625" style="122" customWidth="1"/>
    <col min="10747" max="10747" width="15.85546875" style="122" bestFit="1" customWidth="1"/>
    <col min="10748" max="10748" width="12.42578125" style="122" bestFit="1" customWidth="1"/>
    <col min="10749" max="10759" width="11.42578125" style="122" customWidth="1"/>
    <col min="10760" max="10760" width="17.140625" style="122" customWidth="1"/>
    <col min="10761" max="10761" width="11.42578125" style="122" customWidth="1"/>
    <col min="10762" max="10762" width="34.28515625" style="122" bestFit="1" customWidth="1"/>
    <col min="10763" max="10966" width="11.42578125" style="122"/>
    <col min="10967" max="10967" width="8.85546875" style="122" customWidth="1"/>
    <col min="10968" max="10968" width="35.7109375" style="122" bestFit="1" customWidth="1"/>
    <col min="10969" max="10969" width="5" style="122" customWidth="1"/>
    <col min="10970" max="10972" width="12.85546875" style="122" bestFit="1" customWidth="1"/>
    <col min="10973" max="10983" width="15.140625" style="122" customWidth="1"/>
    <col min="10984" max="10984" width="13.85546875" style="122" customWidth="1"/>
    <col min="10985" max="10985" width="11.42578125" style="122" customWidth="1"/>
    <col min="10986" max="10986" width="12" style="122" bestFit="1" customWidth="1"/>
    <col min="10987" max="10987" width="31.7109375" style="122" customWidth="1"/>
    <col min="10988" max="10988" width="13.85546875" style="122" customWidth="1"/>
    <col min="10989" max="10989" width="13.42578125" style="122" customWidth="1"/>
    <col min="10990" max="10993" width="16.140625" style="122" bestFit="1" customWidth="1"/>
    <col min="10994" max="10997" width="17.42578125" style="122" bestFit="1" customWidth="1"/>
    <col min="10998" max="11001" width="17.42578125" style="122" customWidth="1"/>
    <col min="11002" max="11002" width="27.28515625" style="122" customWidth="1"/>
    <col min="11003" max="11003" width="15.85546875" style="122" bestFit="1" customWidth="1"/>
    <col min="11004" max="11004" width="12.42578125" style="122" bestFit="1" customWidth="1"/>
    <col min="11005" max="11015" width="11.42578125" style="122" customWidth="1"/>
    <col min="11016" max="11016" width="17.140625" style="122" customWidth="1"/>
    <col min="11017" max="11017" width="11.42578125" style="122" customWidth="1"/>
    <col min="11018" max="11018" width="34.28515625" style="122" bestFit="1" customWidth="1"/>
    <col min="11019" max="11222" width="11.42578125" style="122"/>
    <col min="11223" max="11223" width="8.85546875" style="122" customWidth="1"/>
    <col min="11224" max="11224" width="35.7109375" style="122" bestFit="1" customWidth="1"/>
    <col min="11225" max="11225" width="5" style="122" customWidth="1"/>
    <col min="11226" max="11228" width="12.85546875" style="122" bestFit="1" customWidth="1"/>
    <col min="11229" max="11239" width="15.140625" style="122" customWidth="1"/>
    <col min="11240" max="11240" width="13.85546875" style="122" customWidth="1"/>
    <col min="11241" max="11241" width="11.42578125" style="122" customWidth="1"/>
    <col min="11242" max="11242" width="12" style="122" bestFit="1" customWidth="1"/>
    <col min="11243" max="11243" width="31.7109375" style="122" customWidth="1"/>
    <col min="11244" max="11244" width="13.85546875" style="122" customWidth="1"/>
    <col min="11245" max="11245" width="13.42578125" style="122" customWidth="1"/>
    <col min="11246" max="11249" width="16.140625" style="122" bestFit="1" customWidth="1"/>
    <col min="11250" max="11253" width="17.42578125" style="122" bestFit="1" customWidth="1"/>
    <col min="11254" max="11257" width="17.42578125" style="122" customWidth="1"/>
    <col min="11258" max="11258" width="27.28515625" style="122" customWidth="1"/>
    <col min="11259" max="11259" width="15.85546875" style="122" bestFit="1" customWidth="1"/>
    <col min="11260" max="11260" width="12.42578125" style="122" bestFit="1" customWidth="1"/>
    <col min="11261" max="11271" width="11.42578125" style="122" customWidth="1"/>
    <col min="11272" max="11272" width="17.140625" style="122" customWidth="1"/>
    <col min="11273" max="11273" width="11.42578125" style="122" customWidth="1"/>
    <col min="11274" max="11274" width="34.28515625" style="122" bestFit="1" customWidth="1"/>
    <col min="11275" max="11478" width="11.42578125" style="122"/>
    <col min="11479" max="11479" width="8.85546875" style="122" customWidth="1"/>
    <col min="11480" max="11480" width="35.7109375" style="122" bestFit="1" customWidth="1"/>
    <col min="11481" max="11481" width="5" style="122" customWidth="1"/>
    <col min="11482" max="11484" width="12.85546875" style="122" bestFit="1" customWidth="1"/>
    <col min="11485" max="11495" width="15.140625" style="122" customWidth="1"/>
    <col min="11496" max="11496" width="13.85546875" style="122" customWidth="1"/>
    <col min="11497" max="11497" width="11.42578125" style="122" customWidth="1"/>
    <col min="11498" max="11498" width="12" style="122" bestFit="1" customWidth="1"/>
    <col min="11499" max="11499" width="31.7109375" style="122" customWidth="1"/>
    <col min="11500" max="11500" width="13.85546875" style="122" customWidth="1"/>
    <col min="11501" max="11501" width="13.42578125" style="122" customWidth="1"/>
    <col min="11502" max="11505" width="16.140625" style="122" bestFit="1" customWidth="1"/>
    <col min="11506" max="11509" width="17.42578125" style="122" bestFit="1" customWidth="1"/>
    <col min="11510" max="11513" width="17.42578125" style="122" customWidth="1"/>
    <col min="11514" max="11514" width="27.28515625" style="122" customWidth="1"/>
    <col min="11515" max="11515" width="15.85546875" style="122" bestFit="1" customWidth="1"/>
    <col min="11516" max="11516" width="12.42578125" style="122" bestFit="1" customWidth="1"/>
    <col min="11517" max="11527" width="11.42578125" style="122" customWidth="1"/>
    <col min="11528" max="11528" width="17.140625" style="122" customWidth="1"/>
    <col min="11529" max="11529" width="11.42578125" style="122" customWidth="1"/>
    <col min="11530" max="11530" width="34.28515625" style="122" bestFit="1" customWidth="1"/>
    <col min="11531" max="11734" width="11.42578125" style="122"/>
    <col min="11735" max="11735" width="8.85546875" style="122" customWidth="1"/>
    <col min="11736" max="11736" width="35.7109375" style="122" bestFit="1" customWidth="1"/>
    <col min="11737" max="11737" width="5" style="122" customWidth="1"/>
    <col min="11738" max="11740" width="12.85546875" style="122" bestFit="1" customWidth="1"/>
    <col min="11741" max="11751" width="15.140625" style="122" customWidth="1"/>
    <col min="11752" max="11752" width="13.85546875" style="122" customWidth="1"/>
    <col min="11753" max="11753" width="11.42578125" style="122" customWidth="1"/>
    <col min="11754" max="11754" width="12" style="122" bestFit="1" customWidth="1"/>
    <col min="11755" max="11755" width="31.7109375" style="122" customWidth="1"/>
    <col min="11756" max="11756" width="13.85546875" style="122" customWidth="1"/>
    <col min="11757" max="11757" width="13.42578125" style="122" customWidth="1"/>
    <col min="11758" max="11761" width="16.140625" style="122" bestFit="1" customWidth="1"/>
    <col min="11762" max="11765" width="17.42578125" style="122" bestFit="1" customWidth="1"/>
    <col min="11766" max="11769" width="17.42578125" style="122" customWidth="1"/>
    <col min="11770" max="11770" width="27.28515625" style="122" customWidth="1"/>
    <col min="11771" max="11771" width="15.85546875" style="122" bestFit="1" customWidth="1"/>
    <col min="11772" max="11772" width="12.42578125" style="122" bestFit="1" customWidth="1"/>
    <col min="11773" max="11783" width="11.42578125" style="122" customWidth="1"/>
    <col min="11784" max="11784" width="17.140625" style="122" customWidth="1"/>
    <col min="11785" max="11785" width="11.42578125" style="122" customWidth="1"/>
    <col min="11786" max="11786" width="34.28515625" style="122" bestFit="1" customWidth="1"/>
    <col min="11787" max="11990" width="11.42578125" style="122"/>
    <col min="11991" max="11991" width="8.85546875" style="122" customWidth="1"/>
    <col min="11992" max="11992" width="35.7109375" style="122" bestFit="1" customWidth="1"/>
    <col min="11993" max="11993" width="5" style="122" customWidth="1"/>
    <col min="11994" max="11996" width="12.85546875" style="122" bestFit="1" customWidth="1"/>
    <col min="11997" max="12007" width="15.140625" style="122" customWidth="1"/>
    <col min="12008" max="12008" width="13.85546875" style="122" customWidth="1"/>
    <col min="12009" max="12009" width="11.42578125" style="122" customWidth="1"/>
    <col min="12010" max="12010" width="12" style="122" bestFit="1" customWidth="1"/>
    <col min="12011" max="12011" width="31.7109375" style="122" customWidth="1"/>
    <col min="12012" max="12012" width="13.85546875" style="122" customWidth="1"/>
    <col min="12013" max="12013" width="13.42578125" style="122" customWidth="1"/>
    <col min="12014" max="12017" width="16.140625" style="122" bestFit="1" customWidth="1"/>
    <col min="12018" max="12021" width="17.42578125" style="122" bestFit="1" customWidth="1"/>
    <col min="12022" max="12025" width="17.42578125" style="122" customWidth="1"/>
    <col min="12026" max="12026" width="27.28515625" style="122" customWidth="1"/>
    <col min="12027" max="12027" width="15.85546875" style="122" bestFit="1" customWidth="1"/>
    <col min="12028" max="12028" width="12.42578125" style="122" bestFit="1" customWidth="1"/>
    <col min="12029" max="12039" width="11.42578125" style="122" customWidth="1"/>
    <col min="12040" max="12040" width="17.140625" style="122" customWidth="1"/>
    <col min="12041" max="12041" width="11.42578125" style="122" customWidth="1"/>
    <col min="12042" max="12042" width="34.28515625" style="122" bestFit="1" customWidth="1"/>
    <col min="12043" max="12246" width="11.42578125" style="122"/>
    <col min="12247" max="12247" width="8.85546875" style="122" customWidth="1"/>
    <col min="12248" max="12248" width="35.7109375" style="122" bestFit="1" customWidth="1"/>
    <col min="12249" max="12249" width="5" style="122" customWidth="1"/>
    <col min="12250" max="12252" width="12.85546875" style="122" bestFit="1" customWidth="1"/>
    <col min="12253" max="12263" width="15.140625" style="122" customWidth="1"/>
    <col min="12264" max="12264" width="13.85546875" style="122" customWidth="1"/>
    <col min="12265" max="12265" width="11.42578125" style="122" customWidth="1"/>
    <col min="12266" max="12266" width="12" style="122" bestFit="1" customWidth="1"/>
    <col min="12267" max="12267" width="31.7109375" style="122" customWidth="1"/>
    <col min="12268" max="12268" width="13.85546875" style="122" customWidth="1"/>
    <col min="12269" max="12269" width="13.42578125" style="122" customWidth="1"/>
    <col min="12270" max="12273" width="16.140625" style="122" bestFit="1" customWidth="1"/>
    <col min="12274" max="12277" width="17.42578125" style="122" bestFit="1" customWidth="1"/>
    <col min="12278" max="12281" width="17.42578125" style="122" customWidth="1"/>
    <col min="12282" max="12282" width="27.28515625" style="122" customWidth="1"/>
    <col min="12283" max="12283" width="15.85546875" style="122" bestFit="1" customWidth="1"/>
    <col min="12284" max="12284" width="12.42578125" style="122" bestFit="1" customWidth="1"/>
    <col min="12285" max="12295" width="11.42578125" style="122" customWidth="1"/>
    <col min="12296" max="12296" width="17.140625" style="122" customWidth="1"/>
    <col min="12297" max="12297" width="11.42578125" style="122" customWidth="1"/>
    <col min="12298" max="12298" width="34.28515625" style="122" bestFit="1" customWidth="1"/>
    <col min="12299" max="12502" width="11.42578125" style="122"/>
    <col min="12503" max="12503" width="8.85546875" style="122" customWidth="1"/>
    <col min="12504" max="12504" width="35.7109375" style="122" bestFit="1" customWidth="1"/>
    <col min="12505" max="12505" width="5" style="122" customWidth="1"/>
    <col min="12506" max="12508" width="12.85546875" style="122" bestFit="1" customWidth="1"/>
    <col min="12509" max="12519" width="15.140625" style="122" customWidth="1"/>
    <col min="12520" max="12520" width="13.85546875" style="122" customWidth="1"/>
    <col min="12521" max="12521" width="11.42578125" style="122" customWidth="1"/>
    <col min="12522" max="12522" width="12" style="122" bestFit="1" customWidth="1"/>
    <col min="12523" max="12523" width="31.7109375" style="122" customWidth="1"/>
    <col min="12524" max="12524" width="13.85546875" style="122" customWidth="1"/>
    <col min="12525" max="12525" width="13.42578125" style="122" customWidth="1"/>
    <col min="12526" max="12529" width="16.140625" style="122" bestFit="1" customWidth="1"/>
    <col min="12530" max="12533" width="17.42578125" style="122" bestFit="1" customWidth="1"/>
    <col min="12534" max="12537" width="17.42578125" style="122" customWidth="1"/>
    <col min="12538" max="12538" width="27.28515625" style="122" customWidth="1"/>
    <col min="12539" max="12539" width="15.85546875" style="122" bestFit="1" customWidth="1"/>
    <col min="12540" max="12540" width="12.42578125" style="122" bestFit="1" customWidth="1"/>
    <col min="12541" max="12551" width="11.42578125" style="122" customWidth="1"/>
    <col min="12552" max="12552" width="17.140625" style="122" customWidth="1"/>
    <col min="12553" max="12553" width="11.42578125" style="122" customWidth="1"/>
    <col min="12554" max="12554" width="34.28515625" style="122" bestFit="1" customWidth="1"/>
    <col min="12555" max="12758" width="11.42578125" style="122"/>
    <col min="12759" max="12759" width="8.85546875" style="122" customWidth="1"/>
    <col min="12760" max="12760" width="35.7109375" style="122" bestFit="1" customWidth="1"/>
    <col min="12761" max="12761" width="5" style="122" customWidth="1"/>
    <col min="12762" max="12764" width="12.85546875" style="122" bestFit="1" customWidth="1"/>
    <col min="12765" max="12775" width="15.140625" style="122" customWidth="1"/>
    <col min="12776" max="12776" width="13.85546875" style="122" customWidth="1"/>
    <col min="12777" max="12777" width="11.42578125" style="122" customWidth="1"/>
    <col min="12778" max="12778" width="12" style="122" bestFit="1" customWidth="1"/>
    <col min="12779" max="12779" width="31.7109375" style="122" customWidth="1"/>
    <col min="12780" max="12780" width="13.85546875" style="122" customWidth="1"/>
    <col min="12781" max="12781" width="13.42578125" style="122" customWidth="1"/>
    <col min="12782" max="12785" width="16.140625" style="122" bestFit="1" customWidth="1"/>
    <col min="12786" max="12789" width="17.42578125" style="122" bestFit="1" customWidth="1"/>
    <col min="12790" max="12793" width="17.42578125" style="122" customWidth="1"/>
    <col min="12794" max="12794" width="27.28515625" style="122" customWidth="1"/>
    <col min="12795" max="12795" width="15.85546875" style="122" bestFit="1" customWidth="1"/>
    <col min="12796" max="12796" width="12.42578125" style="122" bestFit="1" customWidth="1"/>
    <col min="12797" max="12807" width="11.42578125" style="122" customWidth="1"/>
    <col min="12808" max="12808" width="17.140625" style="122" customWidth="1"/>
    <col min="12809" max="12809" width="11.42578125" style="122" customWidth="1"/>
    <col min="12810" max="12810" width="34.28515625" style="122" bestFit="1" customWidth="1"/>
    <col min="12811" max="13014" width="11.42578125" style="122"/>
    <col min="13015" max="13015" width="8.85546875" style="122" customWidth="1"/>
    <col min="13016" max="13016" width="35.7109375" style="122" bestFit="1" customWidth="1"/>
    <col min="13017" max="13017" width="5" style="122" customWidth="1"/>
    <col min="13018" max="13020" width="12.85546875" style="122" bestFit="1" customWidth="1"/>
    <col min="13021" max="13031" width="15.140625" style="122" customWidth="1"/>
    <col min="13032" max="13032" width="13.85546875" style="122" customWidth="1"/>
    <col min="13033" max="13033" width="11.42578125" style="122" customWidth="1"/>
    <col min="13034" max="13034" width="12" style="122" bestFit="1" customWidth="1"/>
    <col min="13035" max="13035" width="31.7109375" style="122" customWidth="1"/>
    <col min="13036" max="13036" width="13.85546875" style="122" customWidth="1"/>
    <col min="13037" max="13037" width="13.42578125" style="122" customWidth="1"/>
    <col min="13038" max="13041" width="16.140625" style="122" bestFit="1" customWidth="1"/>
    <col min="13042" max="13045" width="17.42578125" style="122" bestFit="1" customWidth="1"/>
    <col min="13046" max="13049" width="17.42578125" style="122" customWidth="1"/>
    <col min="13050" max="13050" width="27.28515625" style="122" customWidth="1"/>
    <col min="13051" max="13051" width="15.85546875" style="122" bestFit="1" customWidth="1"/>
    <col min="13052" max="13052" width="12.42578125" style="122" bestFit="1" customWidth="1"/>
    <col min="13053" max="13063" width="11.42578125" style="122" customWidth="1"/>
    <col min="13064" max="13064" width="17.140625" style="122" customWidth="1"/>
    <col min="13065" max="13065" width="11.42578125" style="122" customWidth="1"/>
    <col min="13066" max="13066" width="34.28515625" style="122" bestFit="1" customWidth="1"/>
    <col min="13067" max="13270" width="11.42578125" style="122"/>
    <col min="13271" max="13271" width="8.85546875" style="122" customWidth="1"/>
    <col min="13272" max="13272" width="35.7109375" style="122" bestFit="1" customWidth="1"/>
    <col min="13273" max="13273" width="5" style="122" customWidth="1"/>
    <col min="13274" max="13276" width="12.85546875" style="122" bestFit="1" customWidth="1"/>
    <col min="13277" max="13287" width="15.140625" style="122" customWidth="1"/>
    <col min="13288" max="13288" width="13.85546875" style="122" customWidth="1"/>
    <col min="13289" max="13289" width="11.42578125" style="122" customWidth="1"/>
    <col min="13290" max="13290" width="12" style="122" bestFit="1" customWidth="1"/>
    <col min="13291" max="13291" width="31.7109375" style="122" customWidth="1"/>
    <col min="13292" max="13292" width="13.85546875" style="122" customWidth="1"/>
    <col min="13293" max="13293" width="13.42578125" style="122" customWidth="1"/>
    <col min="13294" max="13297" width="16.140625" style="122" bestFit="1" customWidth="1"/>
    <col min="13298" max="13301" width="17.42578125" style="122" bestFit="1" customWidth="1"/>
    <col min="13302" max="13305" width="17.42578125" style="122" customWidth="1"/>
    <col min="13306" max="13306" width="27.28515625" style="122" customWidth="1"/>
    <col min="13307" max="13307" width="15.85546875" style="122" bestFit="1" customWidth="1"/>
    <col min="13308" max="13308" width="12.42578125" style="122" bestFit="1" customWidth="1"/>
    <col min="13309" max="13319" width="11.42578125" style="122" customWidth="1"/>
    <col min="13320" max="13320" width="17.140625" style="122" customWidth="1"/>
    <col min="13321" max="13321" width="11.42578125" style="122" customWidth="1"/>
    <col min="13322" max="13322" width="34.28515625" style="122" bestFit="1" customWidth="1"/>
    <col min="13323" max="13526" width="11.42578125" style="122"/>
    <col min="13527" max="13527" width="8.85546875" style="122" customWidth="1"/>
    <col min="13528" max="13528" width="35.7109375" style="122" bestFit="1" customWidth="1"/>
    <col min="13529" max="13529" width="5" style="122" customWidth="1"/>
    <col min="13530" max="13532" width="12.85546875" style="122" bestFit="1" customWidth="1"/>
    <col min="13533" max="13543" width="15.140625" style="122" customWidth="1"/>
    <col min="13544" max="13544" width="13.85546875" style="122" customWidth="1"/>
    <col min="13545" max="13545" width="11.42578125" style="122" customWidth="1"/>
    <col min="13546" max="13546" width="12" style="122" bestFit="1" customWidth="1"/>
    <col min="13547" max="13547" width="31.7109375" style="122" customWidth="1"/>
    <col min="13548" max="13548" width="13.85546875" style="122" customWidth="1"/>
    <col min="13549" max="13549" width="13.42578125" style="122" customWidth="1"/>
    <col min="13550" max="13553" width="16.140625" style="122" bestFit="1" customWidth="1"/>
    <col min="13554" max="13557" width="17.42578125" style="122" bestFit="1" customWidth="1"/>
    <col min="13558" max="13561" width="17.42578125" style="122" customWidth="1"/>
    <col min="13562" max="13562" width="27.28515625" style="122" customWidth="1"/>
    <col min="13563" max="13563" width="15.85546875" style="122" bestFit="1" customWidth="1"/>
    <col min="13564" max="13564" width="12.42578125" style="122" bestFit="1" customWidth="1"/>
    <col min="13565" max="13575" width="11.42578125" style="122" customWidth="1"/>
    <col min="13576" max="13576" width="17.140625" style="122" customWidth="1"/>
    <col min="13577" max="13577" width="11.42578125" style="122" customWidth="1"/>
    <col min="13578" max="13578" width="34.28515625" style="122" bestFit="1" customWidth="1"/>
    <col min="13579" max="13782" width="11.42578125" style="122"/>
    <col min="13783" max="13783" width="8.85546875" style="122" customWidth="1"/>
    <col min="13784" max="13784" width="35.7109375" style="122" bestFit="1" customWidth="1"/>
    <col min="13785" max="13785" width="5" style="122" customWidth="1"/>
    <col min="13786" max="13788" width="12.85546875" style="122" bestFit="1" customWidth="1"/>
    <col min="13789" max="13799" width="15.140625" style="122" customWidth="1"/>
    <col min="13800" max="13800" width="13.85546875" style="122" customWidth="1"/>
    <col min="13801" max="13801" width="11.42578125" style="122" customWidth="1"/>
    <col min="13802" max="13802" width="12" style="122" bestFit="1" customWidth="1"/>
    <col min="13803" max="13803" width="31.7109375" style="122" customWidth="1"/>
    <col min="13804" max="13804" width="13.85546875" style="122" customWidth="1"/>
    <col min="13805" max="13805" width="13.42578125" style="122" customWidth="1"/>
    <col min="13806" max="13809" width="16.140625" style="122" bestFit="1" customWidth="1"/>
    <col min="13810" max="13813" width="17.42578125" style="122" bestFit="1" customWidth="1"/>
    <col min="13814" max="13817" width="17.42578125" style="122" customWidth="1"/>
    <col min="13818" max="13818" width="27.28515625" style="122" customWidth="1"/>
    <col min="13819" max="13819" width="15.85546875" style="122" bestFit="1" customWidth="1"/>
    <col min="13820" max="13820" width="12.42578125" style="122" bestFit="1" customWidth="1"/>
    <col min="13821" max="13831" width="11.42578125" style="122" customWidth="1"/>
    <col min="13832" max="13832" width="17.140625" style="122" customWidth="1"/>
    <col min="13833" max="13833" width="11.42578125" style="122" customWidth="1"/>
    <col min="13834" max="13834" width="34.28515625" style="122" bestFit="1" customWidth="1"/>
    <col min="13835" max="14038" width="11.42578125" style="122"/>
    <col min="14039" max="14039" width="8.85546875" style="122" customWidth="1"/>
    <col min="14040" max="14040" width="35.7109375" style="122" bestFit="1" customWidth="1"/>
    <col min="14041" max="14041" width="5" style="122" customWidth="1"/>
    <col min="14042" max="14044" width="12.85546875" style="122" bestFit="1" customWidth="1"/>
    <col min="14045" max="14055" width="15.140625" style="122" customWidth="1"/>
    <col min="14056" max="14056" width="13.85546875" style="122" customWidth="1"/>
    <col min="14057" max="14057" width="11.42578125" style="122" customWidth="1"/>
    <col min="14058" max="14058" width="12" style="122" bestFit="1" customWidth="1"/>
    <col min="14059" max="14059" width="31.7109375" style="122" customWidth="1"/>
    <col min="14060" max="14060" width="13.85546875" style="122" customWidth="1"/>
    <col min="14061" max="14061" width="13.42578125" style="122" customWidth="1"/>
    <col min="14062" max="14065" width="16.140625" style="122" bestFit="1" customWidth="1"/>
    <col min="14066" max="14069" width="17.42578125" style="122" bestFit="1" customWidth="1"/>
    <col min="14070" max="14073" width="17.42578125" style="122" customWidth="1"/>
    <col min="14074" max="14074" width="27.28515625" style="122" customWidth="1"/>
    <col min="14075" max="14075" width="15.85546875" style="122" bestFit="1" customWidth="1"/>
    <col min="14076" max="14076" width="12.42578125" style="122" bestFit="1" customWidth="1"/>
    <col min="14077" max="14087" width="11.42578125" style="122" customWidth="1"/>
    <col min="14088" max="14088" width="17.140625" style="122" customWidth="1"/>
    <col min="14089" max="14089" width="11.42578125" style="122" customWidth="1"/>
    <col min="14090" max="14090" width="34.28515625" style="122" bestFit="1" customWidth="1"/>
    <col min="14091" max="14294" width="11.42578125" style="122"/>
    <col min="14295" max="14295" width="8.85546875" style="122" customWidth="1"/>
    <col min="14296" max="14296" width="35.7109375" style="122" bestFit="1" customWidth="1"/>
    <col min="14297" max="14297" width="5" style="122" customWidth="1"/>
    <col min="14298" max="14300" width="12.85546875" style="122" bestFit="1" customWidth="1"/>
    <col min="14301" max="14311" width="15.140625" style="122" customWidth="1"/>
    <col min="14312" max="14312" width="13.85546875" style="122" customWidth="1"/>
    <col min="14313" max="14313" width="11.42578125" style="122" customWidth="1"/>
    <col min="14314" max="14314" width="12" style="122" bestFit="1" customWidth="1"/>
    <col min="14315" max="14315" width="31.7109375" style="122" customWidth="1"/>
    <col min="14316" max="14316" width="13.85546875" style="122" customWidth="1"/>
    <col min="14317" max="14317" width="13.42578125" style="122" customWidth="1"/>
    <col min="14318" max="14321" width="16.140625" style="122" bestFit="1" customWidth="1"/>
    <col min="14322" max="14325" width="17.42578125" style="122" bestFit="1" customWidth="1"/>
    <col min="14326" max="14329" width="17.42578125" style="122" customWidth="1"/>
    <col min="14330" max="14330" width="27.28515625" style="122" customWidth="1"/>
    <col min="14331" max="14331" width="15.85546875" style="122" bestFit="1" customWidth="1"/>
    <col min="14332" max="14332" width="12.42578125" style="122" bestFit="1" customWidth="1"/>
    <col min="14333" max="14343" width="11.42578125" style="122" customWidth="1"/>
    <col min="14344" max="14344" width="17.140625" style="122" customWidth="1"/>
    <col min="14345" max="14345" width="11.42578125" style="122" customWidth="1"/>
    <col min="14346" max="14346" width="34.28515625" style="122" bestFit="1" customWidth="1"/>
    <col min="14347" max="14550" width="11.42578125" style="122"/>
    <col min="14551" max="14551" width="8.85546875" style="122" customWidth="1"/>
    <col min="14552" max="14552" width="35.7109375" style="122" bestFit="1" customWidth="1"/>
    <col min="14553" max="14553" width="5" style="122" customWidth="1"/>
    <col min="14554" max="14556" width="12.85546875" style="122" bestFit="1" customWidth="1"/>
    <col min="14557" max="14567" width="15.140625" style="122" customWidth="1"/>
    <col min="14568" max="14568" width="13.85546875" style="122" customWidth="1"/>
    <col min="14569" max="14569" width="11.42578125" style="122" customWidth="1"/>
    <col min="14570" max="14570" width="12" style="122" bestFit="1" customWidth="1"/>
    <col min="14571" max="14571" width="31.7109375" style="122" customWidth="1"/>
    <col min="14572" max="14572" width="13.85546875" style="122" customWidth="1"/>
    <col min="14573" max="14573" width="13.42578125" style="122" customWidth="1"/>
    <col min="14574" max="14577" width="16.140625" style="122" bestFit="1" customWidth="1"/>
    <col min="14578" max="14581" width="17.42578125" style="122" bestFit="1" customWidth="1"/>
    <col min="14582" max="14585" width="17.42578125" style="122" customWidth="1"/>
    <col min="14586" max="14586" width="27.28515625" style="122" customWidth="1"/>
    <col min="14587" max="14587" width="15.85546875" style="122" bestFit="1" customWidth="1"/>
    <col min="14588" max="14588" width="12.42578125" style="122" bestFit="1" customWidth="1"/>
    <col min="14589" max="14599" width="11.42578125" style="122" customWidth="1"/>
    <col min="14600" max="14600" width="17.140625" style="122" customWidth="1"/>
    <col min="14601" max="14601" width="11.42578125" style="122" customWidth="1"/>
    <col min="14602" max="14602" width="34.28515625" style="122" bestFit="1" customWidth="1"/>
    <col min="14603" max="14806" width="11.42578125" style="122"/>
    <col min="14807" max="14807" width="8.85546875" style="122" customWidth="1"/>
    <col min="14808" max="14808" width="35.7109375" style="122" bestFit="1" customWidth="1"/>
    <col min="14809" max="14809" width="5" style="122" customWidth="1"/>
    <col min="14810" max="14812" width="12.85546875" style="122" bestFit="1" customWidth="1"/>
    <col min="14813" max="14823" width="15.140625" style="122" customWidth="1"/>
    <col min="14824" max="14824" width="13.85546875" style="122" customWidth="1"/>
    <col min="14825" max="14825" width="11.42578125" style="122" customWidth="1"/>
    <col min="14826" max="14826" width="12" style="122" bestFit="1" customWidth="1"/>
    <col min="14827" max="14827" width="31.7109375" style="122" customWidth="1"/>
    <col min="14828" max="14828" width="13.85546875" style="122" customWidth="1"/>
    <col min="14829" max="14829" width="13.42578125" style="122" customWidth="1"/>
    <col min="14830" max="14833" width="16.140625" style="122" bestFit="1" customWidth="1"/>
    <col min="14834" max="14837" width="17.42578125" style="122" bestFit="1" customWidth="1"/>
    <col min="14838" max="14841" width="17.42578125" style="122" customWidth="1"/>
    <col min="14842" max="14842" width="27.28515625" style="122" customWidth="1"/>
    <col min="14843" max="14843" width="15.85546875" style="122" bestFit="1" customWidth="1"/>
    <col min="14844" max="14844" width="12.42578125" style="122" bestFit="1" customWidth="1"/>
    <col min="14845" max="14855" width="11.42578125" style="122" customWidth="1"/>
    <col min="14856" max="14856" width="17.140625" style="122" customWidth="1"/>
    <col min="14857" max="14857" width="11.42578125" style="122" customWidth="1"/>
    <col min="14858" max="14858" width="34.28515625" style="122" bestFit="1" customWidth="1"/>
    <col min="14859" max="15062" width="11.42578125" style="122"/>
    <col min="15063" max="15063" width="8.85546875" style="122" customWidth="1"/>
    <col min="15064" max="15064" width="35.7109375" style="122" bestFit="1" customWidth="1"/>
    <col min="15065" max="15065" width="5" style="122" customWidth="1"/>
    <col min="15066" max="15068" width="12.85546875" style="122" bestFit="1" customWidth="1"/>
    <col min="15069" max="15079" width="15.140625" style="122" customWidth="1"/>
    <col min="15080" max="15080" width="13.85546875" style="122" customWidth="1"/>
    <col min="15081" max="15081" width="11.42578125" style="122" customWidth="1"/>
    <col min="15082" max="15082" width="12" style="122" bestFit="1" customWidth="1"/>
    <col min="15083" max="15083" width="31.7109375" style="122" customWidth="1"/>
    <col min="15084" max="15084" width="13.85546875" style="122" customWidth="1"/>
    <col min="15085" max="15085" width="13.42578125" style="122" customWidth="1"/>
    <col min="15086" max="15089" width="16.140625" style="122" bestFit="1" customWidth="1"/>
    <col min="15090" max="15093" width="17.42578125" style="122" bestFit="1" customWidth="1"/>
    <col min="15094" max="15097" width="17.42578125" style="122" customWidth="1"/>
    <col min="15098" max="15098" width="27.28515625" style="122" customWidth="1"/>
    <col min="15099" max="15099" width="15.85546875" style="122" bestFit="1" customWidth="1"/>
    <col min="15100" max="15100" width="12.42578125" style="122" bestFit="1" customWidth="1"/>
    <col min="15101" max="15111" width="11.42578125" style="122" customWidth="1"/>
    <col min="15112" max="15112" width="17.140625" style="122" customWidth="1"/>
    <col min="15113" max="15113" width="11.42578125" style="122" customWidth="1"/>
    <col min="15114" max="15114" width="34.28515625" style="122" bestFit="1" customWidth="1"/>
    <col min="15115" max="15318" width="11.42578125" style="122"/>
    <col min="15319" max="15319" width="8.85546875" style="122" customWidth="1"/>
    <col min="15320" max="15320" width="35.7109375" style="122" bestFit="1" customWidth="1"/>
    <col min="15321" max="15321" width="5" style="122" customWidth="1"/>
    <col min="15322" max="15324" width="12.85546875" style="122" bestFit="1" customWidth="1"/>
    <col min="15325" max="15335" width="15.140625" style="122" customWidth="1"/>
    <col min="15336" max="15336" width="13.85546875" style="122" customWidth="1"/>
    <col min="15337" max="15337" width="11.42578125" style="122" customWidth="1"/>
    <col min="15338" max="15338" width="12" style="122" bestFit="1" customWidth="1"/>
    <col min="15339" max="15339" width="31.7109375" style="122" customWidth="1"/>
    <col min="15340" max="15340" width="13.85546875" style="122" customWidth="1"/>
    <col min="15341" max="15341" width="13.42578125" style="122" customWidth="1"/>
    <col min="15342" max="15345" width="16.140625" style="122" bestFit="1" customWidth="1"/>
    <col min="15346" max="15349" width="17.42578125" style="122" bestFit="1" customWidth="1"/>
    <col min="15350" max="15353" width="17.42578125" style="122" customWidth="1"/>
    <col min="15354" max="15354" width="27.28515625" style="122" customWidth="1"/>
    <col min="15355" max="15355" width="15.85546875" style="122" bestFit="1" customWidth="1"/>
    <col min="15356" max="15356" width="12.42578125" style="122" bestFit="1" customWidth="1"/>
    <col min="15357" max="15367" width="11.42578125" style="122" customWidth="1"/>
    <col min="15368" max="15368" width="17.140625" style="122" customWidth="1"/>
    <col min="15369" max="15369" width="11.42578125" style="122" customWidth="1"/>
    <col min="15370" max="15370" width="34.28515625" style="122" bestFit="1" customWidth="1"/>
    <col min="15371" max="15574" width="11.42578125" style="122"/>
    <col min="15575" max="15575" width="8.85546875" style="122" customWidth="1"/>
    <col min="15576" max="15576" width="35.7109375" style="122" bestFit="1" customWidth="1"/>
    <col min="15577" max="15577" width="5" style="122" customWidth="1"/>
    <col min="15578" max="15580" width="12.85546875" style="122" bestFit="1" customWidth="1"/>
    <col min="15581" max="15591" width="15.140625" style="122" customWidth="1"/>
    <col min="15592" max="15592" width="13.85546875" style="122" customWidth="1"/>
    <col min="15593" max="15593" width="11.42578125" style="122" customWidth="1"/>
    <col min="15594" max="15594" width="12" style="122" bestFit="1" customWidth="1"/>
    <col min="15595" max="15595" width="31.7109375" style="122" customWidth="1"/>
    <col min="15596" max="15596" width="13.85546875" style="122" customWidth="1"/>
    <col min="15597" max="15597" width="13.42578125" style="122" customWidth="1"/>
    <col min="15598" max="15601" width="16.140625" style="122" bestFit="1" customWidth="1"/>
    <col min="15602" max="15605" width="17.42578125" style="122" bestFit="1" customWidth="1"/>
    <col min="15606" max="15609" width="17.42578125" style="122" customWidth="1"/>
    <col min="15610" max="15610" width="27.28515625" style="122" customWidth="1"/>
    <col min="15611" max="15611" width="15.85546875" style="122" bestFit="1" customWidth="1"/>
    <col min="15612" max="15612" width="12.42578125" style="122" bestFit="1" customWidth="1"/>
    <col min="15613" max="15623" width="11.42578125" style="122" customWidth="1"/>
    <col min="15624" max="15624" width="17.140625" style="122" customWidth="1"/>
    <col min="15625" max="15625" width="11.42578125" style="122" customWidth="1"/>
    <col min="15626" max="15626" width="34.28515625" style="122" bestFit="1" customWidth="1"/>
    <col min="15627" max="15830" width="11.42578125" style="122"/>
    <col min="15831" max="15831" width="8.85546875" style="122" customWidth="1"/>
    <col min="15832" max="15832" width="35.7109375" style="122" bestFit="1" customWidth="1"/>
    <col min="15833" max="15833" width="5" style="122" customWidth="1"/>
    <col min="15834" max="15836" width="12.85546875" style="122" bestFit="1" customWidth="1"/>
    <col min="15837" max="15847" width="15.140625" style="122" customWidth="1"/>
    <col min="15848" max="15848" width="13.85546875" style="122" customWidth="1"/>
    <col min="15849" max="15849" width="11.42578125" style="122" customWidth="1"/>
    <col min="15850" max="15850" width="12" style="122" bestFit="1" customWidth="1"/>
    <col min="15851" max="15851" width="31.7109375" style="122" customWidth="1"/>
    <col min="15852" max="15852" width="13.85546875" style="122" customWidth="1"/>
    <col min="15853" max="15853" width="13.42578125" style="122" customWidth="1"/>
    <col min="15854" max="15857" width="16.140625" style="122" bestFit="1" customWidth="1"/>
    <col min="15858" max="15861" width="17.42578125" style="122" bestFit="1" customWidth="1"/>
    <col min="15862" max="15865" width="17.42578125" style="122" customWidth="1"/>
    <col min="15866" max="15866" width="27.28515625" style="122" customWidth="1"/>
    <col min="15867" max="15867" width="15.85546875" style="122" bestFit="1" customWidth="1"/>
    <col min="15868" max="15868" width="12.42578125" style="122" bestFit="1" customWidth="1"/>
    <col min="15869" max="15879" width="11.42578125" style="122" customWidth="1"/>
    <col min="15880" max="15880" width="17.140625" style="122" customWidth="1"/>
    <col min="15881" max="15881" width="11.42578125" style="122" customWidth="1"/>
    <col min="15882" max="15882" width="34.28515625" style="122" bestFit="1" customWidth="1"/>
    <col min="15883" max="16086" width="11.42578125" style="122"/>
    <col min="16087" max="16087" width="8.85546875" style="122" customWidth="1"/>
    <col min="16088" max="16088" width="35.7109375" style="122" bestFit="1" customWidth="1"/>
    <col min="16089" max="16089" width="5" style="122" customWidth="1"/>
    <col min="16090" max="16092" width="12.85546875" style="122" bestFit="1" customWidth="1"/>
    <col min="16093" max="16103" width="15.140625" style="122" customWidth="1"/>
    <col min="16104" max="16104" width="13.85546875" style="122" customWidth="1"/>
    <col min="16105" max="16105" width="11.42578125" style="122" customWidth="1"/>
    <col min="16106" max="16106" width="12" style="122" bestFit="1" customWidth="1"/>
    <col min="16107" max="16107" width="31.7109375" style="122" customWidth="1"/>
    <col min="16108" max="16108" width="13.85546875" style="122" customWidth="1"/>
    <col min="16109" max="16109" width="13.42578125" style="122" customWidth="1"/>
    <col min="16110" max="16113" width="16.140625" style="122" bestFit="1" customWidth="1"/>
    <col min="16114" max="16117" width="17.42578125" style="122" bestFit="1" customWidth="1"/>
    <col min="16118" max="16121" width="17.42578125" style="122" customWidth="1"/>
    <col min="16122" max="16122" width="27.28515625" style="122" customWidth="1"/>
    <col min="16123" max="16123" width="15.85546875" style="122" bestFit="1" customWidth="1"/>
    <col min="16124" max="16124" width="12.42578125" style="122" bestFit="1" customWidth="1"/>
    <col min="16125" max="16135" width="11.42578125" style="122" customWidth="1"/>
    <col min="16136" max="16136" width="17.140625" style="122" customWidth="1"/>
    <col min="16137" max="16137" width="11.42578125" style="122" customWidth="1"/>
    <col min="16138" max="16138" width="34.28515625" style="122" bestFit="1" customWidth="1"/>
    <col min="16139" max="16384" width="11.42578125" style="122"/>
  </cols>
  <sheetData>
    <row r="1" spans="1:18">
      <c r="A1" s="340"/>
      <c r="B1" s="120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8" ht="16.5" customHeight="1">
      <c r="E2" s="444" t="s">
        <v>555</v>
      </c>
      <c r="F2" s="444"/>
      <c r="G2" s="444"/>
      <c r="H2" s="444"/>
    </row>
    <row r="3" spans="1:18" ht="16.5" customHeight="1">
      <c r="C3" s="135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spans="1:18" ht="16.5" customHeight="1" thickBot="1">
      <c r="B4" s="88" t="s">
        <v>183</v>
      </c>
      <c r="C4" s="88">
        <v>2001</v>
      </c>
      <c r="D4" s="88">
        <v>2002</v>
      </c>
      <c r="E4" s="88">
        <v>2003</v>
      </c>
      <c r="F4" s="88">
        <v>2004</v>
      </c>
      <c r="G4" s="49" t="s">
        <v>469</v>
      </c>
      <c r="H4" s="88">
        <v>2005</v>
      </c>
      <c r="I4" s="88">
        <v>2006</v>
      </c>
      <c r="J4" s="88">
        <v>2007</v>
      </c>
      <c r="K4" s="88">
        <v>2008</v>
      </c>
      <c r="L4" s="88">
        <v>2009</v>
      </c>
      <c r="M4" s="88">
        <v>2010</v>
      </c>
      <c r="N4" s="88">
        <v>2011</v>
      </c>
      <c r="O4" s="88">
        <v>2012</v>
      </c>
      <c r="P4" s="125"/>
    </row>
    <row r="5" spans="1:18" ht="18.75" customHeight="1" thickTop="1">
      <c r="B5" s="219" t="s">
        <v>36</v>
      </c>
      <c r="C5" s="219">
        <f>(ValorNominalImplicito!$C$33/CantidadesdeCapital!$C$4)*CantidadesdeCapital!C4</f>
        <v>6697711.4926790455</v>
      </c>
      <c r="D5" s="219">
        <f>(ValorNominalImplicito!$C$33/CantidadesdeCapital!$C$4)*CantidadesdeCapital!D4</f>
        <v>6785469.5343375728</v>
      </c>
      <c r="E5" s="219">
        <f>(ValorNominalImplicito!$C$33/CantidadesdeCapital!$C$4)*CantidadesdeCapital!E4</f>
        <v>6575523.2970788786</v>
      </c>
      <c r="F5" s="219">
        <f>(ValorNominalImplicito!$C$33/CantidadesdeCapital!$C$4)*CantidadesdeCapital!F4</f>
        <v>6207277.3423150592</v>
      </c>
      <c r="G5" s="219">
        <f>(ValorNominalImplicito!$C$33/CantidadesdeCapital!$C$4)*CantidadesdeCapital!G4</f>
        <v>16670872.536363339</v>
      </c>
      <c r="H5" s="219">
        <f>(ValorNominalImplicito!$C$33/CantidadesdeCapital!$C$4)*CantidadesdeCapital!H4</f>
        <v>17577787.949955754</v>
      </c>
      <c r="I5" s="219">
        <f>(ValorNominalImplicito!$C$33/CantidadesdeCapital!$C$4)*CantidadesdeCapital!I4</f>
        <v>28447732.177046385</v>
      </c>
      <c r="J5" s="219">
        <f>(ValorNominalImplicito!$C$33/CantidadesdeCapital!$C$4)*CantidadesdeCapital!J4</f>
        <v>28505471.239548877</v>
      </c>
      <c r="K5" s="219">
        <f>(ValorNominalImplicito!$C$33/CantidadesdeCapital!$C$4)*CantidadesdeCapital!K4</f>
        <v>26896002.747852042</v>
      </c>
      <c r="L5" s="219">
        <f>(ValorNominalImplicito!$C$33/CantidadesdeCapital!$C$4)*CantidadesdeCapital!L4</f>
        <v>29264244.316684801</v>
      </c>
      <c r="M5" s="219">
        <f>(ValorNominalImplicito!$C$33/CantidadesdeCapital!$C$4)*CantidadesdeCapital!M4</f>
        <v>32352604.775977984</v>
      </c>
      <c r="N5" s="219">
        <f>(ValorNominalImplicito!$C$33/CantidadesdeCapital!$C$4)*CantidadesdeCapital!N4</f>
        <v>30487572.278165925</v>
      </c>
      <c r="O5" s="219">
        <f>(ValorNominalImplicito!$C$33/CantidadesdeCapital!$C$4)*CantidadesdeCapital!O4</f>
        <v>30353916.079234105</v>
      </c>
    </row>
    <row r="6" spans="1:18" s="120" customFormat="1" ht="18.75" customHeight="1">
      <c r="B6" s="220" t="s">
        <v>37</v>
      </c>
      <c r="C6" s="220">
        <f>(ValorNominalImplicito!$C$34/CantidadesdeCapital!$C$5)*CantidadesdeCapital!C5</f>
        <v>327234.35094305978</v>
      </c>
      <c r="D6" s="220">
        <f>(ValorNominalImplicito!$C$34/CantidadesdeCapital!$C$5)*CantidadesdeCapital!D5</f>
        <v>672454.51292531681</v>
      </c>
      <c r="E6" s="220">
        <f>(ValorNominalImplicito!$C$34/CantidadesdeCapital!$C$5)*CantidadesdeCapital!E5</f>
        <v>664023.82957840792</v>
      </c>
      <c r="F6" s="220">
        <f>(ValorNominalImplicito!$C$34/CantidadesdeCapital!$C$5)*CantidadesdeCapital!F5</f>
        <v>614885.56417579798</v>
      </c>
      <c r="G6" s="220">
        <f>(ValorNominalImplicito!$C$34/CantidadesdeCapital!$C$5)*CantidadesdeCapital!G5</f>
        <v>568125.7914370941</v>
      </c>
      <c r="H6" s="220">
        <f>(ValorNominalImplicito!$C$34/CantidadesdeCapital!$C$5)*CantidadesdeCapital!H5</f>
        <v>568125.7914370941</v>
      </c>
      <c r="I6" s="220">
        <f>(ValorNominalImplicito!$C$34/CantidadesdeCapital!$C$5)*CantidadesdeCapital!I5</f>
        <v>522621.58393363457</v>
      </c>
      <c r="J6" s="220">
        <f>(ValorNominalImplicito!$C$34/CantidadesdeCapital!$C$5)*CantidadesdeCapital!J5</f>
        <v>490306.19110292621</v>
      </c>
      <c r="K6" s="220">
        <f>(ValorNominalImplicito!$C$34/CantidadesdeCapital!$C$5)*CantidadesdeCapital!K5</f>
        <v>454709.1083160853</v>
      </c>
      <c r="L6" s="220">
        <f>(ValorNominalImplicito!$C$34/CantidadesdeCapital!$C$5)*CantidadesdeCapital!L5</f>
        <v>428102.07816571591</v>
      </c>
      <c r="M6" s="220">
        <f>(ValorNominalImplicito!$C$34/CantidadesdeCapital!$C$5)*CantidadesdeCapital!M5</f>
        <v>412090.87015585788</v>
      </c>
      <c r="N6" s="220">
        <f>(ValorNominalImplicito!$C$34/CantidadesdeCapital!$C$5)*CantidadesdeCapital!N5</f>
        <v>379367.4862063636</v>
      </c>
      <c r="O6" s="220">
        <f>(ValorNominalImplicito!$C$34/CantidadesdeCapital!$C$5)*CantidadesdeCapital!O5</f>
        <v>349126.06098193867</v>
      </c>
      <c r="Q6" s="122"/>
      <c r="R6" s="122"/>
    </row>
    <row r="7" spans="1:18" ht="18.75" customHeight="1">
      <c r="B7" s="219" t="s">
        <v>38</v>
      </c>
      <c r="C7" s="219">
        <f>(ValorNominalImplicito!$C$35/CantidadesdeCapital!$C$6)*CantidadesdeCapital!C6</f>
        <v>76753.088674660437</v>
      </c>
      <c r="D7" s="219">
        <f>(ValorNominalImplicito!$C$35/CantidadesdeCapital!$C$6)*CantidadesdeCapital!D6</f>
        <v>148784.03963772533</v>
      </c>
      <c r="E7" s="219">
        <f>(ValorNominalImplicito!$C$35/CantidadesdeCapital!$C$6)*CantidadesdeCapital!E6</f>
        <v>157227.28052202327</v>
      </c>
      <c r="F7" s="219">
        <f>(ValorNominalImplicito!$C$35/CantidadesdeCapital!$C$6)*CantidadesdeCapital!F6</f>
        <v>157418.48198985137</v>
      </c>
      <c r="G7" s="219">
        <f>(ValorNominalImplicito!$C$35/CantidadesdeCapital!$C$6)*CantidadesdeCapital!G6</f>
        <v>171620.11387626812</v>
      </c>
      <c r="H7" s="219">
        <f>(ValorNominalImplicito!$C$35/CantidadesdeCapital!$C$6)*CantidadesdeCapital!H6</f>
        <v>171620.11387626812</v>
      </c>
      <c r="I7" s="219">
        <f>(ValorNominalImplicito!$C$35/CantidadesdeCapital!$C$6)*CantidadesdeCapital!I6</f>
        <v>237329.38352112786</v>
      </c>
      <c r="J7" s="219">
        <f>(ValorNominalImplicito!$C$35/CantidadesdeCapital!$C$6)*CantidadesdeCapital!J6</f>
        <v>252203.89559271451</v>
      </c>
      <c r="K7" s="219">
        <f>(ValorNominalImplicito!$C$35/CantidadesdeCapital!$C$6)*CantidadesdeCapital!K6</f>
        <v>222059.45957669296</v>
      </c>
      <c r="L7" s="219">
        <f>(ValorNominalImplicito!$C$35/CantidadesdeCapital!$C$6)*CantidadesdeCapital!L6</f>
        <v>231080.26904360231</v>
      </c>
      <c r="M7" s="219">
        <f>(ValorNominalImplicito!$C$35/CantidadesdeCapital!$C$6)*CantidadesdeCapital!M6</f>
        <v>233633.00286333225</v>
      </c>
      <c r="N7" s="219">
        <f>(ValorNominalImplicito!$C$35/CantidadesdeCapital!$C$6)*CantidadesdeCapital!N6</f>
        <v>204028.48904695013</v>
      </c>
      <c r="O7" s="219">
        <f>(ValorNominalImplicito!$C$35/CantidadesdeCapital!$C$6)*CantidadesdeCapital!O6</f>
        <v>211767.28110924611</v>
      </c>
    </row>
    <row r="8" spans="1:18" ht="18.75" customHeight="1">
      <c r="B8" s="220" t="s">
        <v>135</v>
      </c>
      <c r="C8" s="220">
        <v>0</v>
      </c>
      <c r="D8" s="220">
        <f>(ValorNominalImplicito!$D$36/CantidadesdeCapital!$D$7)*CantidadesdeCapital!D7</f>
        <v>520848.87826322915</v>
      </c>
      <c r="E8" s="220">
        <f>(ValorNominalImplicito!$D$36/CantidadesdeCapital!$D$7)*CantidadesdeCapital!E7</f>
        <v>978926.89107912767</v>
      </c>
      <c r="F8" s="220">
        <f>(ValorNominalImplicito!$D$36/CantidadesdeCapital!$D$7)*CantidadesdeCapital!F7</f>
        <v>850374.78035079746</v>
      </c>
      <c r="G8" s="220">
        <f>(ValorNominalImplicito!$D$36/CantidadesdeCapital!$D$7)*CantidadesdeCapital!G7</f>
        <v>708926.14285706729</v>
      </c>
      <c r="H8" s="220">
        <f>(ValorNominalImplicito!$D$36/CantidadesdeCapital!$D$7)*CantidadesdeCapital!H7</f>
        <v>708926.14285706729</v>
      </c>
      <c r="I8" s="220">
        <f>(ValorNominalImplicito!$D$36/CantidadesdeCapital!$D$7)*CantidadesdeCapital!I7</f>
        <v>603495.63252687652</v>
      </c>
      <c r="J8" s="220">
        <f>(ValorNominalImplicito!$D$36/CantidadesdeCapital!$D$7)*CantidadesdeCapital!J7</f>
        <v>517207.09116844315</v>
      </c>
      <c r="K8" s="220">
        <f>(ValorNominalImplicito!$D$36/CantidadesdeCapital!$D$7)*CantidadesdeCapital!K7</f>
        <v>352995.52105059259</v>
      </c>
      <c r="L8" s="220">
        <f>(ValorNominalImplicito!$D$36/CantidadesdeCapital!$D$7)*CantidadesdeCapital!L7</f>
        <v>230696.61986564775</v>
      </c>
      <c r="M8" s="220">
        <f>(ValorNominalImplicito!$D$36/CantidadesdeCapital!$D$7)*CantidadesdeCapital!M7</f>
        <v>185929.44816802596</v>
      </c>
      <c r="N8" s="220">
        <f>(ValorNominalImplicito!$D$36/CantidadesdeCapital!$D$7)*CantidadesdeCapital!N7</f>
        <v>136673.09466220514</v>
      </c>
      <c r="O8" s="220">
        <f>(ValorNominalImplicito!$D$36/CantidadesdeCapital!$D$7)*CantidadesdeCapital!O7</f>
        <v>81932.048258742201</v>
      </c>
    </row>
    <row r="9" spans="1:18" ht="18.75" customHeight="1">
      <c r="B9" s="219" t="s">
        <v>136</v>
      </c>
      <c r="C9" s="219">
        <f>(ValorNominalImplicito!$C$37/CantidadesdeCapital!$C$8)*CantidadesdeCapital!C8</f>
        <v>75299.677277017501</v>
      </c>
      <c r="D9" s="219">
        <f>(ValorNominalImplicito!$C$37/CantidadesdeCapital!$C$8)*CantidadesdeCapital!D8</f>
        <v>168664.18500606512</v>
      </c>
      <c r="E9" s="219">
        <f>(ValorNominalImplicito!$C$37/CantidadesdeCapital!$C$8)*CantidadesdeCapital!E8</f>
        <v>180073.10875982323</v>
      </c>
      <c r="F9" s="219">
        <f>(ValorNominalImplicito!$C$37/CantidadesdeCapital!$C$8)*CantidadesdeCapital!F8</f>
        <v>184427.8152605684</v>
      </c>
      <c r="G9" s="219">
        <f>(ValorNominalImplicito!$C$37/CantidadesdeCapital!$C$8)*CantidadesdeCapital!G8</f>
        <v>161239.80276948804</v>
      </c>
      <c r="H9" s="219">
        <f>(ValorNominalImplicito!$C$37/CantidadesdeCapital!$C$8)*CantidadesdeCapital!H8</f>
        <v>161239.80276948804</v>
      </c>
      <c r="I9" s="219">
        <f>(ValorNominalImplicito!$C$37/CantidadesdeCapital!$C$8)*CantidadesdeCapital!I8</f>
        <v>112379.48174066983</v>
      </c>
      <c r="J9" s="219">
        <f>(ValorNominalImplicito!$C$37/CantidadesdeCapital!$C$8)*CantidadesdeCapital!J8</f>
        <v>87273.824204363584</v>
      </c>
      <c r="K9" s="219">
        <f>(ValorNominalImplicito!$C$37/CantidadesdeCapital!$C$8)*CantidadesdeCapital!K8</f>
        <v>88796.84851692649</v>
      </c>
      <c r="L9" s="219">
        <f>(ValorNominalImplicito!$C$37/CantidadesdeCapital!$C$8)*CantidadesdeCapital!L8</f>
        <v>105304.26811577824</v>
      </c>
      <c r="M9" s="219">
        <f>(ValorNominalImplicito!$C$37/CantidadesdeCapital!$C$8)*CantidadesdeCapital!M8</f>
        <v>119090.46856281823</v>
      </c>
      <c r="N9" s="219">
        <f>(ValorNominalImplicito!$C$37/CantidadesdeCapital!$C$8)*CantidadesdeCapital!N8</f>
        <v>119150.67127385968</v>
      </c>
      <c r="O9" s="219">
        <f>(ValorNominalImplicito!$C$37/CantidadesdeCapital!$C$8)*CantidadesdeCapital!O8</f>
        <v>102878.45042997226</v>
      </c>
    </row>
    <row r="10" spans="1:18" s="233" customFormat="1" ht="18.75" customHeight="1">
      <c r="B10" s="220" t="s">
        <v>137</v>
      </c>
      <c r="C10" s="220">
        <f>(ValorNominalImplicito!$C$38/CantidadesdeCapital!$C$9)*CantidadesdeCapital!C9</f>
        <v>45088.968834993982</v>
      </c>
      <c r="D10" s="220">
        <f>(ValorNominalImplicito!$C$38/CantidadesdeCapital!$C$9)*CantidadesdeCapital!D9</f>
        <v>104575.61301899565</v>
      </c>
      <c r="E10" s="220">
        <f>(ValorNominalImplicito!$C$38/CantidadesdeCapital!$C$9)*CantidadesdeCapital!E9</f>
        <v>127212.45871087858</v>
      </c>
      <c r="F10" s="220">
        <f>(ValorNominalImplicito!$C$38/CantidadesdeCapital!$C$9)*CantidadesdeCapital!F9</f>
        <v>131976.28684572599</v>
      </c>
      <c r="G10" s="220">
        <f>(ValorNominalImplicito!$C$38/CantidadesdeCapital!$C$9)*CantidadesdeCapital!G9</f>
        <v>116358.56342816312</v>
      </c>
      <c r="H10" s="220">
        <f>(ValorNominalImplicito!$C$38/CantidadesdeCapital!$C$9)*CantidadesdeCapital!H9</f>
        <v>116358.56342816312</v>
      </c>
      <c r="I10" s="220">
        <f>(ValorNominalImplicito!$C$38/CantidadesdeCapital!$C$9)*CantidadesdeCapital!I9</f>
        <v>199701.54826050863</v>
      </c>
      <c r="J10" s="220">
        <f>(ValorNominalImplicito!$C$38/CantidadesdeCapital!$C$9)*CantidadesdeCapital!J9</f>
        <v>282759.27624906535</v>
      </c>
      <c r="K10" s="220">
        <f>(ValorNominalImplicito!$C$38/CantidadesdeCapital!$C$9)*CantidadesdeCapital!K9</f>
        <v>274957.63597990933</v>
      </c>
      <c r="L10" s="220">
        <f>(ValorNominalImplicito!$C$38/CantidadesdeCapital!$C$9)*CantidadesdeCapital!L9</f>
        <v>282213.43901209149</v>
      </c>
      <c r="M10" s="220">
        <f>(ValorNominalImplicito!$C$38/CantidadesdeCapital!$C$9)*CantidadesdeCapital!M9</f>
        <v>271604.10565205954</v>
      </c>
      <c r="N10" s="220">
        <f>(ValorNominalImplicito!$C$38/CantidadesdeCapital!$C$9)*CantidadesdeCapital!N9</f>
        <v>235940.42388906426</v>
      </c>
      <c r="O10" s="220">
        <f>(ValorNominalImplicito!$C$38/CantidadesdeCapital!$C$9)*CantidadesdeCapital!O9</f>
        <v>276625.15270742378</v>
      </c>
      <c r="P10" s="266"/>
    </row>
    <row r="11" spans="1:18" ht="18.75" customHeight="1">
      <c r="B11" s="219" t="s">
        <v>138</v>
      </c>
      <c r="C11" s="219">
        <f>(ValorNominalImplicito!$C$39/CantidadesdeCapital!$C$10)*CantidadesdeCapital!C10</f>
        <v>179910.47405444665</v>
      </c>
      <c r="D11" s="219">
        <f>(ValorNominalImplicito!$C$39/CantidadesdeCapital!$C$10)*CantidadesdeCapital!D10</f>
        <v>203614.87005707636</v>
      </c>
      <c r="E11" s="219">
        <f>(ValorNominalImplicito!$C$39/CantidadesdeCapital!$C$10)*CantidadesdeCapital!E10</f>
        <v>162084.55223246556</v>
      </c>
      <c r="F11" s="219">
        <f>(ValorNominalImplicito!$C$39/CantidadesdeCapital!$C$10)*CantidadesdeCapital!F10</f>
        <v>114309.03554576654</v>
      </c>
      <c r="G11" s="219">
        <f>(ValorNominalImplicito!$C$39/CantidadesdeCapital!$C$10)*CantidadesdeCapital!G10</f>
        <v>68502.971112634958</v>
      </c>
      <c r="H11" s="219">
        <f>(ValorNominalImplicito!$C$39/CantidadesdeCapital!$C$10)*CantidadesdeCapital!H10</f>
        <v>68502.971112634958</v>
      </c>
      <c r="I11" s="219">
        <f>(ValorNominalImplicito!$C$39/CantidadesdeCapital!$C$10)*CantidadesdeCapital!I10</f>
        <v>46593.562678715847</v>
      </c>
      <c r="J11" s="219">
        <f>(ValorNominalImplicito!$C$39/CantidadesdeCapital!$C$10)*CantidadesdeCapital!J10</f>
        <v>55144.224341115376</v>
      </c>
      <c r="K11" s="219">
        <f>(ValorNominalImplicito!$C$39/CantidadesdeCapital!$C$10)*CantidadesdeCapital!K10</f>
        <v>49785.522016424729</v>
      </c>
      <c r="L11" s="219">
        <f>(ValorNominalImplicito!$C$39/CantidadesdeCapital!$C$10)*CantidadesdeCapital!L10</f>
        <v>36219.618928579403</v>
      </c>
      <c r="M11" s="219">
        <f>(ValorNominalImplicito!$C$39/CantidadesdeCapital!$C$10)*CantidadesdeCapital!M10</f>
        <v>31082.158080953624</v>
      </c>
      <c r="N11" s="219">
        <f>(ValorNominalImplicito!$C$39/CantidadesdeCapital!$C$10)*CantidadesdeCapital!N10</f>
        <v>24018.92723157362</v>
      </c>
      <c r="O11" s="219">
        <f>(ValorNominalImplicito!$C$39/CantidadesdeCapital!$C$10)*CantidadesdeCapital!O10</f>
        <v>16926.509355867733</v>
      </c>
      <c r="P11" s="151"/>
    </row>
    <row r="12" spans="1:18" ht="18.75" customHeight="1">
      <c r="B12" s="220" t="s">
        <v>33</v>
      </c>
      <c r="C12" s="220">
        <f>(ValorNominalImplicito!$C$40/CantidadesdeCapital!$C$11)*CantidadesdeCapital!C11</f>
        <v>94373.732006486389</v>
      </c>
      <c r="D12" s="220">
        <f>(ValorNominalImplicito!$C$40/CantidadesdeCapital!$C$11)*CantidadesdeCapital!D11</f>
        <v>89659.594308850079</v>
      </c>
      <c r="E12" s="220">
        <f>(ValorNominalImplicito!$C$40/CantidadesdeCapital!$C$11)*CantidadesdeCapital!E11</f>
        <v>84415.997585606223</v>
      </c>
      <c r="F12" s="220">
        <f>(ValorNominalImplicito!$C$40/CantidadesdeCapital!$C$11)*CantidadesdeCapital!F11</f>
        <v>73310.966168682033</v>
      </c>
      <c r="G12" s="220">
        <f>(ValorNominalImplicito!$C$40/CantidadesdeCapital!$C$11)*CantidadesdeCapital!G11</f>
        <v>61543.54796738064</v>
      </c>
      <c r="H12" s="220">
        <f>(ValorNominalImplicito!$C$40/CantidadesdeCapital!$C$11)*CantidadesdeCapital!H11</f>
        <v>61543.54796738064</v>
      </c>
      <c r="I12" s="220">
        <f>(ValorNominalImplicito!$C$40/CantidadesdeCapital!$C$11)*CantidadesdeCapital!I11</f>
        <v>149453.10654628224</v>
      </c>
      <c r="J12" s="220">
        <f>(ValorNominalImplicito!$C$40/CantidadesdeCapital!$C$11)*CantidadesdeCapital!J11</f>
        <v>225186.52351735742</v>
      </c>
      <c r="K12" s="220">
        <f>(ValorNominalImplicito!$C$40/CantidadesdeCapital!$C$11)*CantidadesdeCapital!K11</f>
        <v>190940.97200324869</v>
      </c>
      <c r="L12" s="220">
        <f>(ValorNominalImplicito!$C$40/CantidadesdeCapital!$C$11)*CantidadesdeCapital!L11</f>
        <v>177594.20602857083</v>
      </c>
      <c r="M12" s="220">
        <f>(ValorNominalImplicito!$C$40/CantidadesdeCapital!$C$11)*CantidadesdeCapital!M11</f>
        <v>161613.42757270209</v>
      </c>
      <c r="N12" s="220">
        <f>(ValorNominalImplicito!$C$40/CantidadesdeCapital!$C$11)*CantidadesdeCapital!N11</f>
        <v>133358.37145407419</v>
      </c>
      <c r="O12" s="220">
        <f>(ValorNominalImplicito!$C$40/CantidadesdeCapital!$C$11)*CantidadesdeCapital!O11</f>
        <v>121718.14497896458</v>
      </c>
      <c r="P12" s="151"/>
    </row>
    <row r="13" spans="1:18" ht="15.75" customHeight="1">
      <c r="A13" s="146"/>
      <c r="B13" s="134"/>
      <c r="C13" s="152"/>
      <c r="D13" s="152"/>
      <c r="E13" s="153"/>
      <c r="F13" s="154"/>
      <c r="G13" s="154"/>
      <c r="H13" s="154"/>
      <c r="I13" s="154"/>
      <c r="J13" s="154"/>
      <c r="K13" s="154"/>
      <c r="L13" s="154"/>
      <c r="M13" s="154"/>
      <c r="N13" s="154"/>
      <c r="O13" s="154"/>
    </row>
    <row r="14" spans="1:18" ht="15.75" customHeight="1">
      <c r="C14" s="135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</row>
    <row r="15" spans="1:18" ht="15.75" customHeight="1">
      <c r="A15" s="145"/>
      <c r="B15" s="14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34"/>
    </row>
    <row r="16" spans="1:18" ht="15.75" customHeight="1">
      <c r="A16" s="145"/>
      <c r="B16" s="14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34"/>
    </row>
    <row r="17" spans="1:16" ht="15.75" customHeight="1">
      <c r="A17" s="145"/>
      <c r="B17" s="14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34"/>
    </row>
    <row r="18" spans="1:16" ht="15.75" customHeight="1">
      <c r="A18" s="145"/>
      <c r="B18" s="14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34"/>
    </row>
    <row r="19" spans="1:16" ht="15.75" customHeight="1">
      <c r="A19" s="134"/>
      <c r="B19" s="13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34"/>
    </row>
    <row r="20" spans="1:16" ht="15.75" customHeight="1">
      <c r="A20" s="134"/>
      <c r="B20" s="13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34"/>
    </row>
    <row r="21" spans="1:16" ht="15.75" customHeight="1">
      <c r="A21" s="134"/>
      <c r="B21" s="13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34"/>
    </row>
    <row r="22" spans="1:16" ht="15.75" customHeight="1">
      <c r="A22" s="134"/>
      <c r="B22" s="13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34"/>
    </row>
    <row r="23" spans="1:16" ht="15.75" customHeight="1">
      <c r="A23" s="134"/>
      <c r="B23" s="13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34"/>
    </row>
    <row r="24" spans="1:16" ht="15.75" customHeight="1">
      <c r="A24" s="134"/>
      <c r="B24" s="13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34"/>
    </row>
    <row r="25" spans="1:16" ht="15.75" customHeight="1"/>
    <row r="26" spans="1:16" ht="15.75" customHeight="1"/>
    <row r="27" spans="1:16" ht="15.75" customHeight="1"/>
    <row r="28" spans="1:16" ht="15.75" customHeight="1"/>
    <row r="29" spans="1:16" ht="15.75" customHeight="1"/>
    <row r="30" spans="1:16" ht="15.75" customHeight="1"/>
    <row r="31" spans="1:16" ht="15.75" customHeight="1"/>
  </sheetData>
  <mergeCells count="1">
    <mergeCell ref="E2:H2"/>
  </mergeCells>
  <hyperlinks>
    <hyperlink ref="E2:H2" location="Indice!D3" display="ÍNDICE"/>
  </hyperlink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47">
    <tabColor rgb="FF92D050"/>
  </sheetPr>
  <dimension ref="A1:S36"/>
  <sheetViews>
    <sheetView showGridLines="0" workbookViewId="0">
      <selection activeCell="G3" sqref="G3:H3"/>
    </sheetView>
  </sheetViews>
  <sheetFormatPr baseColWidth="10" defaultRowHeight="9"/>
  <cols>
    <col min="1" max="1" width="10.28515625" style="122" customWidth="1"/>
    <col min="2" max="2" width="21.140625" style="122" customWidth="1"/>
    <col min="3" max="15" width="8.5703125" style="129" customWidth="1"/>
    <col min="16" max="16" width="13.85546875" style="122" customWidth="1"/>
    <col min="17" max="17" width="11.42578125" style="122" customWidth="1"/>
    <col min="18" max="18" width="12" style="122" bestFit="1" customWidth="1"/>
    <col min="19" max="222" width="11.42578125" style="122"/>
    <col min="223" max="223" width="8.85546875" style="122" customWidth="1"/>
    <col min="224" max="224" width="35.7109375" style="122" bestFit="1" customWidth="1"/>
    <col min="225" max="225" width="5" style="122" customWidth="1"/>
    <col min="226" max="228" width="12.85546875" style="122" bestFit="1" customWidth="1"/>
    <col min="229" max="239" width="15.140625" style="122" customWidth="1"/>
    <col min="240" max="240" width="13.85546875" style="122" customWidth="1"/>
    <col min="241" max="241" width="11.42578125" style="122" customWidth="1"/>
    <col min="242" max="242" width="12" style="122" bestFit="1" customWidth="1"/>
    <col min="243" max="243" width="31.7109375" style="122" customWidth="1"/>
    <col min="244" max="244" width="13.85546875" style="122" customWidth="1"/>
    <col min="245" max="245" width="13.42578125" style="122" customWidth="1"/>
    <col min="246" max="249" width="16.140625" style="122" bestFit="1" customWidth="1"/>
    <col min="250" max="253" width="17.42578125" style="122" bestFit="1" customWidth="1"/>
    <col min="254" max="257" width="17.42578125" style="122" customWidth="1"/>
    <col min="258" max="258" width="27.28515625" style="122" customWidth="1"/>
    <col min="259" max="259" width="15.85546875" style="122" bestFit="1" customWidth="1"/>
    <col min="260" max="260" width="12.42578125" style="122" bestFit="1" customWidth="1"/>
    <col min="261" max="271" width="11.42578125" style="122" customWidth="1"/>
    <col min="272" max="272" width="17.140625" style="122" customWidth="1"/>
    <col min="273" max="273" width="11.42578125" style="122" customWidth="1"/>
    <col min="274" max="274" width="34.28515625" style="122" bestFit="1" customWidth="1"/>
    <col min="275" max="478" width="11.42578125" style="122"/>
    <col min="479" max="479" width="8.85546875" style="122" customWidth="1"/>
    <col min="480" max="480" width="35.7109375" style="122" bestFit="1" customWidth="1"/>
    <col min="481" max="481" width="5" style="122" customWidth="1"/>
    <col min="482" max="484" width="12.85546875" style="122" bestFit="1" customWidth="1"/>
    <col min="485" max="495" width="15.140625" style="122" customWidth="1"/>
    <col min="496" max="496" width="13.85546875" style="122" customWidth="1"/>
    <col min="497" max="497" width="11.42578125" style="122" customWidth="1"/>
    <col min="498" max="498" width="12" style="122" bestFit="1" customWidth="1"/>
    <col min="499" max="499" width="31.7109375" style="122" customWidth="1"/>
    <col min="500" max="500" width="13.85546875" style="122" customWidth="1"/>
    <col min="501" max="501" width="13.42578125" style="122" customWidth="1"/>
    <col min="502" max="505" width="16.140625" style="122" bestFit="1" customWidth="1"/>
    <col min="506" max="509" width="17.42578125" style="122" bestFit="1" customWidth="1"/>
    <col min="510" max="513" width="17.42578125" style="122" customWidth="1"/>
    <col min="514" max="514" width="27.28515625" style="122" customWidth="1"/>
    <col min="515" max="515" width="15.85546875" style="122" bestFit="1" customWidth="1"/>
    <col min="516" max="516" width="12.42578125" style="122" bestFit="1" customWidth="1"/>
    <col min="517" max="527" width="11.42578125" style="122" customWidth="1"/>
    <col min="528" max="528" width="17.140625" style="122" customWidth="1"/>
    <col min="529" max="529" width="11.42578125" style="122" customWidth="1"/>
    <col min="530" max="530" width="34.28515625" style="122" bestFit="1" customWidth="1"/>
    <col min="531" max="734" width="11.42578125" style="122"/>
    <col min="735" max="735" width="8.85546875" style="122" customWidth="1"/>
    <col min="736" max="736" width="35.7109375" style="122" bestFit="1" customWidth="1"/>
    <col min="737" max="737" width="5" style="122" customWidth="1"/>
    <col min="738" max="740" width="12.85546875" style="122" bestFit="1" customWidth="1"/>
    <col min="741" max="751" width="15.140625" style="122" customWidth="1"/>
    <col min="752" max="752" width="13.85546875" style="122" customWidth="1"/>
    <col min="753" max="753" width="11.42578125" style="122" customWidth="1"/>
    <col min="754" max="754" width="12" style="122" bestFit="1" customWidth="1"/>
    <col min="755" max="755" width="31.7109375" style="122" customWidth="1"/>
    <col min="756" max="756" width="13.85546875" style="122" customWidth="1"/>
    <col min="757" max="757" width="13.42578125" style="122" customWidth="1"/>
    <col min="758" max="761" width="16.140625" style="122" bestFit="1" customWidth="1"/>
    <col min="762" max="765" width="17.42578125" style="122" bestFit="1" customWidth="1"/>
    <col min="766" max="769" width="17.42578125" style="122" customWidth="1"/>
    <col min="770" max="770" width="27.28515625" style="122" customWidth="1"/>
    <col min="771" max="771" width="15.85546875" style="122" bestFit="1" customWidth="1"/>
    <col min="772" max="772" width="12.42578125" style="122" bestFit="1" customWidth="1"/>
    <col min="773" max="783" width="11.42578125" style="122" customWidth="1"/>
    <col min="784" max="784" width="17.140625" style="122" customWidth="1"/>
    <col min="785" max="785" width="11.42578125" style="122" customWidth="1"/>
    <col min="786" max="786" width="34.28515625" style="122" bestFit="1" customWidth="1"/>
    <col min="787" max="990" width="11.42578125" style="122"/>
    <col min="991" max="991" width="8.85546875" style="122" customWidth="1"/>
    <col min="992" max="992" width="35.7109375" style="122" bestFit="1" customWidth="1"/>
    <col min="993" max="993" width="5" style="122" customWidth="1"/>
    <col min="994" max="996" width="12.85546875" style="122" bestFit="1" customWidth="1"/>
    <col min="997" max="1007" width="15.140625" style="122" customWidth="1"/>
    <col min="1008" max="1008" width="13.85546875" style="122" customWidth="1"/>
    <col min="1009" max="1009" width="11.42578125" style="122" customWidth="1"/>
    <col min="1010" max="1010" width="12" style="122" bestFit="1" customWidth="1"/>
    <col min="1011" max="1011" width="31.7109375" style="122" customWidth="1"/>
    <col min="1012" max="1012" width="13.85546875" style="122" customWidth="1"/>
    <col min="1013" max="1013" width="13.42578125" style="122" customWidth="1"/>
    <col min="1014" max="1017" width="16.140625" style="122" bestFit="1" customWidth="1"/>
    <col min="1018" max="1021" width="17.42578125" style="122" bestFit="1" customWidth="1"/>
    <col min="1022" max="1025" width="17.42578125" style="122" customWidth="1"/>
    <col min="1026" max="1026" width="27.28515625" style="122" customWidth="1"/>
    <col min="1027" max="1027" width="15.85546875" style="122" bestFit="1" customWidth="1"/>
    <col min="1028" max="1028" width="12.42578125" style="122" bestFit="1" customWidth="1"/>
    <col min="1029" max="1039" width="11.42578125" style="122" customWidth="1"/>
    <col min="1040" max="1040" width="17.140625" style="122" customWidth="1"/>
    <col min="1041" max="1041" width="11.42578125" style="122" customWidth="1"/>
    <col min="1042" max="1042" width="34.28515625" style="122" bestFit="1" customWidth="1"/>
    <col min="1043" max="1246" width="11.42578125" style="122"/>
    <col min="1247" max="1247" width="8.85546875" style="122" customWidth="1"/>
    <col min="1248" max="1248" width="35.7109375" style="122" bestFit="1" customWidth="1"/>
    <col min="1249" max="1249" width="5" style="122" customWidth="1"/>
    <col min="1250" max="1252" width="12.85546875" style="122" bestFit="1" customWidth="1"/>
    <col min="1253" max="1263" width="15.140625" style="122" customWidth="1"/>
    <col min="1264" max="1264" width="13.85546875" style="122" customWidth="1"/>
    <col min="1265" max="1265" width="11.42578125" style="122" customWidth="1"/>
    <col min="1266" max="1266" width="12" style="122" bestFit="1" customWidth="1"/>
    <col min="1267" max="1267" width="31.7109375" style="122" customWidth="1"/>
    <col min="1268" max="1268" width="13.85546875" style="122" customWidth="1"/>
    <col min="1269" max="1269" width="13.42578125" style="122" customWidth="1"/>
    <col min="1270" max="1273" width="16.140625" style="122" bestFit="1" customWidth="1"/>
    <col min="1274" max="1277" width="17.42578125" style="122" bestFit="1" customWidth="1"/>
    <col min="1278" max="1281" width="17.42578125" style="122" customWidth="1"/>
    <col min="1282" max="1282" width="27.28515625" style="122" customWidth="1"/>
    <col min="1283" max="1283" width="15.85546875" style="122" bestFit="1" customWidth="1"/>
    <col min="1284" max="1284" width="12.42578125" style="122" bestFit="1" customWidth="1"/>
    <col min="1285" max="1295" width="11.42578125" style="122" customWidth="1"/>
    <col min="1296" max="1296" width="17.140625" style="122" customWidth="1"/>
    <col min="1297" max="1297" width="11.42578125" style="122" customWidth="1"/>
    <col min="1298" max="1298" width="34.28515625" style="122" bestFit="1" customWidth="1"/>
    <col min="1299" max="1502" width="11.42578125" style="122"/>
    <col min="1503" max="1503" width="8.85546875" style="122" customWidth="1"/>
    <col min="1504" max="1504" width="35.7109375" style="122" bestFit="1" customWidth="1"/>
    <col min="1505" max="1505" width="5" style="122" customWidth="1"/>
    <col min="1506" max="1508" width="12.85546875" style="122" bestFit="1" customWidth="1"/>
    <col min="1509" max="1519" width="15.140625" style="122" customWidth="1"/>
    <col min="1520" max="1520" width="13.85546875" style="122" customWidth="1"/>
    <col min="1521" max="1521" width="11.42578125" style="122" customWidth="1"/>
    <col min="1522" max="1522" width="12" style="122" bestFit="1" customWidth="1"/>
    <col min="1523" max="1523" width="31.7109375" style="122" customWidth="1"/>
    <col min="1524" max="1524" width="13.85546875" style="122" customWidth="1"/>
    <col min="1525" max="1525" width="13.42578125" style="122" customWidth="1"/>
    <col min="1526" max="1529" width="16.140625" style="122" bestFit="1" customWidth="1"/>
    <col min="1530" max="1533" width="17.42578125" style="122" bestFit="1" customWidth="1"/>
    <col min="1534" max="1537" width="17.42578125" style="122" customWidth="1"/>
    <col min="1538" max="1538" width="27.28515625" style="122" customWidth="1"/>
    <col min="1539" max="1539" width="15.85546875" style="122" bestFit="1" customWidth="1"/>
    <col min="1540" max="1540" width="12.42578125" style="122" bestFit="1" customWidth="1"/>
    <col min="1541" max="1551" width="11.42578125" style="122" customWidth="1"/>
    <col min="1552" max="1552" width="17.140625" style="122" customWidth="1"/>
    <col min="1553" max="1553" width="11.42578125" style="122" customWidth="1"/>
    <col min="1554" max="1554" width="34.28515625" style="122" bestFit="1" customWidth="1"/>
    <col min="1555" max="1758" width="11.42578125" style="122"/>
    <col min="1759" max="1759" width="8.85546875" style="122" customWidth="1"/>
    <col min="1760" max="1760" width="35.7109375" style="122" bestFit="1" customWidth="1"/>
    <col min="1761" max="1761" width="5" style="122" customWidth="1"/>
    <col min="1762" max="1764" width="12.85546875" style="122" bestFit="1" customWidth="1"/>
    <col min="1765" max="1775" width="15.140625" style="122" customWidth="1"/>
    <col min="1776" max="1776" width="13.85546875" style="122" customWidth="1"/>
    <col min="1777" max="1777" width="11.42578125" style="122" customWidth="1"/>
    <col min="1778" max="1778" width="12" style="122" bestFit="1" customWidth="1"/>
    <col min="1779" max="1779" width="31.7109375" style="122" customWidth="1"/>
    <col min="1780" max="1780" width="13.85546875" style="122" customWidth="1"/>
    <col min="1781" max="1781" width="13.42578125" style="122" customWidth="1"/>
    <col min="1782" max="1785" width="16.140625" style="122" bestFit="1" customWidth="1"/>
    <col min="1786" max="1789" width="17.42578125" style="122" bestFit="1" customWidth="1"/>
    <col min="1790" max="1793" width="17.42578125" style="122" customWidth="1"/>
    <col min="1794" max="1794" width="27.28515625" style="122" customWidth="1"/>
    <col min="1795" max="1795" width="15.85546875" style="122" bestFit="1" customWidth="1"/>
    <col min="1796" max="1796" width="12.42578125" style="122" bestFit="1" customWidth="1"/>
    <col min="1797" max="1807" width="11.42578125" style="122" customWidth="1"/>
    <col min="1808" max="1808" width="17.140625" style="122" customWidth="1"/>
    <col min="1809" max="1809" width="11.42578125" style="122" customWidth="1"/>
    <col min="1810" max="1810" width="34.28515625" style="122" bestFit="1" customWidth="1"/>
    <col min="1811" max="2014" width="11.42578125" style="122"/>
    <col min="2015" max="2015" width="8.85546875" style="122" customWidth="1"/>
    <col min="2016" max="2016" width="35.7109375" style="122" bestFit="1" customWidth="1"/>
    <col min="2017" max="2017" width="5" style="122" customWidth="1"/>
    <col min="2018" max="2020" width="12.85546875" style="122" bestFit="1" customWidth="1"/>
    <col min="2021" max="2031" width="15.140625" style="122" customWidth="1"/>
    <col min="2032" max="2032" width="13.85546875" style="122" customWidth="1"/>
    <col min="2033" max="2033" width="11.42578125" style="122" customWidth="1"/>
    <col min="2034" max="2034" width="12" style="122" bestFit="1" customWidth="1"/>
    <col min="2035" max="2035" width="31.7109375" style="122" customWidth="1"/>
    <col min="2036" max="2036" width="13.85546875" style="122" customWidth="1"/>
    <col min="2037" max="2037" width="13.42578125" style="122" customWidth="1"/>
    <col min="2038" max="2041" width="16.140625" style="122" bestFit="1" customWidth="1"/>
    <col min="2042" max="2045" width="17.42578125" style="122" bestFit="1" customWidth="1"/>
    <col min="2046" max="2049" width="17.42578125" style="122" customWidth="1"/>
    <col min="2050" max="2050" width="27.28515625" style="122" customWidth="1"/>
    <col min="2051" max="2051" width="15.85546875" style="122" bestFit="1" customWidth="1"/>
    <col min="2052" max="2052" width="12.42578125" style="122" bestFit="1" customWidth="1"/>
    <col min="2053" max="2063" width="11.42578125" style="122" customWidth="1"/>
    <col min="2064" max="2064" width="17.140625" style="122" customWidth="1"/>
    <col min="2065" max="2065" width="11.42578125" style="122" customWidth="1"/>
    <col min="2066" max="2066" width="34.28515625" style="122" bestFit="1" customWidth="1"/>
    <col min="2067" max="2270" width="11.42578125" style="122"/>
    <col min="2271" max="2271" width="8.85546875" style="122" customWidth="1"/>
    <col min="2272" max="2272" width="35.7109375" style="122" bestFit="1" customWidth="1"/>
    <col min="2273" max="2273" width="5" style="122" customWidth="1"/>
    <col min="2274" max="2276" width="12.85546875" style="122" bestFit="1" customWidth="1"/>
    <col min="2277" max="2287" width="15.140625" style="122" customWidth="1"/>
    <col min="2288" max="2288" width="13.85546875" style="122" customWidth="1"/>
    <col min="2289" max="2289" width="11.42578125" style="122" customWidth="1"/>
    <col min="2290" max="2290" width="12" style="122" bestFit="1" customWidth="1"/>
    <col min="2291" max="2291" width="31.7109375" style="122" customWidth="1"/>
    <col min="2292" max="2292" width="13.85546875" style="122" customWidth="1"/>
    <col min="2293" max="2293" width="13.42578125" style="122" customWidth="1"/>
    <col min="2294" max="2297" width="16.140625" style="122" bestFit="1" customWidth="1"/>
    <col min="2298" max="2301" width="17.42578125" style="122" bestFit="1" customWidth="1"/>
    <col min="2302" max="2305" width="17.42578125" style="122" customWidth="1"/>
    <col min="2306" max="2306" width="27.28515625" style="122" customWidth="1"/>
    <col min="2307" max="2307" width="15.85546875" style="122" bestFit="1" customWidth="1"/>
    <col min="2308" max="2308" width="12.42578125" style="122" bestFit="1" customWidth="1"/>
    <col min="2309" max="2319" width="11.42578125" style="122" customWidth="1"/>
    <col min="2320" max="2320" width="17.140625" style="122" customWidth="1"/>
    <col min="2321" max="2321" width="11.42578125" style="122" customWidth="1"/>
    <col min="2322" max="2322" width="34.28515625" style="122" bestFit="1" customWidth="1"/>
    <col min="2323" max="2526" width="11.42578125" style="122"/>
    <col min="2527" max="2527" width="8.85546875" style="122" customWidth="1"/>
    <col min="2528" max="2528" width="35.7109375" style="122" bestFit="1" customWidth="1"/>
    <col min="2529" max="2529" width="5" style="122" customWidth="1"/>
    <col min="2530" max="2532" width="12.85546875" style="122" bestFit="1" customWidth="1"/>
    <col min="2533" max="2543" width="15.140625" style="122" customWidth="1"/>
    <col min="2544" max="2544" width="13.85546875" style="122" customWidth="1"/>
    <col min="2545" max="2545" width="11.42578125" style="122" customWidth="1"/>
    <col min="2546" max="2546" width="12" style="122" bestFit="1" customWidth="1"/>
    <col min="2547" max="2547" width="31.7109375" style="122" customWidth="1"/>
    <col min="2548" max="2548" width="13.85546875" style="122" customWidth="1"/>
    <col min="2549" max="2549" width="13.42578125" style="122" customWidth="1"/>
    <col min="2550" max="2553" width="16.140625" style="122" bestFit="1" customWidth="1"/>
    <col min="2554" max="2557" width="17.42578125" style="122" bestFit="1" customWidth="1"/>
    <col min="2558" max="2561" width="17.42578125" style="122" customWidth="1"/>
    <col min="2562" max="2562" width="27.28515625" style="122" customWidth="1"/>
    <col min="2563" max="2563" width="15.85546875" style="122" bestFit="1" customWidth="1"/>
    <col min="2564" max="2564" width="12.42578125" style="122" bestFit="1" customWidth="1"/>
    <col min="2565" max="2575" width="11.42578125" style="122" customWidth="1"/>
    <col min="2576" max="2576" width="17.140625" style="122" customWidth="1"/>
    <col min="2577" max="2577" width="11.42578125" style="122" customWidth="1"/>
    <col min="2578" max="2578" width="34.28515625" style="122" bestFit="1" customWidth="1"/>
    <col min="2579" max="2782" width="11.42578125" style="122"/>
    <col min="2783" max="2783" width="8.85546875" style="122" customWidth="1"/>
    <col min="2784" max="2784" width="35.7109375" style="122" bestFit="1" customWidth="1"/>
    <col min="2785" max="2785" width="5" style="122" customWidth="1"/>
    <col min="2786" max="2788" width="12.85546875" style="122" bestFit="1" customWidth="1"/>
    <col min="2789" max="2799" width="15.140625" style="122" customWidth="1"/>
    <col min="2800" max="2800" width="13.85546875" style="122" customWidth="1"/>
    <col min="2801" max="2801" width="11.42578125" style="122" customWidth="1"/>
    <col min="2802" max="2802" width="12" style="122" bestFit="1" customWidth="1"/>
    <col min="2803" max="2803" width="31.7109375" style="122" customWidth="1"/>
    <col min="2804" max="2804" width="13.85546875" style="122" customWidth="1"/>
    <col min="2805" max="2805" width="13.42578125" style="122" customWidth="1"/>
    <col min="2806" max="2809" width="16.140625" style="122" bestFit="1" customWidth="1"/>
    <col min="2810" max="2813" width="17.42578125" style="122" bestFit="1" customWidth="1"/>
    <col min="2814" max="2817" width="17.42578125" style="122" customWidth="1"/>
    <col min="2818" max="2818" width="27.28515625" style="122" customWidth="1"/>
    <col min="2819" max="2819" width="15.85546875" style="122" bestFit="1" customWidth="1"/>
    <col min="2820" max="2820" width="12.42578125" style="122" bestFit="1" customWidth="1"/>
    <col min="2821" max="2831" width="11.42578125" style="122" customWidth="1"/>
    <col min="2832" max="2832" width="17.140625" style="122" customWidth="1"/>
    <col min="2833" max="2833" width="11.42578125" style="122" customWidth="1"/>
    <col min="2834" max="2834" width="34.28515625" style="122" bestFit="1" customWidth="1"/>
    <col min="2835" max="3038" width="11.42578125" style="122"/>
    <col min="3039" max="3039" width="8.85546875" style="122" customWidth="1"/>
    <col min="3040" max="3040" width="35.7109375" style="122" bestFit="1" customWidth="1"/>
    <col min="3041" max="3041" width="5" style="122" customWidth="1"/>
    <col min="3042" max="3044" width="12.85546875" style="122" bestFit="1" customWidth="1"/>
    <col min="3045" max="3055" width="15.140625" style="122" customWidth="1"/>
    <col min="3056" max="3056" width="13.85546875" style="122" customWidth="1"/>
    <col min="3057" max="3057" width="11.42578125" style="122" customWidth="1"/>
    <col min="3058" max="3058" width="12" style="122" bestFit="1" customWidth="1"/>
    <col min="3059" max="3059" width="31.7109375" style="122" customWidth="1"/>
    <col min="3060" max="3060" width="13.85546875" style="122" customWidth="1"/>
    <col min="3061" max="3061" width="13.42578125" style="122" customWidth="1"/>
    <col min="3062" max="3065" width="16.140625" style="122" bestFit="1" customWidth="1"/>
    <col min="3066" max="3069" width="17.42578125" style="122" bestFit="1" customWidth="1"/>
    <col min="3070" max="3073" width="17.42578125" style="122" customWidth="1"/>
    <col min="3074" max="3074" width="27.28515625" style="122" customWidth="1"/>
    <col min="3075" max="3075" width="15.85546875" style="122" bestFit="1" customWidth="1"/>
    <col min="3076" max="3076" width="12.42578125" style="122" bestFit="1" customWidth="1"/>
    <col min="3077" max="3087" width="11.42578125" style="122" customWidth="1"/>
    <col min="3088" max="3088" width="17.140625" style="122" customWidth="1"/>
    <col min="3089" max="3089" width="11.42578125" style="122" customWidth="1"/>
    <col min="3090" max="3090" width="34.28515625" style="122" bestFit="1" customWidth="1"/>
    <col min="3091" max="3294" width="11.42578125" style="122"/>
    <col min="3295" max="3295" width="8.85546875" style="122" customWidth="1"/>
    <col min="3296" max="3296" width="35.7109375" style="122" bestFit="1" customWidth="1"/>
    <col min="3297" max="3297" width="5" style="122" customWidth="1"/>
    <col min="3298" max="3300" width="12.85546875" style="122" bestFit="1" customWidth="1"/>
    <col min="3301" max="3311" width="15.140625" style="122" customWidth="1"/>
    <col min="3312" max="3312" width="13.85546875" style="122" customWidth="1"/>
    <col min="3313" max="3313" width="11.42578125" style="122" customWidth="1"/>
    <col min="3314" max="3314" width="12" style="122" bestFit="1" customWidth="1"/>
    <col min="3315" max="3315" width="31.7109375" style="122" customWidth="1"/>
    <col min="3316" max="3316" width="13.85546875" style="122" customWidth="1"/>
    <col min="3317" max="3317" width="13.42578125" style="122" customWidth="1"/>
    <col min="3318" max="3321" width="16.140625" style="122" bestFit="1" customWidth="1"/>
    <col min="3322" max="3325" width="17.42578125" style="122" bestFit="1" customWidth="1"/>
    <col min="3326" max="3329" width="17.42578125" style="122" customWidth="1"/>
    <col min="3330" max="3330" width="27.28515625" style="122" customWidth="1"/>
    <col min="3331" max="3331" width="15.85546875" style="122" bestFit="1" customWidth="1"/>
    <col min="3332" max="3332" width="12.42578125" style="122" bestFit="1" customWidth="1"/>
    <col min="3333" max="3343" width="11.42578125" style="122" customWidth="1"/>
    <col min="3344" max="3344" width="17.140625" style="122" customWidth="1"/>
    <col min="3345" max="3345" width="11.42578125" style="122" customWidth="1"/>
    <col min="3346" max="3346" width="34.28515625" style="122" bestFit="1" customWidth="1"/>
    <col min="3347" max="3550" width="11.42578125" style="122"/>
    <col min="3551" max="3551" width="8.85546875" style="122" customWidth="1"/>
    <col min="3552" max="3552" width="35.7109375" style="122" bestFit="1" customWidth="1"/>
    <col min="3553" max="3553" width="5" style="122" customWidth="1"/>
    <col min="3554" max="3556" width="12.85546875" style="122" bestFit="1" customWidth="1"/>
    <col min="3557" max="3567" width="15.140625" style="122" customWidth="1"/>
    <col min="3568" max="3568" width="13.85546875" style="122" customWidth="1"/>
    <col min="3569" max="3569" width="11.42578125" style="122" customWidth="1"/>
    <col min="3570" max="3570" width="12" style="122" bestFit="1" customWidth="1"/>
    <col min="3571" max="3571" width="31.7109375" style="122" customWidth="1"/>
    <col min="3572" max="3572" width="13.85546875" style="122" customWidth="1"/>
    <col min="3573" max="3573" width="13.42578125" style="122" customWidth="1"/>
    <col min="3574" max="3577" width="16.140625" style="122" bestFit="1" customWidth="1"/>
    <col min="3578" max="3581" width="17.42578125" style="122" bestFit="1" customWidth="1"/>
    <col min="3582" max="3585" width="17.42578125" style="122" customWidth="1"/>
    <col min="3586" max="3586" width="27.28515625" style="122" customWidth="1"/>
    <col min="3587" max="3587" width="15.85546875" style="122" bestFit="1" customWidth="1"/>
    <col min="3588" max="3588" width="12.42578125" style="122" bestFit="1" customWidth="1"/>
    <col min="3589" max="3599" width="11.42578125" style="122" customWidth="1"/>
    <col min="3600" max="3600" width="17.140625" style="122" customWidth="1"/>
    <col min="3601" max="3601" width="11.42578125" style="122" customWidth="1"/>
    <col min="3602" max="3602" width="34.28515625" style="122" bestFit="1" customWidth="1"/>
    <col min="3603" max="3806" width="11.42578125" style="122"/>
    <col min="3807" max="3807" width="8.85546875" style="122" customWidth="1"/>
    <col min="3808" max="3808" width="35.7109375" style="122" bestFit="1" customWidth="1"/>
    <col min="3809" max="3809" width="5" style="122" customWidth="1"/>
    <col min="3810" max="3812" width="12.85546875" style="122" bestFit="1" customWidth="1"/>
    <col min="3813" max="3823" width="15.140625" style="122" customWidth="1"/>
    <col min="3824" max="3824" width="13.85546875" style="122" customWidth="1"/>
    <col min="3825" max="3825" width="11.42578125" style="122" customWidth="1"/>
    <col min="3826" max="3826" width="12" style="122" bestFit="1" customWidth="1"/>
    <col min="3827" max="3827" width="31.7109375" style="122" customWidth="1"/>
    <col min="3828" max="3828" width="13.85546875" style="122" customWidth="1"/>
    <col min="3829" max="3829" width="13.42578125" style="122" customWidth="1"/>
    <col min="3830" max="3833" width="16.140625" style="122" bestFit="1" customWidth="1"/>
    <col min="3834" max="3837" width="17.42578125" style="122" bestFit="1" customWidth="1"/>
    <col min="3838" max="3841" width="17.42578125" style="122" customWidth="1"/>
    <col min="3842" max="3842" width="27.28515625" style="122" customWidth="1"/>
    <col min="3843" max="3843" width="15.85546875" style="122" bestFit="1" customWidth="1"/>
    <col min="3844" max="3844" width="12.42578125" style="122" bestFit="1" customWidth="1"/>
    <col min="3845" max="3855" width="11.42578125" style="122" customWidth="1"/>
    <col min="3856" max="3856" width="17.140625" style="122" customWidth="1"/>
    <col min="3857" max="3857" width="11.42578125" style="122" customWidth="1"/>
    <col min="3858" max="3858" width="34.28515625" style="122" bestFit="1" customWidth="1"/>
    <col min="3859" max="4062" width="11.42578125" style="122"/>
    <col min="4063" max="4063" width="8.85546875" style="122" customWidth="1"/>
    <col min="4064" max="4064" width="35.7109375" style="122" bestFit="1" customWidth="1"/>
    <col min="4065" max="4065" width="5" style="122" customWidth="1"/>
    <col min="4066" max="4068" width="12.85546875" style="122" bestFit="1" customWidth="1"/>
    <col min="4069" max="4079" width="15.140625" style="122" customWidth="1"/>
    <col min="4080" max="4080" width="13.85546875" style="122" customWidth="1"/>
    <col min="4081" max="4081" width="11.42578125" style="122" customWidth="1"/>
    <col min="4082" max="4082" width="12" style="122" bestFit="1" customWidth="1"/>
    <col min="4083" max="4083" width="31.7109375" style="122" customWidth="1"/>
    <col min="4084" max="4084" width="13.85546875" style="122" customWidth="1"/>
    <col min="4085" max="4085" width="13.42578125" style="122" customWidth="1"/>
    <col min="4086" max="4089" width="16.140625" style="122" bestFit="1" customWidth="1"/>
    <col min="4090" max="4093" width="17.42578125" style="122" bestFit="1" customWidth="1"/>
    <col min="4094" max="4097" width="17.42578125" style="122" customWidth="1"/>
    <col min="4098" max="4098" width="27.28515625" style="122" customWidth="1"/>
    <col min="4099" max="4099" width="15.85546875" style="122" bestFit="1" customWidth="1"/>
    <col min="4100" max="4100" width="12.42578125" style="122" bestFit="1" customWidth="1"/>
    <col min="4101" max="4111" width="11.42578125" style="122" customWidth="1"/>
    <col min="4112" max="4112" width="17.140625" style="122" customWidth="1"/>
    <col min="4113" max="4113" width="11.42578125" style="122" customWidth="1"/>
    <col min="4114" max="4114" width="34.28515625" style="122" bestFit="1" customWidth="1"/>
    <col min="4115" max="4318" width="11.42578125" style="122"/>
    <col min="4319" max="4319" width="8.85546875" style="122" customWidth="1"/>
    <col min="4320" max="4320" width="35.7109375" style="122" bestFit="1" customWidth="1"/>
    <col min="4321" max="4321" width="5" style="122" customWidth="1"/>
    <col min="4322" max="4324" width="12.85546875" style="122" bestFit="1" customWidth="1"/>
    <col min="4325" max="4335" width="15.140625" style="122" customWidth="1"/>
    <col min="4336" max="4336" width="13.85546875" style="122" customWidth="1"/>
    <col min="4337" max="4337" width="11.42578125" style="122" customWidth="1"/>
    <col min="4338" max="4338" width="12" style="122" bestFit="1" customWidth="1"/>
    <col min="4339" max="4339" width="31.7109375" style="122" customWidth="1"/>
    <col min="4340" max="4340" width="13.85546875" style="122" customWidth="1"/>
    <col min="4341" max="4341" width="13.42578125" style="122" customWidth="1"/>
    <col min="4342" max="4345" width="16.140625" style="122" bestFit="1" customWidth="1"/>
    <col min="4346" max="4349" width="17.42578125" style="122" bestFit="1" customWidth="1"/>
    <col min="4350" max="4353" width="17.42578125" style="122" customWidth="1"/>
    <col min="4354" max="4354" width="27.28515625" style="122" customWidth="1"/>
    <col min="4355" max="4355" width="15.85546875" style="122" bestFit="1" customWidth="1"/>
    <col min="4356" max="4356" width="12.42578125" style="122" bestFit="1" customWidth="1"/>
    <col min="4357" max="4367" width="11.42578125" style="122" customWidth="1"/>
    <col min="4368" max="4368" width="17.140625" style="122" customWidth="1"/>
    <col min="4369" max="4369" width="11.42578125" style="122" customWidth="1"/>
    <col min="4370" max="4370" width="34.28515625" style="122" bestFit="1" customWidth="1"/>
    <col min="4371" max="4574" width="11.42578125" style="122"/>
    <col min="4575" max="4575" width="8.85546875" style="122" customWidth="1"/>
    <col min="4576" max="4576" width="35.7109375" style="122" bestFit="1" customWidth="1"/>
    <col min="4577" max="4577" width="5" style="122" customWidth="1"/>
    <col min="4578" max="4580" width="12.85546875" style="122" bestFit="1" customWidth="1"/>
    <col min="4581" max="4591" width="15.140625" style="122" customWidth="1"/>
    <col min="4592" max="4592" width="13.85546875" style="122" customWidth="1"/>
    <col min="4593" max="4593" width="11.42578125" style="122" customWidth="1"/>
    <col min="4594" max="4594" width="12" style="122" bestFit="1" customWidth="1"/>
    <col min="4595" max="4595" width="31.7109375" style="122" customWidth="1"/>
    <col min="4596" max="4596" width="13.85546875" style="122" customWidth="1"/>
    <col min="4597" max="4597" width="13.42578125" style="122" customWidth="1"/>
    <col min="4598" max="4601" width="16.140625" style="122" bestFit="1" customWidth="1"/>
    <col min="4602" max="4605" width="17.42578125" style="122" bestFit="1" customWidth="1"/>
    <col min="4606" max="4609" width="17.42578125" style="122" customWidth="1"/>
    <col min="4610" max="4610" width="27.28515625" style="122" customWidth="1"/>
    <col min="4611" max="4611" width="15.85546875" style="122" bestFit="1" customWidth="1"/>
    <col min="4612" max="4612" width="12.42578125" style="122" bestFit="1" customWidth="1"/>
    <col min="4613" max="4623" width="11.42578125" style="122" customWidth="1"/>
    <col min="4624" max="4624" width="17.140625" style="122" customWidth="1"/>
    <col min="4625" max="4625" width="11.42578125" style="122" customWidth="1"/>
    <col min="4626" max="4626" width="34.28515625" style="122" bestFit="1" customWidth="1"/>
    <col min="4627" max="4830" width="11.42578125" style="122"/>
    <col min="4831" max="4831" width="8.85546875" style="122" customWidth="1"/>
    <col min="4832" max="4832" width="35.7109375" style="122" bestFit="1" customWidth="1"/>
    <col min="4833" max="4833" width="5" style="122" customWidth="1"/>
    <col min="4834" max="4836" width="12.85546875" style="122" bestFit="1" customWidth="1"/>
    <col min="4837" max="4847" width="15.140625" style="122" customWidth="1"/>
    <col min="4848" max="4848" width="13.85546875" style="122" customWidth="1"/>
    <col min="4849" max="4849" width="11.42578125" style="122" customWidth="1"/>
    <col min="4850" max="4850" width="12" style="122" bestFit="1" customWidth="1"/>
    <col min="4851" max="4851" width="31.7109375" style="122" customWidth="1"/>
    <col min="4852" max="4852" width="13.85546875" style="122" customWidth="1"/>
    <col min="4853" max="4853" width="13.42578125" style="122" customWidth="1"/>
    <col min="4854" max="4857" width="16.140625" style="122" bestFit="1" customWidth="1"/>
    <col min="4858" max="4861" width="17.42578125" style="122" bestFit="1" customWidth="1"/>
    <col min="4862" max="4865" width="17.42578125" style="122" customWidth="1"/>
    <col min="4866" max="4866" width="27.28515625" style="122" customWidth="1"/>
    <col min="4867" max="4867" width="15.85546875" style="122" bestFit="1" customWidth="1"/>
    <col min="4868" max="4868" width="12.42578125" style="122" bestFit="1" customWidth="1"/>
    <col min="4869" max="4879" width="11.42578125" style="122" customWidth="1"/>
    <col min="4880" max="4880" width="17.140625" style="122" customWidth="1"/>
    <col min="4881" max="4881" width="11.42578125" style="122" customWidth="1"/>
    <col min="4882" max="4882" width="34.28515625" style="122" bestFit="1" customWidth="1"/>
    <col min="4883" max="5086" width="11.42578125" style="122"/>
    <col min="5087" max="5087" width="8.85546875" style="122" customWidth="1"/>
    <col min="5088" max="5088" width="35.7109375" style="122" bestFit="1" customWidth="1"/>
    <col min="5089" max="5089" width="5" style="122" customWidth="1"/>
    <col min="5090" max="5092" width="12.85546875" style="122" bestFit="1" customWidth="1"/>
    <col min="5093" max="5103" width="15.140625" style="122" customWidth="1"/>
    <col min="5104" max="5104" width="13.85546875" style="122" customWidth="1"/>
    <col min="5105" max="5105" width="11.42578125" style="122" customWidth="1"/>
    <col min="5106" max="5106" width="12" style="122" bestFit="1" customWidth="1"/>
    <col min="5107" max="5107" width="31.7109375" style="122" customWidth="1"/>
    <col min="5108" max="5108" width="13.85546875" style="122" customWidth="1"/>
    <col min="5109" max="5109" width="13.42578125" style="122" customWidth="1"/>
    <col min="5110" max="5113" width="16.140625" style="122" bestFit="1" customWidth="1"/>
    <col min="5114" max="5117" width="17.42578125" style="122" bestFit="1" customWidth="1"/>
    <col min="5118" max="5121" width="17.42578125" style="122" customWidth="1"/>
    <col min="5122" max="5122" width="27.28515625" style="122" customWidth="1"/>
    <col min="5123" max="5123" width="15.85546875" style="122" bestFit="1" customWidth="1"/>
    <col min="5124" max="5124" width="12.42578125" style="122" bestFit="1" customWidth="1"/>
    <col min="5125" max="5135" width="11.42578125" style="122" customWidth="1"/>
    <col min="5136" max="5136" width="17.140625" style="122" customWidth="1"/>
    <col min="5137" max="5137" width="11.42578125" style="122" customWidth="1"/>
    <col min="5138" max="5138" width="34.28515625" style="122" bestFit="1" customWidth="1"/>
    <col min="5139" max="5342" width="11.42578125" style="122"/>
    <col min="5343" max="5343" width="8.85546875" style="122" customWidth="1"/>
    <col min="5344" max="5344" width="35.7109375" style="122" bestFit="1" customWidth="1"/>
    <col min="5345" max="5345" width="5" style="122" customWidth="1"/>
    <col min="5346" max="5348" width="12.85546875" style="122" bestFit="1" customWidth="1"/>
    <col min="5349" max="5359" width="15.140625" style="122" customWidth="1"/>
    <col min="5360" max="5360" width="13.85546875" style="122" customWidth="1"/>
    <col min="5361" max="5361" width="11.42578125" style="122" customWidth="1"/>
    <col min="5362" max="5362" width="12" style="122" bestFit="1" customWidth="1"/>
    <col min="5363" max="5363" width="31.7109375" style="122" customWidth="1"/>
    <col min="5364" max="5364" width="13.85546875" style="122" customWidth="1"/>
    <col min="5365" max="5365" width="13.42578125" style="122" customWidth="1"/>
    <col min="5366" max="5369" width="16.140625" style="122" bestFit="1" customWidth="1"/>
    <col min="5370" max="5373" width="17.42578125" style="122" bestFit="1" customWidth="1"/>
    <col min="5374" max="5377" width="17.42578125" style="122" customWidth="1"/>
    <col min="5378" max="5378" width="27.28515625" style="122" customWidth="1"/>
    <col min="5379" max="5379" width="15.85546875" style="122" bestFit="1" customWidth="1"/>
    <col min="5380" max="5380" width="12.42578125" style="122" bestFit="1" customWidth="1"/>
    <col min="5381" max="5391" width="11.42578125" style="122" customWidth="1"/>
    <col min="5392" max="5392" width="17.140625" style="122" customWidth="1"/>
    <col min="5393" max="5393" width="11.42578125" style="122" customWidth="1"/>
    <col min="5394" max="5394" width="34.28515625" style="122" bestFit="1" customWidth="1"/>
    <col min="5395" max="5598" width="11.42578125" style="122"/>
    <col min="5599" max="5599" width="8.85546875" style="122" customWidth="1"/>
    <col min="5600" max="5600" width="35.7109375" style="122" bestFit="1" customWidth="1"/>
    <col min="5601" max="5601" width="5" style="122" customWidth="1"/>
    <col min="5602" max="5604" width="12.85546875" style="122" bestFit="1" customWidth="1"/>
    <col min="5605" max="5615" width="15.140625" style="122" customWidth="1"/>
    <col min="5616" max="5616" width="13.85546875" style="122" customWidth="1"/>
    <col min="5617" max="5617" width="11.42578125" style="122" customWidth="1"/>
    <col min="5618" max="5618" width="12" style="122" bestFit="1" customWidth="1"/>
    <col min="5619" max="5619" width="31.7109375" style="122" customWidth="1"/>
    <col min="5620" max="5620" width="13.85546875" style="122" customWidth="1"/>
    <col min="5621" max="5621" width="13.42578125" style="122" customWidth="1"/>
    <col min="5622" max="5625" width="16.140625" style="122" bestFit="1" customWidth="1"/>
    <col min="5626" max="5629" width="17.42578125" style="122" bestFit="1" customWidth="1"/>
    <col min="5630" max="5633" width="17.42578125" style="122" customWidth="1"/>
    <col min="5634" max="5634" width="27.28515625" style="122" customWidth="1"/>
    <col min="5635" max="5635" width="15.85546875" style="122" bestFit="1" customWidth="1"/>
    <col min="5636" max="5636" width="12.42578125" style="122" bestFit="1" customWidth="1"/>
    <col min="5637" max="5647" width="11.42578125" style="122" customWidth="1"/>
    <col min="5648" max="5648" width="17.140625" style="122" customWidth="1"/>
    <col min="5649" max="5649" width="11.42578125" style="122" customWidth="1"/>
    <col min="5650" max="5650" width="34.28515625" style="122" bestFit="1" customWidth="1"/>
    <col min="5651" max="5854" width="11.42578125" style="122"/>
    <col min="5855" max="5855" width="8.85546875" style="122" customWidth="1"/>
    <col min="5856" max="5856" width="35.7109375" style="122" bestFit="1" customWidth="1"/>
    <col min="5857" max="5857" width="5" style="122" customWidth="1"/>
    <col min="5858" max="5860" width="12.85546875" style="122" bestFit="1" customWidth="1"/>
    <col min="5861" max="5871" width="15.140625" style="122" customWidth="1"/>
    <col min="5872" max="5872" width="13.85546875" style="122" customWidth="1"/>
    <col min="5873" max="5873" width="11.42578125" style="122" customWidth="1"/>
    <col min="5874" max="5874" width="12" style="122" bestFit="1" customWidth="1"/>
    <col min="5875" max="5875" width="31.7109375" style="122" customWidth="1"/>
    <col min="5876" max="5876" width="13.85546875" style="122" customWidth="1"/>
    <col min="5877" max="5877" width="13.42578125" style="122" customWidth="1"/>
    <col min="5878" max="5881" width="16.140625" style="122" bestFit="1" customWidth="1"/>
    <col min="5882" max="5885" width="17.42578125" style="122" bestFit="1" customWidth="1"/>
    <col min="5886" max="5889" width="17.42578125" style="122" customWidth="1"/>
    <col min="5890" max="5890" width="27.28515625" style="122" customWidth="1"/>
    <col min="5891" max="5891" width="15.85546875" style="122" bestFit="1" customWidth="1"/>
    <col min="5892" max="5892" width="12.42578125" style="122" bestFit="1" customWidth="1"/>
    <col min="5893" max="5903" width="11.42578125" style="122" customWidth="1"/>
    <col min="5904" max="5904" width="17.140625" style="122" customWidth="1"/>
    <col min="5905" max="5905" width="11.42578125" style="122" customWidth="1"/>
    <col min="5906" max="5906" width="34.28515625" style="122" bestFit="1" customWidth="1"/>
    <col min="5907" max="6110" width="11.42578125" style="122"/>
    <col min="6111" max="6111" width="8.85546875" style="122" customWidth="1"/>
    <col min="6112" max="6112" width="35.7109375" style="122" bestFit="1" customWidth="1"/>
    <col min="6113" max="6113" width="5" style="122" customWidth="1"/>
    <col min="6114" max="6116" width="12.85546875" style="122" bestFit="1" customWidth="1"/>
    <col min="6117" max="6127" width="15.140625" style="122" customWidth="1"/>
    <col min="6128" max="6128" width="13.85546875" style="122" customWidth="1"/>
    <col min="6129" max="6129" width="11.42578125" style="122" customWidth="1"/>
    <col min="6130" max="6130" width="12" style="122" bestFit="1" customWidth="1"/>
    <col min="6131" max="6131" width="31.7109375" style="122" customWidth="1"/>
    <col min="6132" max="6132" width="13.85546875" style="122" customWidth="1"/>
    <col min="6133" max="6133" width="13.42578125" style="122" customWidth="1"/>
    <col min="6134" max="6137" width="16.140625" style="122" bestFit="1" customWidth="1"/>
    <col min="6138" max="6141" width="17.42578125" style="122" bestFit="1" customWidth="1"/>
    <col min="6142" max="6145" width="17.42578125" style="122" customWidth="1"/>
    <col min="6146" max="6146" width="27.28515625" style="122" customWidth="1"/>
    <col min="6147" max="6147" width="15.85546875" style="122" bestFit="1" customWidth="1"/>
    <col min="6148" max="6148" width="12.42578125" style="122" bestFit="1" customWidth="1"/>
    <col min="6149" max="6159" width="11.42578125" style="122" customWidth="1"/>
    <col min="6160" max="6160" width="17.140625" style="122" customWidth="1"/>
    <col min="6161" max="6161" width="11.42578125" style="122" customWidth="1"/>
    <col min="6162" max="6162" width="34.28515625" style="122" bestFit="1" customWidth="1"/>
    <col min="6163" max="6366" width="11.42578125" style="122"/>
    <col min="6367" max="6367" width="8.85546875" style="122" customWidth="1"/>
    <col min="6368" max="6368" width="35.7109375" style="122" bestFit="1" customWidth="1"/>
    <col min="6369" max="6369" width="5" style="122" customWidth="1"/>
    <col min="6370" max="6372" width="12.85546875" style="122" bestFit="1" customWidth="1"/>
    <col min="6373" max="6383" width="15.140625" style="122" customWidth="1"/>
    <col min="6384" max="6384" width="13.85546875" style="122" customWidth="1"/>
    <col min="6385" max="6385" width="11.42578125" style="122" customWidth="1"/>
    <col min="6386" max="6386" width="12" style="122" bestFit="1" customWidth="1"/>
    <col min="6387" max="6387" width="31.7109375" style="122" customWidth="1"/>
    <col min="6388" max="6388" width="13.85546875" style="122" customWidth="1"/>
    <col min="6389" max="6389" width="13.42578125" style="122" customWidth="1"/>
    <col min="6390" max="6393" width="16.140625" style="122" bestFit="1" customWidth="1"/>
    <col min="6394" max="6397" width="17.42578125" style="122" bestFit="1" customWidth="1"/>
    <col min="6398" max="6401" width="17.42578125" style="122" customWidth="1"/>
    <col min="6402" max="6402" width="27.28515625" style="122" customWidth="1"/>
    <col min="6403" max="6403" width="15.85546875" style="122" bestFit="1" customWidth="1"/>
    <col min="6404" max="6404" width="12.42578125" style="122" bestFit="1" customWidth="1"/>
    <col min="6405" max="6415" width="11.42578125" style="122" customWidth="1"/>
    <col min="6416" max="6416" width="17.140625" style="122" customWidth="1"/>
    <col min="6417" max="6417" width="11.42578125" style="122" customWidth="1"/>
    <col min="6418" max="6418" width="34.28515625" style="122" bestFit="1" customWidth="1"/>
    <col min="6419" max="6622" width="11.42578125" style="122"/>
    <col min="6623" max="6623" width="8.85546875" style="122" customWidth="1"/>
    <col min="6624" max="6624" width="35.7109375" style="122" bestFit="1" customWidth="1"/>
    <col min="6625" max="6625" width="5" style="122" customWidth="1"/>
    <col min="6626" max="6628" width="12.85546875" style="122" bestFit="1" customWidth="1"/>
    <col min="6629" max="6639" width="15.140625" style="122" customWidth="1"/>
    <col min="6640" max="6640" width="13.85546875" style="122" customWidth="1"/>
    <col min="6641" max="6641" width="11.42578125" style="122" customWidth="1"/>
    <col min="6642" max="6642" width="12" style="122" bestFit="1" customWidth="1"/>
    <col min="6643" max="6643" width="31.7109375" style="122" customWidth="1"/>
    <col min="6644" max="6644" width="13.85546875" style="122" customWidth="1"/>
    <col min="6645" max="6645" width="13.42578125" style="122" customWidth="1"/>
    <col min="6646" max="6649" width="16.140625" style="122" bestFit="1" customWidth="1"/>
    <col min="6650" max="6653" width="17.42578125" style="122" bestFit="1" customWidth="1"/>
    <col min="6654" max="6657" width="17.42578125" style="122" customWidth="1"/>
    <col min="6658" max="6658" width="27.28515625" style="122" customWidth="1"/>
    <col min="6659" max="6659" width="15.85546875" style="122" bestFit="1" customWidth="1"/>
    <col min="6660" max="6660" width="12.42578125" style="122" bestFit="1" customWidth="1"/>
    <col min="6661" max="6671" width="11.42578125" style="122" customWidth="1"/>
    <col min="6672" max="6672" width="17.140625" style="122" customWidth="1"/>
    <col min="6673" max="6673" width="11.42578125" style="122" customWidth="1"/>
    <col min="6674" max="6674" width="34.28515625" style="122" bestFit="1" customWidth="1"/>
    <col min="6675" max="6878" width="11.42578125" style="122"/>
    <col min="6879" max="6879" width="8.85546875" style="122" customWidth="1"/>
    <col min="6880" max="6880" width="35.7109375" style="122" bestFit="1" customWidth="1"/>
    <col min="6881" max="6881" width="5" style="122" customWidth="1"/>
    <col min="6882" max="6884" width="12.85546875" style="122" bestFit="1" customWidth="1"/>
    <col min="6885" max="6895" width="15.140625" style="122" customWidth="1"/>
    <col min="6896" max="6896" width="13.85546875" style="122" customWidth="1"/>
    <col min="6897" max="6897" width="11.42578125" style="122" customWidth="1"/>
    <col min="6898" max="6898" width="12" style="122" bestFit="1" customWidth="1"/>
    <col min="6899" max="6899" width="31.7109375" style="122" customWidth="1"/>
    <col min="6900" max="6900" width="13.85546875" style="122" customWidth="1"/>
    <col min="6901" max="6901" width="13.42578125" style="122" customWidth="1"/>
    <col min="6902" max="6905" width="16.140625" style="122" bestFit="1" customWidth="1"/>
    <col min="6906" max="6909" width="17.42578125" style="122" bestFit="1" customWidth="1"/>
    <col min="6910" max="6913" width="17.42578125" style="122" customWidth="1"/>
    <col min="6914" max="6914" width="27.28515625" style="122" customWidth="1"/>
    <col min="6915" max="6915" width="15.85546875" style="122" bestFit="1" customWidth="1"/>
    <col min="6916" max="6916" width="12.42578125" style="122" bestFit="1" customWidth="1"/>
    <col min="6917" max="6927" width="11.42578125" style="122" customWidth="1"/>
    <col min="6928" max="6928" width="17.140625" style="122" customWidth="1"/>
    <col min="6929" max="6929" width="11.42578125" style="122" customWidth="1"/>
    <col min="6930" max="6930" width="34.28515625" style="122" bestFit="1" customWidth="1"/>
    <col min="6931" max="7134" width="11.42578125" style="122"/>
    <col min="7135" max="7135" width="8.85546875" style="122" customWidth="1"/>
    <col min="7136" max="7136" width="35.7109375" style="122" bestFit="1" customWidth="1"/>
    <col min="7137" max="7137" width="5" style="122" customWidth="1"/>
    <col min="7138" max="7140" width="12.85546875" style="122" bestFit="1" customWidth="1"/>
    <col min="7141" max="7151" width="15.140625" style="122" customWidth="1"/>
    <col min="7152" max="7152" width="13.85546875" style="122" customWidth="1"/>
    <col min="7153" max="7153" width="11.42578125" style="122" customWidth="1"/>
    <col min="7154" max="7154" width="12" style="122" bestFit="1" customWidth="1"/>
    <col min="7155" max="7155" width="31.7109375" style="122" customWidth="1"/>
    <col min="7156" max="7156" width="13.85546875" style="122" customWidth="1"/>
    <col min="7157" max="7157" width="13.42578125" style="122" customWidth="1"/>
    <col min="7158" max="7161" width="16.140625" style="122" bestFit="1" customWidth="1"/>
    <col min="7162" max="7165" width="17.42578125" style="122" bestFit="1" customWidth="1"/>
    <col min="7166" max="7169" width="17.42578125" style="122" customWidth="1"/>
    <col min="7170" max="7170" width="27.28515625" style="122" customWidth="1"/>
    <col min="7171" max="7171" width="15.85546875" style="122" bestFit="1" customWidth="1"/>
    <col min="7172" max="7172" width="12.42578125" style="122" bestFit="1" customWidth="1"/>
    <col min="7173" max="7183" width="11.42578125" style="122" customWidth="1"/>
    <col min="7184" max="7184" width="17.140625" style="122" customWidth="1"/>
    <col min="7185" max="7185" width="11.42578125" style="122" customWidth="1"/>
    <col min="7186" max="7186" width="34.28515625" style="122" bestFit="1" customWidth="1"/>
    <col min="7187" max="7390" width="11.42578125" style="122"/>
    <col min="7391" max="7391" width="8.85546875" style="122" customWidth="1"/>
    <col min="7392" max="7392" width="35.7109375" style="122" bestFit="1" customWidth="1"/>
    <col min="7393" max="7393" width="5" style="122" customWidth="1"/>
    <col min="7394" max="7396" width="12.85546875" style="122" bestFit="1" customWidth="1"/>
    <col min="7397" max="7407" width="15.140625" style="122" customWidth="1"/>
    <col min="7408" max="7408" width="13.85546875" style="122" customWidth="1"/>
    <col min="7409" max="7409" width="11.42578125" style="122" customWidth="1"/>
    <col min="7410" max="7410" width="12" style="122" bestFit="1" customWidth="1"/>
    <col min="7411" max="7411" width="31.7109375" style="122" customWidth="1"/>
    <col min="7412" max="7412" width="13.85546875" style="122" customWidth="1"/>
    <col min="7413" max="7413" width="13.42578125" style="122" customWidth="1"/>
    <col min="7414" max="7417" width="16.140625" style="122" bestFit="1" customWidth="1"/>
    <col min="7418" max="7421" width="17.42578125" style="122" bestFit="1" customWidth="1"/>
    <col min="7422" max="7425" width="17.42578125" style="122" customWidth="1"/>
    <col min="7426" max="7426" width="27.28515625" style="122" customWidth="1"/>
    <col min="7427" max="7427" width="15.85546875" style="122" bestFit="1" customWidth="1"/>
    <col min="7428" max="7428" width="12.42578125" style="122" bestFit="1" customWidth="1"/>
    <col min="7429" max="7439" width="11.42578125" style="122" customWidth="1"/>
    <col min="7440" max="7440" width="17.140625" style="122" customWidth="1"/>
    <col min="7441" max="7441" width="11.42578125" style="122" customWidth="1"/>
    <col min="7442" max="7442" width="34.28515625" style="122" bestFit="1" customWidth="1"/>
    <col min="7443" max="7646" width="11.42578125" style="122"/>
    <col min="7647" max="7647" width="8.85546875" style="122" customWidth="1"/>
    <col min="7648" max="7648" width="35.7109375" style="122" bestFit="1" customWidth="1"/>
    <col min="7649" max="7649" width="5" style="122" customWidth="1"/>
    <col min="7650" max="7652" width="12.85546875" style="122" bestFit="1" customWidth="1"/>
    <col min="7653" max="7663" width="15.140625" style="122" customWidth="1"/>
    <col min="7664" max="7664" width="13.85546875" style="122" customWidth="1"/>
    <col min="7665" max="7665" width="11.42578125" style="122" customWidth="1"/>
    <col min="7666" max="7666" width="12" style="122" bestFit="1" customWidth="1"/>
    <col min="7667" max="7667" width="31.7109375" style="122" customWidth="1"/>
    <col min="7668" max="7668" width="13.85546875" style="122" customWidth="1"/>
    <col min="7669" max="7669" width="13.42578125" style="122" customWidth="1"/>
    <col min="7670" max="7673" width="16.140625" style="122" bestFit="1" customWidth="1"/>
    <col min="7674" max="7677" width="17.42578125" style="122" bestFit="1" customWidth="1"/>
    <col min="7678" max="7681" width="17.42578125" style="122" customWidth="1"/>
    <col min="7682" max="7682" width="27.28515625" style="122" customWidth="1"/>
    <col min="7683" max="7683" width="15.85546875" style="122" bestFit="1" customWidth="1"/>
    <col min="7684" max="7684" width="12.42578125" style="122" bestFit="1" customWidth="1"/>
    <col min="7685" max="7695" width="11.42578125" style="122" customWidth="1"/>
    <col min="7696" max="7696" width="17.140625" style="122" customWidth="1"/>
    <col min="7697" max="7697" width="11.42578125" style="122" customWidth="1"/>
    <col min="7698" max="7698" width="34.28515625" style="122" bestFit="1" customWidth="1"/>
    <col min="7699" max="7902" width="11.42578125" style="122"/>
    <col min="7903" max="7903" width="8.85546875" style="122" customWidth="1"/>
    <col min="7904" max="7904" width="35.7109375" style="122" bestFit="1" customWidth="1"/>
    <col min="7905" max="7905" width="5" style="122" customWidth="1"/>
    <col min="7906" max="7908" width="12.85546875" style="122" bestFit="1" customWidth="1"/>
    <col min="7909" max="7919" width="15.140625" style="122" customWidth="1"/>
    <col min="7920" max="7920" width="13.85546875" style="122" customWidth="1"/>
    <col min="7921" max="7921" width="11.42578125" style="122" customWidth="1"/>
    <col min="7922" max="7922" width="12" style="122" bestFit="1" customWidth="1"/>
    <col min="7923" max="7923" width="31.7109375" style="122" customWidth="1"/>
    <col min="7924" max="7924" width="13.85546875" style="122" customWidth="1"/>
    <col min="7925" max="7925" width="13.42578125" style="122" customWidth="1"/>
    <col min="7926" max="7929" width="16.140625" style="122" bestFit="1" customWidth="1"/>
    <col min="7930" max="7933" width="17.42578125" style="122" bestFit="1" customWidth="1"/>
    <col min="7934" max="7937" width="17.42578125" style="122" customWidth="1"/>
    <col min="7938" max="7938" width="27.28515625" style="122" customWidth="1"/>
    <col min="7939" max="7939" width="15.85546875" style="122" bestFit="1" customWidth="1"/>
    <col min="7940" max="7940" width="12.42578125" style="122" bestFit="1" customWidth="1"/>
    <col min="7941" max="7951" width="11.42578125" style="122" customWidth="1"/>
    <col min="7952" max="7952" width="17.140625" style="122" customWidth="1"/>
    <col min="7953" max="7953" width="11.42578125" style="122" customWidth="1"/>
    <col min="7954" max="7954" width="34.28515625" style="122" bestFit="1" customWidth="1"/>
    <col min="7955" max="8158" width="11.42578125" style="122"/>
    <col min="8159" max="8159" width="8.85546875" style="122" customWidth="1"/>
    <col min="8160" max="8160" width="35.7109375" style="122" bestFit="1" customWidth="1"/>
    <col min="8161" max="8161" width="5" style="122" customWidth="1"/>
    <col min="8162" max="8164" width="12.85546875" style="122" bestFit="1" customWidth="1"/>
    <col min="8165" max="8175" width="15.140625" style="122" customWidth="1"/>
    <col min="8176" max="8176" width="13.85546875" style="122" customWidth="1"/>
    <col min="8177" max="8177" width="11.42578125" style="122" customWidth="1"/>
    <col min="8178" max="8178" width="12" style="122" bestFit="1" customWidth="1"/>
    <col min="8179" max="8179" width="31.7109375" style="122" customWidth="1"/>
    <col min="8180" max="8180" width="13.85546875" style="122" customWidth="1"/>
    <col min="8181" max="8181" width="13.42578125" style="122" customWidth="1"/>
    <col min="8182" max="8185" width="16.140625" style="122" bestFit="1" customWidth="1"/>
    <col min="8186" max="8189" width="17.42578125" style="122" bestFit="1" customWidth="1"/>
    <col min="8190" max="8193" width="17.42578125" style="122" customWidth="1"/>
    <col min="8194" max="8194" width="27.28515625" style="122" customWidth="1"/>
    <col min="8195" max="8195" width="15.85546875" style="122" bestFit="1" customWidth="1"/>
    <col min="8196" max="8196" width="12.42578125" style="122" bestFit="1" customWidth="1"/>
    <col min="8197" max="8207" width="11.42578125" style="122" customWidth="1"/>
    <col min="8208" max="8208" width="17.140625" style="122" customWidth="1"/>
    <col min="8209" max="8209" width="11.42578125" style="122" customWidth="1"/>
    <col min="8210" max="8210" width="34.28515625" style="122" bestFit="1" customWidth="1"/>
    <col min="8211" max="8414" width="11.42578125" style="122"/>
    <col min="8415" max="8415" width="8.85546875" style="122" customWidth="1"/>
    <col min="8416" max="8416" width="35.7109375" style="122" bestFit="1" customWidth="1"/>
    <col min="8417" max="8417" width="5" style="122" customWidth="1"/>
    <col min="8418" max="8420" width="12.85546875" style="122" bestFit="1" customWidth="1"/>
    <col min="8421" max="8431" width="15.140625" style="122" customWidth="1"/>
    <col min="8432" max="8432" width="13.85546875" style="122" customWidth="1"/>
    <col min="8433" max="8433" width="11.42578125" style="122" customWidth="1"/>
    <col min="8434" max="8434" width="12" style="122" bestFit="1" customWidth="1"/>
    <col min="8435" max="8435" width="31.7109375" style="122" customWidth="1"/>
    <col min="8436" max="8436" width="13.85546875" style="122" customWidth="1"/>
    <col min="8437" max="8437" width="13.42578125" style="122" customWidth="1"/>
    <col min="8438" max="8441" width="16.140625" style="122" bestFit="1" customWidth="1"/>
    <col min="8442" max="8445" width="17.42578125" style="122" bestFit="1" customWidth="1"/>
    <col min="8446" max="8449" width="17.42578125" style="122" customWidth="1"/>
    <col min="8450" max="8450" width="27.28515625" style="122" customWidth="1"/>
    <col min="8451" max="8451" width="15.85546875" style="122" bestFit="1" customWidth="1"/>
    <col min="8452" max="8452" width="12.42578125" style="122" bestFit="1" customWidth="1"/>
    <col min="8453" max="8463" width="11.42578125" style="122" customWidth="1"/>
    <col min="8464" max="8464" width="17.140625" style="122" customWidth="1"/>
    <col min="8465" max="8465" width="11.42578125" style="122" customWidth="1"/>
    <col min="8466" max="8466" width="34.28515625" style="122" bestFit="1" customWidth="1"/>
    <col min="8467" max="8670" width="11.42578125" style="122"/>
    <col min="8671" max="8671" width="8.85546875" style="122" customWidth="1"/>
    <col min="8672" max="8672" width="35.7109375" style="122" bestFit="1" customWidth="1"/>
    <col min="8673" max="8673" width="5" style="122" customWidth="1"/>
    <col min="8674" max="8676" width="12.85546875" style="122" bestFit="1" customWidth="1"/>
    <col min="8677" max="8687" width="15.140625" style="122" customWidth="1"/>
    <col min="8688" max="8688" width="13.85546875" style="122" customWidth="1"/>
    <col min="8689" max="8689" width="11.42578125" style="122" customWidth="1"/>
    <col min="8690" max="8690" width="12" style="122" bestFit="1" customWidth="1"/>
    <col min="8691" max="8691" width="31.7109375" style="122" customWidth="1"/>
    <col min="8692" max="8692" width="13.85546875" style="122" customWidth="1"/>
    <col min="8693" max="8693" width="13.42578125" style="122" customWidth="1"/>
    <col min="8694" max="8697" width="16.140625" style="122" bestFit="1" customWidth="1"/>
    <col min="8698" max="8701" width="17.42578125" style="122" bestFit="1" customWidth="1"/>
    <col min="8702" max="8705" width="17.42578125" style="122" customWidth="1"/>
    <col min="8706" max="8706" width="27.28515625" style="122" customWidth="1"/>
    <col min="8707" max="8707" width="15.85546875" style="122" bestFit="1" customWidth="1"/>
    <col min="8708" max="8708" width="12.42578125" style="122" bestFit="1" customWidth="1"/>
    <col min="8709" max="8719" width="11.42578125" style="122" customWidth="1"/>
    <col min="8720" max="8720" width="17.140625" style="122" customWidth="1"/>
    <col min="8721" max="8721" width="11.42578125" style="122" customWidth="1"/>
    <col min="8722" max="8722" width="34.28515625" style="122" bestFit="1" customWidth="1"/>
    <col min="8723" max="8926" width="11.42578125" style="122"/>
    <col min="8927" max="8927" width="8.85546875" style="122" customWidth="1"/>
    <col min="8928" max="8928" width="35.7109375" style="122" bestFit="1" customWidth="1"/>
    <col min="8929" max="8929" width="5" style="122" customWidth="1"/>
    <col min="8930" max="8932" width="12.85546875" style="122" bestFit="1" customWidth="1"/>
    <col min="8933" max="8943" width="15.140625" style="122" customWidth="1"/>
    <col min="8944" max="8944" width="13.85546875" style="122" customWidth="1"/>
    <col min="8945" max="8945" width="11.42578125" style="122" customWidth="1"/>
    <col min="8946" max="8946" width="12" style="122" bestFit="1" customWidth="1"/>
    <col min="8947" max="8947" width="31.7109375" style="122" customWidth="1"/>
    <col min="8948" max="8948" width="13.85546875" style="122" customWidth="1"/>
    <col min="8949" max="8949" width="13.42578125" style="122" customWidth="1"/>
    <col min="8950" max="8953" width="16.140625" style="122" bestFit="1" customWidth="1"/>
    <col min="8954" max="8957" width="17.42578125" style="122" bestFit="1" customWidth="1"/>
    <col min="8958" max="8961" width="17.42578125" style="122" customWidth="1"/>
    <col min="8962" max="8962" width="27.28515625" style="122" customWidth="1"/>
    <col min="8963" max="8963" width="15.85546875" style="122" bestFit="1" customWidth="1"/>
    <col min="8964" max="8964" width="12.42578125" style="122" bestFit="1" customWidth="1"/>
    <col min="8965" max="8975" width="11.42578125" style="122" customWidth="1"/>
    <col min="8976" max="8976" width="17.140625" style="122" customWidth="1"/>
    <col min="8977" max="8977" width="11.42578125" style="122" customWidth="1"/>
    <col min="8978" max="8978" width="34.28515625" style="122" bestFit="1" customWidth="1"/>
    <col min="8979" max="9182" width="11.42578125" style="122"/>
    <col min="9183" max="9183" width="8.85546875" style="122" customWidth="1"/>
    <col min="9184" max="9184" width="35.7109375" style="122" bestFit="1" customWidth="1"/>
    <col min="9185" max="9185" width="5" style="122" customWidth="1"/>
    <col min="9186" max="9188" width="12.85546875" style="122" bestFit="1" customWidth="1"/>
    <col min="9189" max="9199" width="15.140625" style="122" customWidth="1"/>
    <col min="9200" max="9200" width="13.85546875" style="122" customWidth="1"/>
    <col min="9201" max="9201" width="11.42578125" style="122" customWidth="1"/>
    <col min="9202" max="9202" width="12" style="122" bestFit="1" customWidth="1"/>
    <col min="9203" max="9203" width="31.7109375" style="122" customWidth="1"/>
    <col min="9204" max="9204" width="13.85546875" style="122" customWidth="1"/>
    <col min="9205" max="9205" width="13.42578125" style="122" customWidth="1"/>
    <col min="9206" max="9209" width="16.140625" style="122" bestFit="1" customWidth="1"/>
    <col min="9210" max="9213" width="17.42578125" style="122" bestFit="1" customWidth="1"/>
    <col min="9214" max="9217" width="17.42578125" style="122" customWidth="1"/>
    <col min="9218" max="9218" width="27.28515625" style="122" customWidth="1"/>
    <col min="9219" max="9219" width="15.85546875" style="122" bestFit="1" customWidth="1"/>
    <col min="9220" max="9220" width="12.42578125" style="122" bestFit="1" customWidth="1"/>
    <col min="9221" max="9231" width="11.42578125" style="122" customWidth="1"/>
    <col min="9232" max="9232" width="17.140625" style="122" customWidth="1"/>
    <col min="9233" max="9233" width="11.42578125" style="122" customWidth="1"/>
    <col min="9234" max="9234" width="34.28515625" style="122" bestFit="1" customWidth="1"/>
    <col min="9235" max="9438" width="11.42578125" style="122"/>
    <col min="9439" max="9439" width="8.85546875" style="122" customWidth="1"/>
    <col min="9440" max="9440" width="35.7109375" style="122" bestFit="1" customWidth="1"/>
    <col min="9441" max="9441" width="5" style="122" customWidth="1"/>
    <col min="9442" max="9444" width="12.85546875" style="122" bestFit="1" customWidth="1"/>
    <col min="9445" max="9455" width="15.140625" style="122" customWidth="1"/>
    <col min="9456" max="9456" width="13.85546875" style="122" customWidth="1"/>
    <col min="9457" max="9457" width="11.42578125" style="122" customWidth="1"/>
    <col min="9458" max="9458" width="12" style="122" bestFit="1" customWidth="1"/>
    <col min="9459" max="9459" width="31.7109375" style="122" customWidth="1"/>
    <col min="9460" max="9460" width="13.85546875" style="122" customWidth="1"/>
    <col min="9461" max="9461" width="13.42578125" style="122" customWidth="1"/>
    <col min="9462" max="9465" width="16.140625" style="122" bestFit="1" customWidth="1"/>
    <col min="9466" max="9469" width="17.42578125" style="122" bestFit="1" customWidth="1"/>
    <col min="9470" max="9473" width="17.42578125" style="122" customWidth="1"/>
    <col min="9474" max="9474" width="27.28515625" style="122" customWidth="1"/>
    <col min="9475" max="9475" width="15.85546875" style="122" bestFit="1" customWidth="1"/>
    <col min="9476" max="9476" width="12.42578125" style="122" bestFit="1" customWidth="1"/>
    <col min="9477" max="9487" width="11.42578125" style="122" customWidth="1"/>
    <col min="9488" max="9488" width="17.140625" style="122" customWidth="1"/>
    <col min="9489" max="9489" width="11.42578125" style="122" customWidth="1"/>
    <col min="9490" max="9490" width="34.28515625" style="122" bestFit="1" customWidth="1"/>
    <col min="9491" max="9694" width="11.42578125" style="122"/>
    <col min="9695" max="9695" width="8.85546875" style="122" customWidth="1"/>
    <col min="9696" max="9696" width="35.7109375" style="122" bestFit="1" customWidth="1"/>
    <col min="9697" max="9697" width="5" style="122" customWidth="1"/>
    <col min="9698" max="9700" width="12.85546875" style="122" bestFit="1" customWidth="1"/>
    <col min="9701" max="9711" width="15.140625" style="122" customWidth="1"/>
    <col min="9712" max="9712" width="13.85546875" style="122" customWidth="1"/>
    <col min="9713" max="9713" width="11.42578125" style="122" customWidth="1"/>
    <col min="9714" max="9714" width="12" style="122" bestFit="1" customWidth="1"/>
    <col min="9715" max="9715" width="31.7109375" style="122" customWidth="1"/>
    <col min="9716" max="9716" width="13.85546875" style="122" customWidth="1"/>
    <col min="9717" max="9717" width="13.42578125" style="122" customWidth="1"/>
    <col min="9718" max="9721" width="16.140625" style="122" bestFit="1" customWidth="1"/>
    <col min="9722" max="9725" width="17.42578125" style="122" bestFit="1" customWidth="1"/>
    <col min="9726" max="9729" width="17.42578125" style="122" customWidth="1"/>
    <col min="9730" max="9730" width="27.28515625" style="122" customWidth="1"/>
    <col min="9731" max="9731" width="15.85546875" style="122" bestFit="1" customWidth="1"/>
    <col min="9732" max="9732" width="12.42578125" style="122" bestFit="1" customWidth="1"/>
    <col min="9733" max="9743" width="11.42578125" style="122" customWidth="1"/>
    <col min="9744" max="9744" width="17.140625" style="122" customWidth="1"/>
    <col min="9745" max="9745" width="11.42578125" style="122" customWidth="1"/>
    <col min="9746" max="9746" width="34.28515625" style="122" bestFit="1" customWidth="1"/>
    <col min="9747" max="9950" width="11.42578125" style="122"/>
    <col min="9951" max="9951" width="8.85546875" style="122" customWidth="1"/>
    <col min="9952" max="9952" width="35.7109375" style="122" bestFit="1" customWidth="1"/>
    <col min="9953" max="9953" width="5" style="122" customWidth="1"/>
    <col min="9954" max="9956" width="12.85546875" style="122" bestFit="1" customWidth="1"/>
    <col min="9957" max="9967" width="15.140625" style="122" customWidth="1"/>
    <col min="9968" max="9968" width="13.85546875" style="122" customWidth="1"/>
    <col min="9969" max="9969" width="11.42578125" style="122" customWidth="1"/>
    <col min="9970" max="9970" width="12" style="122" bestFit="1" customWidth="1"/>
    <col min="9971" max="9971" width="31.7109375" style="122" customWidth="1"/>
    <col min="9972" max="9972" width="13.85546875" style="122" customWidth="1"/>
    <col min="9973" max="9973" width="13.42578125" style="122" customWidth="1"/>
    <col min="9974" max="9977" width="16.140625" style="122" bestFit="1" customWidth="1"/>
    <col min="9978" max="9981" width="17.42578125" style="122" bestFit="1" customWidth="1"/>
    <col min="9982" max="9985" width="17.42578125" style="122" customWidth="1"/>
    <col min="9986" max="9986" width="27.28515625" style="122" customWidth="1"/>
    <col min="9987" max="9987" width="15.85546875" style="122" bestFit="1" customWidth="1"/>
    <col min="9988" max="9988" width="12.42578125" style="122" bestFit="1" customWidth="1"/>
    <col min="9989" max="9999" width="11.42578125" style="122" customWidth="1"/>
    <col min="10000" max="10000" width="17.140625" style="122" customWidth="1"/>
    <col min="10001" max="10001" width="11.42578125" style="122" customWidth="1"/>
    <col min="10002" max="10002" width="34.28515625" style="122" bestFit="1" customWidth="1"/>
    <col min="10003" max="10206" width="11.42578125" style="122"/>
    <col min="10207" max="10207" width="8.85546875" style="122" customWidth="1"/>
    <col min="10208" max="10208" width="35.7109375" style="122" bestFit="1" customWidth="1"/>
    <col min="10209" max="10209" width="5" style="122" customWidth="1"/>
    <col min="10210" max="10212" width="12.85546875" style="122" bestFit="1" customWidth="1"/>
    <col min="10213" max="10223" width="15.140625" style="122" customWidth="1"/>
    <col min="10224" max="10224" width="13.85546875" style="122" customWidth="1"/>
    <col min="10225" max="10225" width="11.42578125" style="122" customWidth="1"/>
    <col min="10226" max="10226" width="12" style="122" bestFit="1" customWidth="1"/>
    <col min="10227" max="10227" width="31.7109375" style="122" customWidth="1"/>
    <col min="10228" max="10228" width="13.85546875" style="122" customWidth="1"/>
    <col min="10229" max="10229" width="13.42578125" style="122" customWidth="1"/>
    <col min="10230" max="10233" width="16.140625" style="122" bestFit="1" customWidth="1"/>
    <col min="10234" max="10237" width="17.42578125" style="122" bestFit="1" customWidth="1"/>
    <col min="10238" max="10241" width="17.42578125" style="122" customWidth="1"/>
    <col min="10242" max="10242" width="27.28515625" style="122" customWidth="1"/>
    <col min="10243" max="10243" width="15.85546875" style="122" bestFit="1" customWidth="1"/>
    <col min="10244" max="10244" width="12.42578125" style="122" bestFit="1" customWidth="1"/>
    <col min="10245" max="10255" width="11.42578125" style="122" customWidth="1"/>
    <col min="10256" max="10256" width="17.140625" style="122" customWidth="1"/>
    <col min="10257" max="10257" width="11.42578125" style="122" customWidth="1"/>
    <col min="10258" max="10258" width="34.28515625" style="122" bestFit="1" customWidth="1"/>
    <col min="10259" max="10462" width="11.42578125" style="122"/>
    <col min="10463" max="10463" width="8.85546875" style="122" customWidth="1"/>
    <col min="10464" max="10464" width="35.7109375" style="122" bestFit="1" customWidth="1"/>
    <col min="10465" max="10465" width="5" style="122" customWidth="1"/>
    <col min="10466" max="10468" width="12.85546875" style="122" bestFit="1" customWidth="1"/>
    <col min="10469" max="10479" width="15.140625" style="122" customWidth="1"/>
    <col min="10480" max="10480" width="13.85546875" style="122" customWidth="1"/>
    <col min="10481" max="10481" width="11.42578125" style="122" customWidth="1"/>
    <col min="10482" max="10482" width="12" style="122" bestFit="1" customWidth="1"/>
    <col min="10483" max="10483" width="31.7109375" style="122" customWidth="1"/>
    <col min="10484" max="10484" width="13.85546875" style="122" customWidth="1"/>
    <col min="10485" max="10485" width="13.42578125" style="122" customWidth="1"/>
    <col min="10486" max="10489" width="16.140625" style="122" bestFit="1" customWidth="1"/>
    <col min="10490" max="10493" width="17.42578125" style="122" bestFit="1" customWidth="1"/>
    <col min="10494" max="10497" width="17.42578125" style="122" customWidth="1"/>
    <col min="10498" max="10498" width="27.28515625" style="122" customWidth="1"/>
    <col min="10499" max="10499" width="15.85546875" style="122" bestFit="1" customWidth="1"/>
    <col min="10500" max="10500" width="12.42578125" style="122" bestFit="1" customWidth="1"/>
    <col min="10501" max="10511" width="11.42578125" style="122" customWidth="1"/>
    <col min="10512" max="10512" width="17.140625" style="122" customWidth="1"/>
    <col min="10513" max="10513" width="11.42578125" style="122" customWidth="1"/>
    <col min="10514" max="10514" width="34.28515625" style="122" bestFit="1" customWidth="1"/>
    <col min="10515" max="10718" width="11.42578125" style="122"/>
    <col min="10719" max="10719" width="8.85546875" style="122" customWidth="1"/>
    <col min="10720" max="10720" width="35.7109375" style="122" bestFit="1" customWidth="1"/>
    <col min="10721" max="10721" width="5" style="122" customWidth="1"/>
    <col min="10722" max="10724" width="12.85546875" style="122" bestFit="1" customWidth="1"/>
    <col min="10725" max="10735" width="15.140625" style="122" customWidth="1"/>
    <col min="10736" max="10736" width="13.85546875" style="122" customWidth="1"/>
    <col min="10737" max="10737" width="11.42578125" style="122" customWidth="1"/>
    <col min="10738" max="10738" width="12" style="122" bestFit="1" customWidth="1"/>
    <col min="10739" max="10739" width="31.7109375" style="122" customWidth="1"/>
    <col min="10740" max="10740" width="13.85546875" style="122" customWidth="1"/>
    <col min="10741" max="10741" width="13.42578125" style="122" customWidth="1"/>
    <col min="10742" max="10745" width="16.140625" style="122" bestFit="1" customWidth="1"/>
    <col min="10746" max="10749" width="17.42578125" style="122" bestFit="1" customWidth="1"/>
    <col min="10750" max="10753" width="17.42578125" style="122" customWidth="1"/>
    <col min="10754" max="10754" width="27.28515625" style="122" customWidth="1"/>
    <col min="10755" max="10755" width="15.85546875" style="122" bestFit="1" customWidth="1"/>
    <col min="10756" max="10756" width="12.42578125" style="122" bestFit="1" customWidth="1"/>
    <col min="10757" max="10767" width="11.42578125" style="122" customWidth="1"/>
    <col min="10768" max="10768" width="17.140625" style="122" customWidth="1"/>
    <col min="10769" max="10769" width="11.42578125" style="122" customWidth="1"/>
    <col min="10770" max="10770" width="34.28515625" style="122" bestFit="1" customWidth="1"/>
    <col min="10771" max="10974" width="11.42578125" style="122"/>
    <col min="10975" max="10975" width="8.85546875" style="122" customWidth="1"/>
    <col min="10976" max="10976" width="35.7109375" style="122" bestFit="1" customWidth="1"/>
    <col min="10977" max="10977" width="5" style="122" customWidth="1"/>
    <col min="10978" max="10980" width="12.85546875" style="122" bestFit="1" customWidth="1"/>
    <col min="10981" max="10991" width="15.140625" style="122" customWidth="1"/>
    <col min="10992" max="10992" width="13.85546875" style="122" customWidth="1"/>
    <col min="10993" max="10993" width="11.42578125" style="122" customWidth="1"/>
    <col min="10994" max="10994" width="12" style="122" bestFit="1" customWidth="1"/>
    <col min="10995" max="10995" width="31.7109375" style="122" customWidth="1"/>
    <col min="10996" max="10996" width="13.85546875" style="122" customWidth="1"/>
    <col min="10997" max="10997" width="13.42578125" style="122" customWidth="1"/>
    <col min="10998" max="11001" width="16.140625" style="122" bestFit="1" customWidth="1"/>
    <col min="11002" max="11005" width="17.42578125" style="122" bestFit="1" customWidth="1"/>
    <col min="11006" max="11009" width="17.42578125" style="122" customWidth="1"/>
    <col min="11010" max="11010" width="27.28515625" style="122" customWidth="1"/>
    <col min="11011" max="11011" width="15.85546875" style="122" bestFit="1" customWidth="1"/>
    <col min="11012" max="11012" width="12.42578125" style="122" bestFit="1" customWidth="1"/>
    <col min="11013" max="11023" width="11.42578125" style="122" customWidth="1"/>
    <col min="11024" max="11024" width="17.140625" style="122" customWidth="1"/>
    <col min="11025" max="11025" width="11.42578125" style="122" customWidth="1"/>
    <col min="11026" max="11026" width="34.28515625" style="122" bestFit="1" customWidth="1"/>
    <col min="11027" max="11230" width="11.42578125" style="122"/>
    <col min="11231" max="11231" width="8.85546875" style="122" customWidth="1"/>
    <col min="11232" max="11232" width="35.7109375" style="122" bestFit="1" customWidth="1"/>
    <col min="11233" max="11233" width="5" style="122" customWidth="1"/>
    <col min="11234" max="11236" width="12.85546875" style="122" bestFit="1" customWidth="1"/>
    <col min="11237" max="11247" width="15.140625" style="122" customWidth="1"/>
    <col min="11248" max="11248" width="13.85546875" style="122" customWidth="1"/>
    <col min="11249" max="11249" width="11.42578125" style="122" customWidth="1"/>
    <col min="11250" max="11250" width="12" style="122" bestFit="1" customWidth="1"/>
    <col min="11251" max="11251" width="31.7109375" style="122" customWidth="1"/>
    <col min="11252" max="11252" width="13.85546875" style="122" customWidth="1"/>
    <col min="11253" max="11253" width="13.42578125" style="122" customWidth="1"/>
    <col min="11254" max="11257" width="16.140625" style="122" bestFit="1" customWidth="1"/>
    <col min="11258" max="11261" width="17.42578125" style="122" bestFit="1" customWidth="1"/>
    <col min="11262" max="11265" width="17.42578125" style="122" customWidth="1"/>
    <col min="11266" max="11266" width="27.28515625" style="122" customWidth="1"/>
    <col min="11267" max="11267" width="15.85546875" style="122" bestFit="1" customWidth="1"/>
    <col min="11268" max="11268" width="12.42578125" style="122" bestFit="1" customWidth="1"/>
    <col min="11269" max="11279" width="11.42578125" style="122" customWidth="1"/>
    <col min="11280" max="11280" width="17.140625" style="122" customWidth="1"/>
    <col min="11281" max="11281" width="11.42578125" style="122" customWidth="1"/>
    <col min="11282" max="11282" width="34.28515625" style="122" bestFit="1" customWidth="1"/>
    <col min="11283" max="11486" width="11.42578125" style="122"/>
    <col min="11487" max="11487" width="8.85546875" style="122" customWidth="1"/>
    <col min="11488" max="11488" width="35.7109375" style="122" bestFit="1" customWidth="1"/>
    <col min="11489" max="11489" width="5" style="122" customWidth="1"/>
    <col min="11490" max="11492" width="12.85546875" style="122" bestFit="1" customWidth="1"/>
    <col min="11493" max="11503" width="15.140625" style="122" customWidth="1"/>
    <col min="11504" max="11504" width="13.85546875" style="122" customWidth="1"/>
    <col min="11505" max="11505" width="11.42578125" style="122" customWidth="1"/>
    <col min="11506" max="11506" width="12" style="122" bestFit="1" customWidth="1"/>
    <col min="11507" max="11507" width="31.7109375" style="122" customWidth="1"/>
    <col min="11508" max="11508" width="13.85546875" style="122" customWidth="1"/>
    <col min="11509" max="11509" width="13.42578125" style="122" customWidth="1"/>
    <col min="11510" max="11513" width="16.140625" style="122" bestFit="1" customWidth="1"/>
    <col min="11514" max="11517" width="17.42578125" style="122" bestFit="1" customWidth="1"/>
    <col min="11518" max="11521" width="17.42578125" style="122" customWidth="1"/>
    <col min="11522" max="11522" width="27.28515625" style="122" customWidth="1"/>
    <col min="11523" max="11523" width="15.85546875" style="122" bestFit="1" customWidth="1"/>
    <col min="11524" max="11524" width="12.42578125" style="122" bestFit="1" customWidth="1"/>
    <col min="11525" max="11535" width="11.42578125" style="122" customWidth="1"/>
    <col min="11536" max="11536" width="17.140625" style="122" customWidth="1"/>
    <col min="11537" max="11537" width="11.42578125" style="122" customWidth="1"/>
    <col min="11538" max="11538" width="34.28515625" style="122" bestFit="1" customWidth="1"/>
    <col min="11539" max="11742" width="11.42578125" style="122"/>
    <col min="11743" max="11743" width="8.85546875" style="122" customWidth="1"/>
    <col min="11744" max="11744" width="35.7109375" style="122" bestFit="1" customWidth="1"/>
    <col min="11745" max="11745" width="5" style="122" customWidth="1"/>
    <col min="11746" max="11748" width="12.85546875" style="122" bestFit="1" customWidth="1"/>
    <col min="11749" max="11759" width="15.140625" style="122" customWidth="1"/>
    <col min="11760" max="11760" width="13.85546875" style="122" customWidth="1"/>
    <col min="11761" max="11761" width="11.42578125" style="122" customWidth="1"/>
    <col min="11762" max="11762" width="12" style="122" bestFit="1" customWidth="1"/>
    <col min="11763" max="11763" width="31.7109375" style="122" customWidth="1"/>
    <col min="11764" max="11764" width="13.85546875" style="122" customWidth="1"/>
    <col min="11765" max="11765" width="13.42578125" style="122" customWidth="1"/>
    <col min="11766" max="11769" width="16.140625" style="122" bestFit="1" customWidth="1"/>
    <col min="11770" max="11773" width="17.42578125" style="122" bestFit="1" customWidth="1"/>
    <col min="11774" max="11777" width="17.42578125" style="122" customWidth="1"/>
    <col min="11778" max="11778" width="27.28515625" style="122" customWidth="1"/>
    <col min="11779" max="11779" width="15.85546875" style="122" bestFit="1" customWidth="1"/>
    <col min="11780" max="11780" width="12.42578125" style="122" bestFit="1" customWidth="1"/>
    <col min="11781" max="11791" width="11.42578125" style="122" customWidth="1"/>
    <col min="11792" max="11792" width="17.140625" style="122" customWidth="1"/>
    <col min="11793" max="11793" width="11.42578125" style="122" customWidth="1"/>
    <col min="11794" max="11794" width="34.28515625" style="122" bestFit="1" customWidth="1"/>
    <col min="11795" max="11998" width="11.42578125" style="122"/>
    <col min="11999" max="11999" width="8.85546875" style="122" customWidth="1"/>
    <col min="12000" max="12000" width="35.7109375" style="122" bestFit="1" customWidth="1"/>
    <col min="12001" max="12001" width="5" style="122" customWidth="1"/>
    <col min="12002" max="12004" width="12.85546875" style="122" bestFit="1" customWidth="1"/>
    <col min="12005" max="12015" width="15.140625" style="122" customWidth="1"/>
    <col min="12016" max="12016" width="13.85546875" style="122" customWidth="1"/>
    <col min="12017" max="12017" width="11.42578125" style="122" customWidth="1"/>
    <col min="12018" max="12018" width="12" style="122" bestFit="1" customWidth="1"/>
    <col min="12019" max="12019" width="31.7109375" style="122" customWidth="1"/>
    <col min="12020" max="12020" width="13.85546875" style="122" customWidth="1"/>
    <col min="12021" max="12021" width="13.42578125" style="122" customWidth="1"/>
    <col min="12022" max="12025" width="16.140625" style="122" bestFit="1" customWidth="1"/>
    <col min="12026" max="12029" width="17.42578125" style="122" bestFit="1" customWidth="1"/>
    <col min="12030" max="12033" width="17.42578125" style="122" customWidth="1"/>
    <col min="12034" max="12034" width="27.28515625" style="122" customWidth="1"/>
    <col min="12035" max="12035" width="15.85546875" style="122" bestFit="1" customWidth="1"/>
    <col min="12036" max="12036" width="12.42578125" style="122" bestFit="1" customWidth="1"/>
    <col min="12037" max="12047" width="11.42578125" style="122" customWidth="1"/>
    <col min="12048" max="12048" width="17.140625" style="122" customWidth="1"/>
    <col min="12049" max="12049" width="11.42578125" style="122" customWidth="1"/>
    <col min="12050" max="12050" width="34.28515625" style="122" bestFit="1" customWidth="1"/>
    <col min="12051" max="12254" width="11.42578125" style="122"/>
    <col min="12255" max="12255" width="8.85546875" style="122" customWidth="1"/>
    <col min="12256" max="12256" width="35.7109375" style="122" bestFit="1" customWidth="1"/>
    <col min="12257" max="12257" width="5" style="122" customWidth="1"/>
    <col min="12258" max="12260" width="12.85546875" style="122" bestFit="1" customWidth="1"/>
    <col min="12261" max="12271" width="15.140625" style="122" customWidth="1"/>
    <col min="12272" max="12272" width="13.85546875" style="122" customWidth="1"/>
    <col min="12273" max="12273" width="11.42578125" style="122" customWidth="1"/>
    <col min="12274" max="12274" width="12" style="122" bestFit="1" customWidth="1"/>
    <col min="12275" max="12275" width="31.7109375" style="122" customWidth="1"/>
    <col min="12276" max="12276" width="13.85546875" style="122" customWidth="1"/>
    <col min="12277" max="12277" width="13.42578125" style="122" customWidth="1"/>
    <col min="12278" max="12281" width="16.140625" style="122" bestFit="1" customWidth="1"/>
    <col min="12282" max="12285" width="17.42578125" style="122" bestFit="1" customWidth="1"/>
    <col min="12286" max="12289" width="17.42578125" style="122" customWidth="1"/>
    <col min="12290" max="12290" width="27.28515625" style="122" customWidth="1"/>
    <col min="12291" max="12291" width="15.85546875" style="122" bestFit="1" customWidth="1"/>
    <col min="12292" max="12292" width="12.42578125" style="122" bestFit="1" customWidth="1"/>
    <col min="12293" max="12303" width="11.42578125" style="122" customWidth="1"/>
    <col min="12304" max="12304" width="17.140625" style="122" customWidth="1"/>
    <col min="12305" max="12305" width="11.42578125" style="122" customWidth="1"/>
    <col min="12306" max="12306" width="34.28515625" style="122" bestFit="1" customWidth="1"/>
    <col min="12307" max="12510" width="11.42578125" style="122"/>
    <col min="12511" max="12511" width="8.85546875" style="122" customWidth="1"/>
    <col min="12512" max="12512" width="35.7109375" style="122" bestFit="1" customWidth="1"/>
    <col min="12513" max="12513" width="5" style="122" customWidth="1"/>
    <col min="12514" max="12516" width="12.85546875" style="122" bestFit="1" customWidth="1"/>
    <col min="12517" max="12527" width="15.140625" style="122" customWidth="1"/>
    <col min="12528" max="12528" width="13.85546875" style="122" customWidth="1"/>
    <col min="12529" max="12529" width="11.42578125" style="122" customWidth="1"/>
    <col min="12530" max="12530" width="12" style="122" bestFit="1" customWidth="1"/>
    <col min="12531" max="12531" width="31.7109375" style="122" customWidth="1"/>
    <col min="12532" max="12532" width="13.85546875" style="122" customWidth="1"/>
    <col min="12533" max="12533" width="13.42578125" style="122" customWidth="1"/>
    <col min="12534" max="12537" width="16.140625" style="122" bestFit="1" customWidth="1"/>
    <col min="12538" max="12541" width="17.42578125" style="122" bestFit="1" customWidth="1"/>
    <col min="12542" max="12545" width="17.42578125" style="122" customWidth="1"/>
    <col min="12546" max="12546" width="27.28515625" style="122" customWidth="1"/>
    <col min="12547" max="12547" width="15.85546875" style="122" bestFit="1" customWidth="1"/>
    <col min="12548" max="12548" width="12.42578125" style="122" bestFit="1" customWidth="1"/>
    <col min="12549" max="12559" width="11.42578125" style="122" customWidth="1"/>
    <col min="12560" max="12560" width="17.140625" style="122" customWidth="1"/>
    <col min="12561" max="12561" width="11.42578125" style="122" customWidth="1"/>
    <col min="12562" max="12562" width="34.28515625" style="122" bestFit="1" customWidth="1"/>
    <col min="12563" max="12766" width="11.42578125" style="122"/>
    <col min="12767" max="12767" width="8.85546875" style="122" customWidth="1"/>
    <col min="12768" max="12768" width="35.7109375" style="122" bestFit="1" customWidth="1"/>
    <col min="12769" max="12769" width="5" style="122" customWidth="1"/>
    <col min="12770" max="12772" width="12.85546875" style="122" bestFit="1" customWidth="1"/>
    <col min="12773" max="12783" width="15.140625" style="122" customWidth="1"/>
    <col min="12784" max="12784" width="13.85546875" style="122" customWidth="1"/>
    <col min="12785" max="12785" width="11.42578125" style="122" customWidth="1"/>
    <col min="12786" max="12786" width="12" style="122" bestFit="1" customWidth="1"/>
    <col min="12787" max="12787" width="31.7109375" style="122" customWidth="1"/>
    <col min="12788" max="12788" width="13.85546875" style="122" customWidth="1"/>
    <col min="12789" max="12789" width="13.42578125" style="122" customWidth="1"/>
    <col min="12790" max="12793" width="16.140625" style="122" bestFit="1" customWidth="1"/>
    <col min="12794" max="12797" width="17.42578125" style="122" bestFit="1" customWidth="1"/>
    <col min="12798" max="12801" width="17.42578125" style="122" customWidth="1"/>
    <col min="12802" max="12802" width="27.28515625" style="122" customWidth="1"/>
    <col min="12803" max="12803" width="15.85546875" style="122" bestFit="1" customWidth="1"/>
    <col min="12804" max="12804" width="12.42578125" style="122" bestFit="1" customWidth="1"/>
    <col min="12805" max="12815" width="11.42578125" style="122" customWidth="1"/>
    <col min="12816" max="12816" width="17.140625" style="122" customWidth="1"/>
    <col min="12817" max="12817" width="11.42578125" style="122" customWidth="1"/>
    <col min="12818" max="12818" width="34.28515625" style="122" bestFit="1" customWidth="1"/>
    <col min="12819" max="13022" width="11.42578125" style="122"/>
    <col min="13023" max="13023" width="8.85546875" style="122" customWidth="1"/>
    <col min="13024" max="13024" width="35.7109375" style="122" bestFit="1" customWidth="1"/>
    <col min="13025" max="13025" width="5" style="122" customWidth="1"/>
    <col min="13026" max="13028" width="12.85546875" style="122" bestFit="1" customWidth="1"/>
    <col min="13029" max="13039" width="15.140625" style="122" customWidth="1"/>
    <col min="13040" max="13040" width="13.85546875" style="122" customWidth="1"/>
    <col min="13041" max="13041" width="11.42578125" style="122" customWidth="1"/>
    <col min="13042" max="13042" width="12" style="122" bestFit="1" customWidth="1"/>
    <col min="13043" max="13043" width="31.7109375" style="122" customWidth="1"/>
    <col min="13044" max="13044" width="13.85546875" style="122" customWidth="1"/>
    <col min="13045" max="13045" width="13.42578125" style="122" customWidth="1"/>
    <col min="13046" max="13049" width="16.140625" style="122" bestFit="1" customWidth="1"/>
    <col min="13050" max="13053" width="17.42578125" style="122" bestFit="1" customWidth="1"/>
    <col min="13054" max="13057" width="17.42578125" style="122" customWidth="1"/>
    <col min="13058" max="13058" width="27.28515625" style="122" customWidth="1"/>
    <col min="13059" max="13059" width="15.85546875" style="122" bestFit="1" customWidth="1"/>
    <col min="13060" max="13060" width="12.42578125" style="122" bestFit="1" customWidth="1"/>
    <col min="13061" max="13071" width="11.42578125" style="122" customWidth="1"/>
    <col min="13072" max="13072" width="17.140625" style="122" customWidth="1"/>
    <col min="13073" max="13073" width="11.42578125" style="122" customWidth="1"/>
    <col min="13074" max="13074" width="34.28515625" style="122" bestFit="1" customWidth="1"/>
    <col min="13075" max="13278" width="11.42578125" style="122"/>
    <col min="13279" max="13279" width="8.85546875" style="122" customWidth="1"/>
    <col min="13280" max="13280" width="35.7109375" style="122" bestFit="1" customWidth="1"/>
    <col min="13281" max="13281" width="5" style="122" customWidth="1"/>
    <col min="13282" max="13284" width="12.85546875" style="122" bestFit="1" customWidth="1"/>
    <col min="13285" max="13295" width="15.140625" style="122" customWidth="1"/>
    <col min="13296" max="13296" width="13.85546875" style="122" customWidth="1"/>
    <col min="13297" max="13297" width="11.42578125" style="122" customWidth="1"/>
    <col min="13298" max="13298" width="12" style="122" bestFit="1" customWidth="1"/>
    <col min="13299" max="13299" width="31.7109375" style="122" customWidth="1"/>
    <col min="13300" max="13300" width="13.85546875" style="122" customWidth="1"/>
    <col min="13301" max="13301" width="13.42578125" style="122" customWidth="1"/>
    <col min="13302" max="13305" width="16.140625" style="122" bestFit="1" customWidth="1"/>
    <col min="13306" max="13309" width="17.42578125" style="122" bestFit="1" customWidth="1"/>
    <col min="13310" max="13313" width="17.42578125" style="122" customWidth="1"/>
    <col min="13314" max="13314" width="27.28515625" style="122" customWidth="1"/>
    <col min="13315" max="13315" width="15.85546875" style="122" bestFit="1" customWidth="1"/>
    <col min="13316" max="13316" width="12.42578125" style="122" bestFit="1" customWidth="1"/>
    <col min="13317" max="13327" width="11.42578125" style="122" customWidth="1"/>
    <col min="13328" max="13328" width="17.140625" style="122" customWidth="1"/>
    <col min="13329" max="13329" width="11.42578125" style="122" customWidth="1"/>
    <col min="13330" max="13330" width="34.28515625" style="122" bestFit="1" customWidth="1"/>
    <col min="13331" max="13534" width="11.42578125" style="122"/>
    <col min="13535" max="13535" width="8.85546875" style="122" customWidth="1"/>
    <col min="13536" max="13536" width="35.7109375" style="122" bestFit="1" customWidth="1"/>
    <col min="13537" max="13537" width="5" style="122" customWidth="1"/>
    <col min="13538" max="13540" width="12.85546875" style="122" bestFit="1" customWidth="1"/>
    <col min="13541" max="13551" width="15.140625" style="122" customWidth="1"/>
    <col min="13552" max="13552" width="13.85546875" style="122" customWidth="1"/>
    <col min="13553" max="13553" width="11.42578125" style="122" customWidth="1"/>
    <col min="13554" max="13554" width="12" style="122" bestFit="1" customWidth="1"/>
    <col min="13555" max="13555" width="31.7109375" style="122" customWidth="1"/>
    <col min="13556" max="13556" width="13.85546875" style="122" customWidth="1"/>
    <col min="13557" max="13557" width="13.42578125" style="122" customWidth="1"/>
    <col min="13558" max="13561" width="16.140625" style="122" bestFit="1" customWidth="1"/>
    <col min="13562" max="13565" width="17.42578125" style="122" bestFit="1" customWidth="1"/>
    <col min="13566" max="13569" width="17.42578125" style="122" customWidth="1"/>
    <col min="13570" max="13570" width="27.28515625" style="122" customWidth="1"/>
    <col min="13571" max="13571" width="15.85546875" style="122" bestFit="1" customWidth="1"/>
    <col min="13572" max="13572" width="12.42578125" style="122" bestFit="1" customWidth="1"/>
    <col min="13573" max="13583" width="11.42578125" style="122" customWidth="1"/>
    <col min="13584" max="13584" width="17.140625" style="122" customWidth="1"/>
    <col min="13585" max="13585" width="11.42578125" style="122" customWidth="1"/>
    <col min="13586" max="13586" width="34.28515625" style="122" bestFit="1" customWidth="1"/>
    <col min="13587" max="13790" width="11.42578125" style="122"/>
    <col min="13791" max="13791" width="8.85546875" style="122" customWidth="1"/>
    <col min="13792" max="13792" width="35.7109375" style="122" bestFit="1" customWidth="1"/>
    <col min="13793" max="13793" width="5" style="122" customWidth="1"/>
    <col min="13794" max="13796" width="12.85546875" style="122" bestFit="1" customWidth="1"/>
    <col min="13797" max="13807" width="15.140625" style="122" customWidth="1"/>
    <col min="13808" max="13808" width="13.85546875" style="122" customWidth="1"/>
    <col min="13809" max="13809" width="11.42578125" style="122" customWidth="1"/>
    <col min="13810" max="13810" width="12" style="122" bestFit="1" customWidth="1"/>
    <col min="13811" max="13811" width="31.7109375" style="122" customWidth="1"/>
    <col min="13812" max="13812" width="13.85546875" style="122" customWidth="1"/>
    <col min="13813" max="13813" width="13.42578125" style="122" customWidth="1"/>
    <col min="13814" max="13817" width="16.140625" style="122" bestFit="1" customWidth="1"/>
    <col min="13818" max="13821" width="17.42578125" style="122" bestFit="1" customWidth="1"/>
    <col min="13822" max="13825" width="17.42578125" style="122" customWidth="1"/>
    <col min="13826" max="13826" width="27.28515625" style="122" customWidth="1"/>
    <col min="13827" max="13827" width="15.85546875" style="122" bestFit="1" customWidth="1"/>
    <col min="13828" max="13828" width="12.42578125" style="122" bestFit="1" customWidth="1"/>
    <col min="13829" max="13839" width="11.42578125" style="122" customWidth="1"/>
    <col min="13840" max="13840" width="17.140625" style="122" customWidth="1"/>
    <col min="13841" max="13841" width="11.42578125" style="122" customWidth="1"/>
    <col min="13842" max="13842" width="34.28515625" style="122" bestFit="1" customWidth="1"/>
    <col min="13843" max="14046" width="11.42578125" style="122"/>
    <col min="14047" max="14047" width="8.85546875" style="122" customWidth="1"/>
    <col min="14048" max="14048" width="35.7109375" style="122" bestFit="1" customWidth="1"/>
    <col min="14049" max="14049" width="5" style="122" customWidth="1"/>
    <col min="14050" max="14052" width="12.85546875" style="122" bestFit="1" customWidth="1"/>
    <col min="14053" max="14063" width="15.140625" style="122" customWidth="1"/>
    <col min="14064" max="14064" width="13.85546875" style="122" customWidth="1"/>
    <col min="14065" max="14065" width="11.42578125" style="122" customWidth="1"/>
    <col min="14066" max="14066" width="12" style="122" bestFit="1" customWidth="1"/>
    <col min="14067" max="14067" width="31.7109375" style="122" customWidth="1"/>
    <col min="14068" max="14068" width="13.85546875" style="122" customWidth="1"/>
    <col min="14069" max="14069" width="13.42578125" style="122" customWidth="1"/>
    <col min="14070" max="14073" width="16.140625" style="122" bestFit="1" customWidth="1"/>
    <col min="14074" max="14077" width="17.42578125" style="122" bestFit="1" customWidth="1"/>
    <col min="14078" max="14081" width="17.42578125" style="122" customWidth="1"/>
    <col min="14082" max="14082" width="27.28515625" style="122" customWidth="1"/>
    <col min="14083" max="14083" width="15.85546875" style="122" bestFit="1" customWidth="1"/>
    <col min="14084" max="14084" width="12.42578125" style="122" bestFit="1" customWidth="1"/>
    <col min="14085" max="14095" width="11.42578125" style="122" customWidth="1"/>
    <col min="14096" max="14096" width="17.140625" style="122" customWidth="1"/>
    <col min="14097" max="14097" width="11.42578125" style="122" customWidth="1"/>
    <col min="14098" max="14098" width="34.28515625" style="122" bestFit="1" customWidth="1"/>
    <col min="14099" max="14302" width="11.42578125" style="122"/>
    <col min="14303" max="14303" width="8.85546875" style="122" customWidth="1"/>
    <col min="14304" max="14304" width="35.7109375" style="122" bestFit="1" customWidth="1"/>
    <col min="14305" max="14305" width="5" style="122" customWidth="1"/>
    <col min="14306" max="14308" width="12.85546875" style="122" bestFit="1" customWidth="1"/>
    <col min="14309" max="14319" width="15.140625" style="122" customWidth="1"/>
    <col min="14320" max="14320" width="13.85546875" style="122" customWidth="1"/>
    <col min="14321" max="14321" width="11.42578125" style="122" customWidth="1"/>
    <col min="14322" max="14322" width="12" style="122" bestFit="1" customWidth="1"/>
    <col min="14323" max="14323" width="31.7109375" style="122" customWidth="1"/>
    <col min="14324" max="14324" width="13.85546875" style="122" customWidth="1"/>
    <col min="14325" max="14325" width="13.42578125" style="122" customWidth="1"/>
    <col min="14326" max="14329" width="16.140625" style="122" bestFit="1" customWidth="1"/>
    <col min="14330" max="14333" width="17.42578125" style="122" bestFit="1" customWidth="1"/>
    <col min="14334" max="14337" width="17.42578125" style="122" customWidth="1"/>
    <col min="14338" max="14338" width="27.28515625" style="122" customWidth="1"/>
    <col min="14339" max="14339" width="15.85546875" style="122" bestFit="1" customWidth="1"/>
    <col min="14340" max="14340" width="12.42578125" style="122" bestFit="1" customWidth="1"/>
    <col min="14341" max="14351" width="11.42578125" style="122" customWidth="1"/>
    <col min="14352" max="14352" width="17.140625" style="122" customWidth="1"/>
    <col min="14353" max="14353" width="11.42578125" style="122" customWidth="1"/>
    <col min="14354" max="14354" width="34.28515625" style="122" bestFit="1" customWidth="1"/>
    <col min="14355" max="14558" width="11.42578125" style="122"/>
    <col min="14559" max="14559" width="8.85546875" style="122" customWidth="1"/>
    <col min="14560" max="14560" width="35.7109375" style="122" bestFit="1" customWidth="1"/>
    <col min="14561" max="14561" width="5" style="122" customWidth="1"/>
    <col min="14562" max="14564" width="12.85546875" style="122" bestFit="1" customWidth="1"/>
    <col min="14565" max="14575" width="15.140625" style="122" customWidth="1"/>
    <col min="14576" max="14576" width="13.85546875" style="122" customWidth="1"/>
    <col min="14577" max="14577" width="11.42578125" style="122" customWidth="1"/>
    <col min="14578" max="14578" width="12" style="122" bestFit="1" customWidth="1"/>
    <col min="14579" max="14579" width="31.7109375" style="122" customWidth="1"/>
    <col min="14580" max="14580" width="13.85546875" style="122" customWidth="1"/>
    <col min="14581" max="14581" width="13.42578125" style="122" customWidth="1"/>
    <col min="14582" max="14585" width="16.140625" style="122" bestFit="1" customWidth="1"/>
    <col min="14586" max="14589" width="17.42578125" style="122" bestFit="1" customWidth="1"/>
    <col min="14590" max="14593" width="17.42578125" style="122" customWidth="1"/>
    <col min="14594" max="14594" width="27.28515625" style="122" customWidth="1"/>
    <col min="14595" max="14595" width="15.85546875" style="122" bestFit="1" customWidth="1"/>
    <col min="14596" max="14596" width="12.42578125" style="122" bestFit="1" customWidth="1"/>
    <col min="14597" max="14607" width="11.42578125" style="122" customWidth="1"/>
    <col min="14608" max="14608" width="17.140625" style="122" customWidth="1"/>
    <col min="14609" max="14609" width="11.42578125" style="122" customWidth="1"/>
    <col min="14610" max="14610" width="34.28515625" style="122" bestFit="1" customWidth="1"/>
    <col min="14611" max="14814" width="11.42578125" style="122"/>
    <col min="14815" max="14815" width="8.85546875" style="122" customWidth="1"/>
    <col min="14816" max="14816" width="35.7109375" style="122" bestFit="1" customWidth="1"/>
    <col min="14817" max="14817" width="5" style="122" customWidth="1"/>
    <col min="14818" max="14820" width="12.85546875" style="122" bestFit="1" customWidth="1"/>
    <col min="14821" max="14831" width="15.140625" style="122" customWidth="1"/>
    <col min="14832" max="14832" width="13.85546875" style="122" customWidth="1"/>
    <col min="14833" max="14833" width="11.42578125" style="122" customWidth="1"/>
    <col min="14834" max="14834" width="12" style="122" bestFit="1" customWidth="1"/>
    <col min="14835" max="14835" width="31.7109375" style="122" customWidth="1"/>
    <col min="14836" max="14836" width="13.85546875" style="122" customWidth="1"/>
    <col min="14837" max="14837" width="13.42578125" style="122" customWidth="1"/>
    <col min="14838" max="14841" width="16.140625" style="122" bestFit="1" customWidth="1"/>
    <col min="14842" max="14845" width="17.42578125" style="122" bestFit="1" customWidth="1"/>
    <col min="14846" max="14849" width="17.42578125" style="122" customWidth="1"/>
    <col min="14850" max="14850" width="27.28515625" style="122" customWidth="1"/>
    <col min="14851" max="14851" width="15.85546875" style="122" bestFit="1" customWidth="1"/>
    <col min="14852" max="14852" width="12.42578125" style="122" bestFit="1" customWidth="1"/>
    <col min="14853" max="14863" width="11.42578125" style="122" customWidth="1"/>
    <col min="14864" max="14864" width="17.140625" style="122" customWidth="1"/>
    <col min="14865" max="14865" width="11.42578125" style="122" customWidth="1"/>
    <col min="14866" max="14866" width="34.28515625" style="122" bestFit="1" customWidth="1"/>
    <col min="14867" max="15070" width="11.42578125" style="122"/>
    <col min="15071" max="15071" width="8.85546875" style="122" customWidth="1"/>
    <col min="15072" max="15072" width="35.7109375" style="122" bestFit="1" customWidth="1"/>
    <col min="15073" max="15073" width="5" style="122" customWidth="1"/>
    <col min="15074" max="15076" width="12.85546875" style="122" bestFit="1" customWidth="1"/>
    <col min="15077" max="15087" width="15.140625" style="122" customWidth="1"/>
    <col min="15088" max="15088" width="13.85546875" style="122" customWidth="1"/>
    <col min="15089" max="15089" width="11.42578125" style="122" customWidth="1"/>
    <col min="15090" max="15090" width="12" style="122" bestFit="1" customWidth="1"/>
    <col min="15091" max="15091" width="31.7109375" style="122" customWidth="1"/>
    <col min="15092" max="15092" width="13.85546875" style="122" customWidth="1"/>
    <col min="15093" max="15093" width="13.42578125" style="122" customWidth="1"/>
    <col min="15094" max="15097" width="16.140625" style="122" bestFit="1" customWidth="1"/>
    <col min="15098" max="15101" width="17.42578125" style="122" bestFit="1" customWidth="1"/>
    <col min="15102" max="15105" width="17.42578125" style="122" customWidth="1"/>
    <col min="15106" max="15106" width="27.28515625" style="122" customWidth="1"/>
    <col min="15107" max="15107" width="15.85546875" style="122" bestFit="1" customWidth="1"/>
    <col min="15108" max="15108" width="12.42578125" style="122" bestFit="1" customWidth="1"/>
    <col min="15109" max="15119" width="11.42578125" style="122" customWidth="1"/>
    <col min="15120" max="15120" width="17.140625" style="122" customWidth="1"/>
    <col min="15121" max="15121" width="11.42578125" style="122" customWidth="1"/>
    <col min="15122" max="15122" width="34.28515625" style="122" bestFit="1" customWidth="1"/>
    <col min="15123" max="15326" width="11.42578125" style="122"/>
    <col min="15327" max="15327" width="8.85546875" style="122" customWidth="1"/>
    <col min="15328" max="15328" width="35.7109375" style="122" bestFit="1" customWidth="1"/>
    <col min="15329" max="15329" width="5" style="122" customWidth="1"/>
    <col min="15330" max="15332" width="12.85546875" style="122" bestFit="1" customWidth="1"/>
    <col min="15333" max="15343" width="15.140625" style="122" customWidth="1"/>
    <col min="15344" max="15344" width="13.85546875" style="122" customWidth="1"/>
    <col min="15345" max="15345" width="11.42578125" style="122" customWidth="1"/>
    <col min="15346" max="15346" width="12" style="122" bestFit="1" customWidth="1"/>
    <col min="15347" max="15347" width="31.7109375" style="122" customWidth="1"/>
    <col min="15348" max="15348" width="13.85546875" style="122" customWidth="1"/>
    <col min="15349" max="15349" width="13.42578125" style="122" customWidth="1"/>
    <col min="15350" max="15353" width="16.140625" style="122" bestFit="1" customWidth="1"/>
    <col min="15354" max="15357" width="17.42578125" style="122" bestFit="1" customWidth="1"/>
    <col min="15358" max="15361" width="17.42578125" style="122" customWidth="1"/>
    <col min="15362" max="15362" width="27.28515625" style="122" customWidth="1"/>
    <col min="15363" max="15363" width="15.85546875" style="122" bestFit="1" customWidth="1"/>
    <col min="15364" max="15364" width="12.42578125" style="122" bestFit="1" customWidth="1"/>
    <col min="15365" max="15375" width="11.42578125" style="122" customWidth="1"/>
    <col min="15376" max="15376" width="17.140625" style="122" customWidth="1"/>
    <col min="15377" max="15377" width="11.42578125" style="122" customWidth="1"/>
    <col min="15378" max="15378" width="34.28515625" style="122" bestFit="1" customWidth="1"/>
    <col min="15379" max="15582" width="11.42578125" style="122"/>
    <col min="15583" max="15583" width="8.85546875" style="122" customWidth="1"/>
    <col min="15584" max="15584" width="35.7109375" style="122" bestFit="1" customWidth="1"/>
    <col min="15585" max="15585" width="5" style="122" customWidth="1"/>
    <col min="15586" max="15588" width="12.85546875" style="122" bestFit="1" customWidth="1"/>
    <col min="15589" max="15599" width="15.140625" style="122" customWidth="1"/>
    <col min="15600" max="15600" width="13.85546875" style="122" customWidth="1"/>
    <col min="15601" max="15601" width="11.42578125" style="122" customWidth="1"/>
    <col min="15602" max="15602" width="12" style="122" bestFit="1" customWidth="1"/>
    <col min="15603" max="15603" width="31.7109375" style="122" customWidth="1"/>
    <col min="15604" max="15604" width="13.85546875" style="122" customWidth="1"/>
    <col min="15605" max="15605" width="13.42578125" style="122" customWidth="1"/>
    <col min="15606" max="15609" width="16.140625" style="122" bestFit="1" customWidth="1"/>
    <col min="15610" max="15613" width="17.42578125" style="122" bestFit="1" customWidth="1"/>
    <col min="15614" max="15617" width="17.42578125" style="122" customWidth="1"/>
    <col min="15618" max="15618" width="27.28515625" style="122" customWidth="1"/>
    <col min="15619" max="15619" width="15.85546875" style="122" bestFit="1" customWidth="1"/>
    <col min="15620" max="15620" width="12.42578125" style="122" bestFit="1" customWidth="1"/>
    <col min="15621" max="15631" width="11.42578125" style="122" customWidth="1"/>
    <col min="15632" max="15632" width="17.140625" style="122" customWidth="1"/>
    <col min="15633" max="15633" width="11.42578125" style="122" customWidth="1"/>
    <col min="15634" max="15634" width="34.28515625" style="122" bestFit="1" customWidth="1"/>
    <col min="15635" max="15838" width="11.42578125" style="122"/>
    <col min="15839" max="15839" width="8.85546875" style="122" customWidth="1"/>
    <col min="15840" max="15840" width="35.7109375" style="122" bestFit="1" customWidth="1"/>
    <col min="15841" max="15841" width="5" style="122" customWidth="1"/>
    <col min="15842" max="15844" width="12.85546875" style="122" bestFit="1" customWidth="1"/>
    <col min="15845" max="15855" width="15.140625" style="122" customWidth="1"/>
    <col min="15856" max="15856" width="13.85546875" style="122" customWidth="1"/>
    <col min="15857" max="15857" width="11.42578125" style="122" customWidth="1"/>
    <col min="15858" max="15858" width="12" style="122" bestFit="1" customWidth="1"/>
    <col min="15859" max="15859" width="31.7109375" style="122" customWidth="1"/>
    <col min="15860" max="15860" width="13.85546875" style="122" customWidth="1"/>
    <col min="15861" max="15861" width="13.42578125" style="122" customWidth="1"/>
    <col min="15862" max="15865" width="16.140625" style="122" bestFit="1" customWidth="1"/>
    <col min="15866" max="15869" width="17.42578125" style="122" bestFit="1" customWidth="1"/>
    <col min="15870" max="15873" width="17.42578125" style="122" customWidth="1"/>
    <col min="15874" max="15874" width="27.28515625" style="122" customWidth="1"/>
    <col min="15875" max="15875" width="15.85546875" style="122" bestFit="1" customWidth="1"/>
    <col min="15876" max="15876" width="12.42578125" style="122" bestFit="1" customWidth="1"/>
    <col min="15877" max="15887" width="11.42578125" style="122" customWidth="1"/>
    <col min="15888" max="15888" width="17.140625" style="122" customWidth="1"/>
    <col min="15889" max="15889" width="11.42578125" style="122" customWidth="1"/>
    <col min="15890" max="15890" width="34.28515625" style="122" bestFit="1" customWidth="1"/>
    <col min="15891" max="16094" width="11.42578125" style="122"/>
    <col min="16095" max="16095" width="8.85546875" style="122" customWidth="1"/>
    <col min="16096" max="16096" width="35.7109375" style="122" bestFit="1" customWidth="1"/>
    <col min="16097" max="16097" width="5" style="122" customWidth="1"/>
    <col min="16098" max="16100" width="12.85546875" style="122" bestFit="1" customWidth="1"/>
    <col min="16101" max="16111" width="15.140625" style="122" customWidth="1"/>
    <col min="16112" max="16112" width="13.85546875" style="122" customWidth="1"/>
    <col min="16113" max="16113" width="11.42578125" style="122" customWidth="1"/>
    <col min="16114" max="16114" width="12" style="122" bestFit="1" customWidth="1"/>
    <col min="16115" max="16115" width="31.7109375" style="122" customWidth="1"/>
    <col min="16116" max="16116" width="13.85546875" style="122" customWidth="1"/>
    <col min="16117" max="16117" width="13.42578125" style="122" customWidth="1"/>
    <col min="16118" max="16121" width="16.140625" style="122" bestFit="1" customWidth="1"/>
    <col min="16122" max="16125" width="17.42578125" style="122" bestFit="1" customWidth="1"/>
    <col min="16126" max="16129" width="17.42578125" style="122" customWidth="1"/>
    <col min="16130" max="16130" width="27.28515625" style="122" customWidth="1"/>
    <col min="16131" max="16131" width="15.85546875" style="122" bestFit="1" customWidth="1"/>
    <col min="16132" max="16132" width="12.42578125" style="122" bestFit="1" customWidth="1"/>
    <col min="16133" max="16143" width="11.42578125" style="122" customWidth="1"/>
    <col min="16144" max="16144" width="17.140625" style="122" customWidth="1"/>
    <col min="16145" max="16145" width="11.42578125" style="122" customWidth="1"/>
    <col min="16146" max="16146" width="34.28515625" style="122" bestFit="1" customWidth="1"/>
    <col min="16147" max="16384" width="11.42578125" style="122"/>
  </cols>
  <sheetData>
    <row r="1" spans="1:19" ht="12.75" customHeight="1">
      <c r="C1" s="135"/>
      <c r="D1" s="140"/>
      <c r="E1" s="444" t="s">
        <v>555</v>
      </c>
      <c r="F1" s="444"/>
      <c r="G1" s="444"/>
      <c r="H1" s="444"/>
      <c r="I1" s="140"/>
      <c r="J1" s="140"/>
      <c r="K1" s="140"/>
      <c r="L1" s="140"/>
      <c r="M1" s="140"/>
      <c r="N1" s="140"/>
      <c r="O1" s="140"/>
    </row>
    <row r="2" spans="1:19" ht="12.75" customHeight="1">
      <c r="C2" s="135"/>
      <c r="D2" s="122"/>
      <c r="E2" s="122"/>
      <c r="F2" s="122"/>
      <c r="G2" s="122"/>
      <c r="H2" s="122"/>
      <c r="I2" s="140"/>
      <c r="J2" s="140"/>
      <c r="K2" s="140"/>
      <c r="L2" s="140"/>
      <c r="M2" s="140"/>
      <c r="N2" s="140"/>
      <c r="O2" s="140"/>
    </row>
    <row r="3" spans="1:19" ht="23.25" customHeight="1" thickBot="1">
      <c r="B3" s="342" t="s">
        <v>417</v>
      </c>
      <c r="C3" s="88">
        <v>2001</v>
      </c>
      <c r="D3" s="88">
        <v>2002</v>
      </c>
      <c r="E3" s="88">
        <v>2003</v>
      </c>
      <c r="F3" s="88">
        <v>2004</v>
      </c>
      <c r="G3" s="49" t="s">
        <v>469</v>
      </c>
      <c r="H3" s="88">
        <v>2005</v>
      </c>
      <c r="I3" s="88">
        <v>2006</v>
      </c>
      <c r="J3" s="88">
        <v>2007</v>
      </c>
      <c r="K3" s="88">
        <v>2008</v>
      </c>
      <c r="L3" s="88">
        <v>2009</v>
      </c>
      <c r="M3" s="88">
        <v>2010</v>
      </c>
      <c r="N3" s="88">
        <v>2011</v>
      </c>
      <c r="O3" s="88">
        <v>2012</v>
      </c>
      <c r="P3" s="125"/>
    </row>
    <row r="4" spans="1:19" ht="13.5" customHeight="1" thickTop="1">
      <c r="B4" s="229" t="s">
        <v>36</v>
      </c>
      <c r="C4" s="229">
        <f>+(ValorNominalImplicito!C33/CostoCapital2001!C5)</f>
        <v>1</v>
      </c>
      <c r="D4" s="229">
        <f>+(ValorNominalImplicito!D33/CostoCapital2001!D5)</f>
        <v>1.3410063065605635</v>
      </c>
      <c r="E4" s="229">
        <f>+(ValorNominalImplicito!E33/CostoCapital2001!E5)</f>
        <v>0.82008784794563494</v>
      </c>
      <c r="F4" s="229">
        <f>+(ValorNominalImplicito!F33/CostoCapital2001!F5)</f>
        <v>0.81799432782379011</v>
      </c>
      <c r="G4" s="229">
        <f>+(ValorNominalImplicito!G33/CostoCapital2001!G5)</f>
        <v>0.56957272458168995</v>
      </c>
      <c r="H4" s="229">
        <f>+(ValorNominalImplicito!H33/CostoCapital2001!H5)</f>
        <v>0.56590940467921957</v>
      </c>
      <c r="I4" s="229">
        <f>+(ValorNominalImplicito!I33/CostoCapital2001!I5)</f>
        <v>0.71102469441656868</v>
      </c>
      <c r="J4" s="229">
        <f>+(ValorNominalImplicito!J33/CostoCapital2001!J5)</f>
        <v>0.92961444090952816</v>
      </c>
      <c r="K4" s="229">
        <f>+(ValorNominalImplicito!K33/CostoCapital2001!K5)</f>
        <v>0.51819121614458252</v>
      </c>
      <c r="L4" s="229">
        <f>+(ValorNominalImplicito!L33/CostoCapital2001!L5)</f>
        <v>1.4347217522781013</v>
      </c>
      <c r="M4" s="229">
        <f>+(ValorNominalImplicito!M33/CostoCapital2001!M5)</f>
        <v>1.0000967560728034</v>
      </c>
      <c r="N4" s="229">
        <f>+(ValorNominalImplicito!N33/CostoCapital2001!N5)</f>
        <v>0.9549423880040433</v>
      </c>
      <c r="O4" s="229">
        <f>+(ValorNominalImplicito!O33/CostoCapital2001!O5)</f>
        <v>1.1303277908007117</v>
      </c>
      <c r="P4" s="134"/>
      <c r="Q4" s="134"/>
      <c r="R4" s="134"/>
      <c r="S4" s="134"/>
    </row>
    <row r="5" spans="1:19" ht="13.5" customHeight="1">
      <c r="B5" s="230" t="s">
        <v>37</v>
      </c>
      <c r="C5" s="230">
        <f>+(ValorNominalImplicito!C34/CostoCapital2001!C6)</f>
        <v>1</v>
      </c>
      <c r="D5" s="230">
        <f>+(ValorNominalImplicito!D34/CostoCapital2001!D6)</f>
        <v>1.3418121327637849</v>
      </c>
      <c r="E5" s="230">
        <f>+(ValorNominalImplicito!E34/CostoCapital2001!E6)</f>
        <v>0.81783491671793529</v>
      </c>
      <c r="F5" s="230">
        <f>+(ValorNominalImplicito!F34/CostoCapital2001!F6)</f>
        <v>0.80998837931462975</v>
      </c>
      <c r="G5" s="230">
        <f>+(ValorNominalImplicito!G34/CostoCapital2001!G6)</f>
        <v>0.56458871965414215</v>
      </c>
      <c r="H5" s="230">
        <f>+(ValorNominalImplicito!H34/CostoCapital2001!H6)</f>
        <v>0.5609574553674993</v>
      </c>
      <c r="I5" s="230">
        <f>+(ValorNominalImplicito!I34/CostoCapital2001!I6)</f>
        <v>0.70635541722746376</v>
      </c>
      <c r="J5" s="230">
        <f>+(ValorNominalImplicito!J34/CostoCapital2001!J6)</f>
        <v>0.92672137684865075</v>
      </c>
      <c r="K5" s="230">
        <f>+(ValorNominalImplicito!K34/CostoCapital2001!K6)</f>
        <v>0.5106251011728733</v>
      </c>
      <c r="L5" s="230">
        <f>+(ValorNominalImplicito!L34/CostoCapital2001!L6)</f>
        <v>1.4347705624778186</v>
      </c>
      <c r="M5" s="230">
        <f>+(ValorNominalImplicito!M34/CostoCapital2001!M6)</f>
        <v>0.99567812968641889</v>
      </c>
      <c r="N5" s="230">
        <f>+(ValorNominalImplicito!N34/CostoCapital2001!N6)</f>
        <v>0.94647335493587392</v>
      </c>
      <c r="O5" s="230">
        <f>+(ValorNominalImplicito!O34/CostoCapital2001!O6)</f>
        <v>1.1258306690595812</v>
      </c>
      <c r="P5" s="134"/>
      <c r="Q5" s="134"/>
      <c r="R5" s="134"/>
      <c r="S5" s="134"/>
    </row>
    <row r="6" spans="1:19" ht="13.5" customHeight="1">
      <c r="B6" s="231" t="s">
        <v>38</v>
      </c>
      <c r="C6" s="231">
        <f>+(ValorNominalImplicito!C35/CostoCapital2001!C7)</f>
        <v>1</v>
      </c>
      <c r="D6" s="231">
        <f>+(ValorNominalImplicito!D35/CostoCapital2001!D7)</f>
        <v>1.28831076930639</v>
      </c>
      <c r="E6" s="231">
        <f>+(ValorNominalImplicito!E35/CostoCapital2001!E7)</f>
        <v>0.84121904715188267</v>
      </c>
      <c r="F6" s="231">
        <f>+(ValorNominalImplicito!F35/CostoCapital2001!F7)</f>
        <v>0.98526015058872518</v>
      </c>
      <c r="G6" s="231">
        <f>+(ValorNominalImplicito!G35/CostoCapital2001!G7)</f>
        <v>0.59982177015468374</v>
      </c>
      <c r="H6" s="231">
        <f>+(ValorNominalImplicito!H35/CostoCapital2001!H7)</f>
        <v>0.59596389751839041</v>
      </c>
      <c r="I6" s="231">
        <f>+(ValorNominalImplicito!I35/CostoCapital2001!I7)</f>
        <v>0.90023679983362137</v>
      </c>
      <c r="J6" s="231">
        <f>+(ValorNominalImplicito!J35/CostoCapital2001!J7)</f>
        <v>0.84627136865229713</v>
      </c>
      <c r="K6" s="231">
        <f>+(ValorNominalImplicito!K35/CostoCapital2001!K7)</f>
        <v>0.43462619114604023</v>
      </c>
      <c r="L6" s="231">
        <f>+(ValorNominalImplicito!L35/CostoCapital2001!L7)</f>
        <v>1.856257808270025</v>
      </c>
      <c r="M6" s="231">
        <f>+(ValorNominalImplicito!M35/CostoCapital2001!M7)</f>
        <v>0.87346064285973812</v>
      </c>
      <c r="N6" s="231">
        <f>+(ValorNominalImplicito!N35/CostoCapital2001!N7)</f>
        <v>1.3165285445932167</v>
      </c>
      <c r="O6" s="231">
        <f>+(ValorNominalImplicito!O35/CostoCapital2001!O7)</f>
        <v>1.2612373568799768</v>
      </c>
      <c r="P6" s="134"/>
      <c r="Q6" s="134"/>
      <c r="R6" s="134"/>
      <c r="S6" s="134"/>
    </row>
    <row r="7" spans="1:19" ht="13.5" customHeight="1">
      <c r="B7" s="232" t="s">
        <v>135</v>
      </c>
      <c r="C7" s="232">
        <v>0</v>
      </c>
      <c r="D7" s="232">
        <f>+(ValorNominalImplicito!D36/CostoCapital2001!D8)</f>
        <v>1</v>
      </c>
      <c r="E7" s="232">
        <f>+(ValorNominalImplicito!E36/CostoCapital2001!E8)</f>
        <v>0.65296283101381214</v>
      </c>
      <c r="F7" s="232">
        <f>+(ValorNominalImplicito!F36/CostoCapital2001!F8)</f>
        <v>0.76476900920356072</v>
      </c>
      <c r="G7" s="232">
        <f>+(ValorNominalImplicito!G36/CostoCapital2001!G8)</f>
        <v>0.46558779484364637</v>
      </c>
      <c r="H7" s="232">
        <f>+(ValorNominalImplicito!H36/CostoCapital2001!H8)</f>
        <v>0.46259327463299077</v>
      </c>
      <c r="I7" s="232">
        <f>+(ValorNominalImplicito!I36/CostoCapital2001!I8)</f>
        <v>0.69877301446319295</v>
      </c>
      <c r="J7" s="232">
        <f>+(ValorNominalImplicito!J36/CostoCapital2001!J8)</f>
        <v>0.65688449465335053</v>
      </c>
      <c r="K7" s="232">
        <f>+(ValorNominalImplicito!K36/CostoCapital2001!K8)</f>
        <v>0.33736129628104983</v>
      </c>
      <c r="L7" s="232">
        <f>+(ValorNominalImplicito!L36/CostoCapital2001!L8)</f>
        <v>1.4408463023788975</v>
      </c>
      <c r="M7" s="232">
        <f>+(ValorNominalImplicito!M36/CostoCapital2001!M8)</f>
        <v>0.67798908746994191</v>
      </c>
      <c r="N7" s="232">
        <f>+(ValorNominalImplicito!N36/CostoCapital2001!N8)</f>
        <v>1.0219029258771304</v>
      </c>
      <c r="O7" s="232">
        <f>+(ValorNominalImplicito!O36/CostoCapital2001!O8)</f>
        <v>0.97898534028323836</v>
      </c>
      <c r="P7" s="134"/>
      <c r="Q7" s="134"/>
      <c r="R7" s="134"/>
      <c r="S7" s="134"/>
    </row>
    <row r="8" spans="1:19" ht="13.5" customHeight="1">
      <c r="A8" s="373"/>
      <c r="B8" s="229" t="s">
        <v>136</v>
      </c>
      <c r="C8" s="229">
        <f>+(ValorNominalImplicito!C37/CostoCapital2001!C9)</f>
        <v>1</v>
      </c>
      <c r="D8" s="229">
        <f>+(ValorNominalImplicito!D37/CostoCapital2001!D9)</f>
        <v>1.2611868537351358</v>
      </c>
      <c r="E8" s="229">
        <f>+(ValorNominalImplicito!E37/CostoCapital2001!E9)</f>
        <v>0.96512295447160834</v>
      </c>
      <c r="F8" s="229">
        <f>+(ValorNominalImplicito!F37/CostoCapital2001!F9)</f>
        <v>1.3987392985794984</v>
      </c>
      <c r="G8" s="229">
        <f>+(ValorNominalImplicito!G37/CostoCapital2001!G9)</f>
        <v>0.90418305390469078</v>
      </c>
      <c r="H8" s="229">
        <f>+(ValorNominalImplicito!H37/CostoCapital2001!H9)</f>
        <v>0.89836762132884507</v>
      </c>
      <c r="I8" s="229">
        <f>+(ValorNominalImplicito!I37/CostoCapital2001!I9)</f>
        <v>1.132448240888829</v>
      </c>
      <c r="J8" s="229">
        <f>+(ValorNominalImplicito!J37/CostoCapital2001!J9)</f>
        <v>1.105398679231691</v>
      </c>
      <c r="K8" s="229">
        <f>+(ValorNominalImplicito!K37/CostoCapital2001!K9)</f>
        <v>1.0220461760678541</v>
      </c>
      <c r="L8" s="229">
        <f>+(ValorNominalImplicito!L37/CostoCapital2001!L9)</f>
        <v>1.7826257438061091</v>
      </c>
      <c r="M8" s="229">
        <f>+(ValorNominalImplicito!M37/CostoCapital2001!M9)</f>
        <v>1.3256205706563122</v>
      </c>
      <c r="N8" s="229">
        <f>+(ValorNominalImplicito!N37/CostoCapital2001!N9)</f>
        <v>1.8924769805429036</v>
      </c>
      <c r="O8" s="229">
        <f>+(ValorNominalImplicito!O37/CostoCapital2001!O9)</f>
        <v>1.6935698692811951</v>
      </c>
      <c r="P8" s="134"/>
      <c r="Q8" s="134"/>
      <c r="R8" s="134"/>
      <c r="S8" s="134"/>
    </row>
    <row r="9" spans="1:19" ht="13.5" customHeight="1">
      <c r="B9" s="232" t="s">
        <v>137</v>
      </c>
      <c r="C9" s="232">
        <f>+(ValorNominalImplicito!C38/CostoCapital2001!C10)</f>
        <v>1</v>
      </c>
      <c r="D9" s="232">
        <f>+(ValorNominalImplicito!D38/CostoCapital2001!D10)</f>
        <v>1.28831076930639</v>
      </c>
      <c r="E9" s="232">
        <f>+(ValorNominalImplicito!E38/CostoCapital2001!E10)</f>
        <v>0.84121904715188267</v>
      </c>
      <c r="F9" s="232">
        <f>+(ValorNominalImplicito!F38/CostoCapital2001!F10)</f>
        <v>0.98526015058872507</v>
      </c>
      <c r="G9" s="232">
        <f>+(ValorNominalImplicito!G38/CostoCapital2001!G10)</f>
        <v>0.59982177015468385</v>
      </c>
      <c r="H9" s="232">
        <f>+(ValorNominalImplicito!H38/CostoCapital2001!H10)</f>
        <v>0.59596389751839063</v>
      </c>
      <c r="I9" s="232">
        <f>+(ValorNominalImplicito!I38/CostoCapital2001!I10)</f>
        <v>0.90023679983362137</v>
      </c>
      <c r="J9" s="232">
        <f>+(ValorNominalImplicito!J38/CostoCapital2001!J10)</f>
        <v>0.84627136865229724</v>
      </c>
      <c r="K9" s="232">
        <f>+(ValorNominalImplicito!K38/CostoCapital2001!K10)</f>
        <v>0.4346261911460404</v>
      </c>
      <c r="L9" s="232">
        <f>+(ValorNominalImplicito!L38/CostoCapital2001!L10)</f>
        <v>1.8562578082700254</v>
      </c>
      <c r="M9" s="232">
        <f>+(ValorNominalImplicito!M38/CostoCapital2001!M10)</f>
        <v>0.87346064285973835</v>
      </c>
      <c r="N9" s="232">
        <f>+(ValorNominalImplicito!N38/CostoCapital2001!N10)</f>
        <v>1.3165285445932171</v>
      </c>
      <c r="O9" s="232">
        <f>+(ValorNominalImplicito!O38/CostoCapital2001!O10)</f>
        <v>1.2612373568799771</v>
      </c>
      <c r="P9" s="134"/>
      <c r="Q9" s="134"/>
      <c r="R9" s="134"/>
      <c r="S9" s="134"/>
    </row>
    <row r="10" spans="1:19" ht="13.5" customHeight="1">
      <c r="B10" s="229" t="s">
        <v>138</v>
      </c>
      <c r="C10" s="229">
        <f>+(ValorNominalImplicito!C39/CostoCapital2001!C11)</f>
        <v>1</v>
      </c>
      <c r="D10" s="229">
        <f>+(ValorNominalImplicito!D39/CostoCapital2001!D11)</f>
        <v>1.2676068266577734</v>
      </c>
      <c r="E10" s="229">
        <f>+(ValorNominalImplicito!E39/CostoCapital2001!E11)</f>
        <v>0.93579607768230699</v>
      </c>
      <c r="F10" s="229">
        <f>+(ValorNominalImplicito!F39/CostoCapital2001!F11)</f>
        <v>1.3008727155928912</v>
      </c>
      <c r="G10" s="229">
        <f>+(ValorNominalImplicito!G39/CostoCapital2001!G11)</f>
        <v>0.83214363189568752</v>
      </c>
      <c r="H10" s="229">
        <f>+(ValorNominalImplicito!H39/CostoCapital2001!H11)</f>
        <v>0.82679153514513426</v>
      </c>
      <c r="I10" s="229">
        <f>+(ValorNominalImplicito!I39/CostoCapital2001!I11)</f>
        <v>1.077486000647935</v>
      </c>
      <c r="J10" s="229">
        <f>+(ValorNominalImplicito!J39/CostoCapital2001!J11)</f>
        <v>1.0440657085894072</v>
      </c>
      <c r="K10" s="229">
        <f>+(ValorNominalImplicito!K39/CostoCapital2001!K11)</f>
        <v>0.88300945080202486</v>
      </c>
      <c r="L10" s="229">
        <f>+(ValorNominalImplicito!L39/CostoCapital2001!L11)</f>
        <v>1.8000537533740644</v>
      </c>
      <c r="M10" s="229">
        <f>+(ValorNominalImplicito!M39/CostoCapital2001!M11)</f>
        <v>1.2185986148649426</v>
      </c>
      <c r="N10" s="229">
        <f>+(ValorNominalImplicito!N39/CostoCapital2001!N11)</f>
        <v>1.7561554618477591</v>
      </c>
      <c r="O10" s="229">
        <f>+(ValorNominalImplicito!O39/CostoCapital2001!O11)</f>
        <v>1.5912408741956527</v>
      </c>
      <c r="P10" s="134"/>
      <c r="Q10" s="134"/>
      <c r="R10" s="134"/>
      <c r="S10" s="134"/>
    </row>
    <row r="11" spans="1:19" ht="13.5" customHeight="1">
      <c r="B11" s="230" t="s">
        <v>33</v>
      </c>
      <c r="C11" s="230">
        <f>+(ValorNominalImplicito!C40/CostoCapital2001!C12)</f>
        <v>1</v>
      </c>
      <c r="D11" s="230">
        <f>+(ValorNominalImplicito!D40/CostoCapital2001!D12)</f>
        <v>1.2883107693063902</v>
      </c>
      <c r="E11" s="230">
        <f>+(ValorNominalImplicito!E40/CostoCapital2001!E12)</f>
        <v>0.84121904715188278</v>
      </c>
      <c r="F11" s="230">
        <f>+(ValorNominalImplicito!F40/CostoCapital2001!F12)</f>
        <v>0.98526015058872496</v>
      </c>
      <c r="G11" s="230">
        <f>+(ValorNominalImplicito!G40/CostoCapital2001!G12)</f>
        <v>0.59982177015468385</v>
      </c>
      <c r="H11" s="230">
        <f>+(ValorNominalImplicito!H40/CostoCapital2001!H12)</f>
        <v>0.59596389751839052</v>
      </c>
      <c r="I11" s="230">
        <f>+(ValorNominalImplicito!I40/CostoCapital2001!I12)</f>
        <v>0.90023679983362137</v>
      </c>
      <c r="J11" s="230">
        <f>+(ValorNominalImplicito!J40/CostoCapital2001!J12)</f>
        <v>0.84627136865229713</v>
      </c>
      <c r="K11" s="230">
        <f>+(ValorNominalImplicito!K40/CostoCapital2001!K12)</f>
        <v>0.43462619114604034</v>
      </c>
      <c r="L11" s="230">
        <f>+(ValorNominalImplicito!L40/CostoCapital2001!L12)</f>
        <v>1.8562578082700252</v>
      </c>
      <c r="M11" s="230">
        <f>+(ValorNominalImplicito!M40/CostoCapital2001!M12)</f>
        <v>0.87346064285973823</v>
      </c>
      <c r="N11" s="230">
        <f>+(ValorNominalImplicito!N40/CostoCapital2001!N12)</f>
        <v>1.3165285445932169</v>
      </c>
      <c r="O11" s="230">
        <f>+(ValorNominalImplicito!O40/CostoCapital2001!O12)</f>
        <v>1.2612373568799768</v>
      </c>
      <c r="P11" s="134"/>
      <c r="Q11" s="134"/>
      <c r="R11" s="134"/>
      <c r="S11" s="134"/>
    </row>
    <row r="12" spans="1:19">
      <c r="A12" s="145"/>
      <c r="B12" s="14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34"/>
      <c r="Q12" s="134"/>
      <c r="R12" s="134"/>
      <c r="S12" s="134"/>
    </row>
    <row r="13" spans="1:19">
      <c r="A13" s="145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34"/>
      <c r="Q13" s="134"/>
      <c r="R13" s="134"/>
      <c r="S13" s="134"/>
    </row>
    <row r="14" spans="1:19">
      <c r="A14" s="145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34"/>
      <c r="Q14" s="134"/>
      <c r="R14" s="134"/>
      <c r="S14" s="134"/>
    </row>
    <row r="15" spans="1:19">
      <c r="A15" s="145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34"/>
      <c r="Q15" s="134"/>
      <c r="R15" s="134"/>
      <c r="S15" s="134"/>
    </row>
    <row r="16" spans="1:19">
      <c r="A16" s="145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34"/>
      <c r="Q16" s="134"/>
      <c r="R16" s="134"/>
      <c r="S16" s="134"/>
    </row>
    <row r="17" spans="1:19">
      <c r="A17" s="134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34"/>
      <c r="Q17" s="134"/>
      <c r="R17" s="134"/>
      <c r="S17" s="134"/>
    </row>
    <row r="18" spans="1:19">
      <c r="A18" s="134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34"/>
      <c r="Q18" s="134"/>
      <c r="R18" s="134"/>
      <c r="S18" s="134"/>
    </row>
    <row r="19" spans="1:19">
      <c r="A19" s="134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34"/>
      <c r="Q19" s="134"/>
      <c r="R19" s="134"/>
      <c r="S19" s="134"/>
    </row>
    <row r="20" spans="1:19">
      <c r="A20" s="134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34"/>
      <c r="Q20" s="134"/>
      <c r="R20" s="134"/>
      <c r="S20" s="134"/>
    </row>
    <row r="21" spans="1:19">
      <c r="A21" s="134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34"/>
      <c r="Q21" s="134"/>
      <c r="R21" s="134"/>
      <c r="S21" s="134"/>
    </row>
    <row r="22" spans="1:19">
      <c r="A22" s="134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34"/>
      <c r="Q22" s="134"/>
      <c r="R22" s="134"/>
      <c r="S22" s="134"/>
    </row>
    <row r="23" spans="1:19"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</row>
    <row r="24" spans="1:19"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</row>
    <row r="25" spans="1:19"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</row>
    <row r="26" spans="1:19"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</row>
    <row r="27" spans="1:19"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</row>
    <row r="28" spans="1:19"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</row>
    <row r="29" spans="1:19"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</row>
    <row r="30" spans="1:19"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</row>
    <row r="31" spans="1:19"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</row>
    <row r="32" spans="1:19"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</row>
    <row r="33" spans="3:15"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</row>
    <row r="34" spans="3:15"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</row>
    <row r="35" spans="3:15"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</row>
    <row r="36" spans="3:15"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</row>
  </sheetData>
  <mergeCells count="1">
    <mergeCell ref="E1:H1"/>
  </mergeCells>
  <hyperlinks>
    <hyperlink ref="E1:H1" location="Indice!D3" display="ÍNDICE"/>
  </hyperlink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23">
    <tabColor rgb="FF92D050"/>
  </sheetPr>
  <dimension ref="C1:O23"/>
  <sheetViews>
    <sheetView showGridLines="0" workbookViewId="0">
      <selection activeCell="E2" sqref="E2:H2"/>
    </sheetView>
  </sheetViews>
  <sheetFormatPr baseColWidth="10" defaultRowHeight="9"/>
  <cols>
    <col min="1" max="1" width="7.42578125" style="92" customWidth="1"/>
    <col min="2" max="2" width="6.28515625" style="92" customWidth="1"/>
    <col min="3" max="3" width="16" style="92" customWidth="1"/>
    <col min="4" max="14" width="8.140625" style="92" customWidth="1"/>
    <col min="15" max="15" width="9.140625" style="92" bestFit="1" customWidth="1"/>
    <col min="16" max="16384" width="11.42578125" style="92"/>
  </cols>
  <sheetData>
    <row r="1" spans="3:15">
      <c r="C1" s="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</row>
    <row r="2" spans="3:15" ht="15">
      <c r="C2" s="76"/>
      <c r="D2" s="176"/>
      <c r="E2" s="444" t="s">
        <v>555</v>
      </c>
      <c r="F2" s="444"/>
      <c r="G2" s="444"/>
      <c r="H2" s="444"/>
      <c r="I2" s="176"/>
      <c r="J2" s="176"/>
      <c r="K2" s="176"/>
      <c r="L2" s="176"/>
      <c r="M2" s="176"/>
      <c r="N2" s="176"/>
      <c r="O2" s="176"/>
    </row>
    <row r="3" spans="3:15">
      <c r="C3" s="175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</row>
    <row r="4" spans="3:15" ht="9.75" thickBot="1">
      <c r="C4" s="42"/>
      <c r="D4" s="42">
        <v>2002</v>
      </c>
      <c r="E4" s="42">
        <v>2003</v>
      </c>
      <c r="F4" s="42">
        <v>2004</v>
      </c>
      <c r="G4" s="49" t="s">
        <v>469</v>
      </c>
      <c r="H4" s="88">
        <v>2005</v>
      </c>
      <c r="I4" s="42">
        <v>2006</v>
      </c>
      <c r="J4" s="42">
        <v>2007</v>
      </c>
      <c r="K4" s="42">
        <v>2008</v>
      </c>
      <c r="L4" s="42">
        <v>2009</v>
      </c>
      <c r="M4" s="42">
        <v>2010</v>
      </c>
      <c r="N4" s="42">
        <v>2011</v>
      </c>
      <c r="O4" s="42">
        <v>2012</v>
      </c>
    </row>
    <row r="5" spans="3:15" ht="9.75" thickTop="1">
      <c r="C5" s="234" t="s">
        <v>185</v>
      </c>
      <c r="D5" s="234">
        <f>+D6/D7</f>
        <v>1.0902904210573077</v>
      </c>
      <c r="E5" s="234">
        <f t="shared" ref="E5:O5" si="0">+E6/E7</f>
        <v>1.0140142532986378</v>
      </c>
      <c r="F5" s="234">
        <f t="shared" si="0"/>
        <v>0.93456798105512873</v>
      </c>
      <c r="G5" s="234">
        <f t="shared" si="0"/>
        <v>2.1885803566183428</v>
      </c>
      <c r="H5" s="234"/>
      <c r="I5" s="234">
        <f t="shared" si="0"/>
        <v>1.5594685732294662</v>
      </c>
      <c r="J5" s="234">
        <f t="shared" si="0"/>
        <v>1.0043756712419001</v>
      </c>
      <c r="K5" s="234">
        <f t="shared" si="0"/>
        <v>0.93940858511199321</v>
      </c>
      <c r="L5" s="234">
        <f t="shared" si="0"/>
        <v>1.080050367402456</v>
      </c>
      <c r="M5" s="234">
        <f t="shared" si="0"/>
        <v>1.0970173121431761</v>
      </c>
      <c r="N5" s="234">
        <f t="shared" si="0"/>
        <v>0.93996473090586308</v>
      </c>
      <c r="O5" s="234">
        <f t="shared" si="0"/>
        <v>0.99324236550623957</v>
      </c>
    </row>
    <row r="6" spans="3:15">
      <c r="C6" s="220" t="s">
        <v>186</v>
      </c>
      <c r="D6" s="220">
        <f>+SUMPRODUCT(CostoCapital2001!D5:D12,PrecioCapital2001!C4:C11)</f>
        <v>8173222.3492916021</v>
      </c>
      <c r="E6" s="220">
        <f>+SUMPRODUCT(CostoCapital2001!E5:E12,PrecioCapital2001!D4:D11)</f>
        <v>11595506.472818868</v>
      </c>
      <c r="F6" s="220">
        <f>+SUMPRODUCT(CostoCapital2001!F5:F12,PrecioCapital2001!E4:E11)</f>
        <v>6738731.1632854436</v>
      </c>
      <c r="G6" s="220">
        <f>+SUMPRODUCT(CostoCapital2001!G5:G12,PrecioCapital2001!F4:F11)</f>
        <v>15298035.622534666</v>
      </c>
      <c r="H6" s="220"/>
      <c r="I6" s="220">
        <f>+SUMPRODUCT(CostoCapital2001!I5:I12,PrecioCapital2001!H4:H11)</f>
        <v>17160185.239733838</v>
      </c>
      <c r="J6" s="220">
        <f>+SUMPRODUCT(CostoCapital2001!J5:J12,PrecioCapital2001!I4:I11)</f>
        <v>21818399.717268389</v>
      </c>
      <c r="K6" s="220">
        <f>+SUMPRODUCT(CostoCapital2001!K5:K12,PrecioCapital2001!J4:J11)</f>
        <v>26388512.983331513</v>
      </c>
      <c r="L6" s="220">
        <f>+SUMPRODUCT(CostoCapital2001!L5:L12,PrecioCapital2001!K4:K11)</f>
        <v>15900788.202693317</v>
      </c>
      <c r="M6" s="220">
        <f>+SUMPRODUCT(CostoCapital2001!M5:M12,PrecioCapital2001!L4:L11)</f>
        <v>48782227.227394924</v>
      </c>
      <c r="N6" s="220">
        <f>+SUMPRODUCT(CostoCapital2001!N5:N12,PrecioCapital2001!M4:M11)</f>
        <v>31648909.742485847</v>
      </c>
      <c r="O6" s="220">
        <f>+SUMPRODUCT(CostoCapital2001!O5:O12,PrecioCapital2001!N4:N11)</f>
        <v>30428054.893480692</v>
      </c>
    </row>
    <row r="7" spans="3:15">
      <c r="C7" s="221" t="s">
        <v>187</v>
      </c>
      <c r="D7" s="221">
        <f>+SUMPRODUCT(CostoCapital2001!C5:C12,PrecioCapital2001!C4:C11)</f>
        <v>7496371.7844697107</v>
      </c>
      <c r="E7" s="221">
        <f>+SUMPRODUCT(CostoCapital2001!D5:D12,PrecioCapital2001!D4:D11)</f>
        <v>11435249.983023532</v>
      </c>
      <c r="F7" s="221">
        <f>+SUMPRODUCT(CostoCapital2001!E5:E12,PrecioCapital2001!E4:E11)</f>
        <v>7210530.7477765344</v>
      </c>
      <c r="G7" s="221">
        <f>+SUMPRODUCT(CostoCapital2001!F5:F12,PrecioCapital2001!F4:F11)</f>
        <v>6989935.5425871741</v>
      </c>
      <c r="H7" s="221"/>
      <c r="I7" s="221">
        <f>+SUMPRODUCT(CostoCapital2001!H5:H12,PrecioCapital2001!H4:H11)</f>
        <v>11003867.300895471</v>
      </c>
      <c r="J7" s="221">
        <f>+SUMPRODUCT(CostoCapital2001!I5:I12,PrecioCapital2001!I4:I11)</f>
        <v>21723345.499090161</v>
      </c>
      <c r="K7" s="221">
        <f>+SUMPRODUCT(CostoCapital2001!J5:J12,PrecioCapital2001!J4:J11)</f>
        <v>28090559.743166026</v>
      </c>
      <c r="L7" s="221">
        <f>+SUMPRODUCT(CostoCapital2001!K5:K12,PrecioCapital2001!K4:K11)</f>
        <v>14722265.444837587</v>
      </c>
      <c r="M7" s="221">
        <f>+SUMPRODUCT(CostoCapital2001!L5:L12,PrecioCapital2001!L4:L11)</f>
        <v>44468055.961753279</v>
      </c>
      <c r="N7" s="221">
        <f>+SUMPRODUCT(CostoCapital2001!M5:M12,PrecioCapital2001!M4:M11)</f>
        <v>33670316.23833923</v>
      </c>
      <c r="O7" s="221">
        <f>+SUMPRODUCT(CostoCapital2001!N5:N12,PrecioCapital2001!N4:N11)</f>
        <v>30635075.536646087</v>
      </c>
    </row>
    <row r="8" spans="3:15">
      <c r="C8" s="235" t="s">
        <v>188</v>
      </c>
      <c r="D8" s="235">
        <f>+D9/D10</f>
        <v>1.1409764890440501</v>
      </c>
      <c r="E8" s="235">
        <f t="shared" ref="E8:O8" si="1">+E9/E10</f>
        <v>1.0160527196040563</v>
      </c>
      <c r="F8" s="235">
        <f t="shared" si="1"/>
        <v>0.93306245465069249</v>
      </c>
      <c r="G8" s="235">
        <f t="shared" si="1"/>
        <v>2.2191074042477692</v>
      </c>
      <c r="H8" s="235"/>
      <c r="I8" s="235">
        <f t="shared" si="1"/>
        <v>1.5554474967292107</v>
      </c>
      <c r="J8" s="235">
        <f t="shared" si="1"/>
        <v>1.0034002073334198</v>
      </c>
      <c r="K8" s="235">
        <f t="shared" si="1"/>
        <v>0.93985476030442228</v>
      </c>
      <c r="L8" s="235">
        <f t="shared" si="1"/>
        <v>1.0773805938209278</v>
      </c>
      <c r="M8" s="235">
        <f t="shared" si="1"/>
        <v>1.0990107208356465</v>
      </c>
      <c r="N8" s="235">
        <f t="shared" si="1"/>
        <v>0.93878177783762307</v>
      </c>
      <c r="O8" s="235">
        <f t="shared" si="1"/>
        <v>0.99357609112214018</v>
      </c>
    </row>
    <row r="9" spans="3:15">
      <c r="C9" s="219" t="s">
        <v>186</v>
      </c>
      <c r="D9" s="219">
        <f>+SUMPRODUCT(CostoCapital2001!D5:D12,PrecioCapital2001!D4:D11)</f>
        <v>11435249.983023532</v>
      </c>
      <c r="E9" s="219">
        <f>+SUMPRODUCT(CostoCapital2001!E5:E12,PrecioCapital2001!E4:E11)</f>
        <v>7210530.7477765344</v>
      </c>
      <c r="F9" s="219">
        <f>+SUMPRODUCT(CostoCapital2001!F5:F12,PrecioCapital2001!F4:F11)</f>
        <v>6989935.5425871741</v>
      </c>
      <c r="G9" s="219">
        <f>+SUMPRODUCT(CostoCapital2001!G5:G12,PrecioCapital2001!G4:G11)</f>
        <v>10558544.712767696</v>
      </c>
      <c r="H9" s="219"/>
      <c r="I9" s="219">
        <f>+SUMPRODUCT(CostoCapital2001!I5:I12,PrecioCapital2001!I4:I11)</f>
        <v>21723345.499090161</v>
      </c>
      <c r="J9" s="219">
        <f>+SUMPRODUCT(CostoCapital2001!J5:J12,PrecioCapital2001!J4:J11)</f>
        <v>28090559.743166026</v>
      </c>
      <c r="K9" s="219">
        <f>+SUMPRODUCT(CostoCapital2001!K5:K12,PrecioCapital2001!K4:K11)</f>
        <v>14722265.444837587</v>
      </c>
      <c r="L9" s="219">
        <f>+SUMPRODUCT(CostoCapital2001!L5:L12,PrecioCapital2001!L4:L11)</f>
        <v>44468055.961753279</v>
      </c>
      <c r="M9" s="219">
        <f>+SUMPRODUCT(CostoCapital2001!M5:M12,PrecioCapital2001!M4:M11)</f>
        <v>33670316.23833923</v>
      </c>
      <c r="N9" s="219">
        <f>+SUMPRODUCT(CostoCapital2001!N5:N12,PrecioCapital2001!N4:N11)</f>
        <v>30635075.536646087</v>
      </c>
      <c r="O9" s="219">
        <f>+SUMPRODUCT(CostoCapital2001!O5:O12,PrecioCapital2001!O4:O11)</f>
        <v>35753802.256152779</v>
      </c>
    </row>
    <row r="10" spans="3:15">
      <c r="C10" s="220" t="s">
        <v>187</v>
      </c>
      <c r="D10" s="220">
        <f>+SUMPRODUCT(CostoCapital2001!C5:C12,PrecioCapital2001!D4:D11)</f>
        <v>10022336.2118569</v>
      </c>
      <c r="E10" s="220">
        <f>+SUMPRODUCT(CostoCapital2001!D5:D12,PrecioCapital2001!E4:E11)</f>
        <v>7096610.8437625095</v>
      </c>
      <c r="F10" s="220">
        <f>+SUMPRODUCT(CostoCapital2001!E5:E12,PrecioCapital2001!F4:F11)</f>
        <v>7491390.857864893</v>
      </c>
      <c r="G10" s="220">
        <f>+SUMPRODUCT(CostoCapital2001!F5:F12,PrecioCapital2001!G4:G11)</f>
        <v>4758014.2775229132</v>
      </c>
      <c r="H10" s="220"/>
      <c r="I10" s="220">
        <f>+SUMPRODUCT(CostoCapital2001!H5:H12,PrecioCapital2001!I4:I11)</f>
        <v>13965977.986894405</v>
      </c>
      <c r="J10" s="220">
        <f>+SUMPRODUCT(CostoCapital2001!I5:I12,PrecioCapital2001!J4:J11)</f>
        <v>27995369.681871925</v>
      </c>
      <c r="K10" s="220">
        <f>+SUMPRODUCT(CostoCapital2001!J5:J12,PrecioCapital2001!K4:K11)</f>
        <v>15664404.82790021</v>
      </c>
      <c r="L10" s="220">
        <f>+SUMPRODUCT(CostoCapital2001!K5:K12,PrecioCapital2001!L4:L11)</f>
        <v>41274231.424614228</v>
      </c>
      <c r="M10" s="220">
        <f>+SUMPRODUCT(CostoCapital2001!L5:L12,PrecioCapital2001!M4:M11)</f>
        <v>30636931.560356013</v>
      </c>
      <c r="N10" s="220">
        <f>+SUMPRODUCT(CostoCapital2001!M5:M12,PrecioCapital2001!N4:N11)</f>
        <v>32632797.376202267</v>
      </c>
      <c r="O10" s="220">
        <f>+SUMPRODUCT(CostoCapital2001!N5:N12,PrecioCapital2001!O4:O11)</f>
        <v>35984966.401287496</v>
      </c>
    </row>
    <row r="11" spans="3:15">
      <c r="C11" s="236" t="s">
        <v>351</v>
      </c>
      <c r="D11" s="236">
        <f>((D6/D7)*(D9/D10))^0.5</f>
        <v>1.115345568268564</v>
      </c>
      <c r="E11" s="236">
        <f>((E6/E7)*(E9/E10))^0.5</f>
        <v>1.0150329747261206</v>
      </c>
      <c r="F11" s="236">
        <f>((F6/F7)*(F9/F10))^0.5</f>
        <v>0.93381491444570552</v>
      </c>
      <c r="G11" s="236">
        <f>((G6/G7)*(G9/G10))^0.5</f>
        <v>2.2037910232512945</v>
      </c>
      <c r="H11" s="236"/>
      <c r="I11" s="236">
        <f t="shared" ref="I11:O11" si="2">((I6/I7)*(I9/I10))^0.5</f>
        <v>1.5574567372667683</v>
      </c>
      <c r="J11" s="236">
        <f t="shared" si="2"/>
        <v>1.0038878208070687</v>
      </c>
      <c r="K11" s="236">
        <f t="shared" si="2"/>
        <v>0.93963164622544981</v>
      </c>
      <c r="L11" s="236">
        <f t="shared" si="2"/>
        <v>1.0787146546647863</v>
      </c>
      <c r="M11" s="236">
        <f t="shared" si="2"/>
        <v>1.0980135641182469</v>
      </c>
      <c r="N11" s="236">
        <f t="shared" si="2"/>
        <v>0.93937306816007304</v>
      </c>
      <c r="O11" s="236">
        <f t="shared" si="2"/>
        <v>0.99340921430022855</v>
      </c>
    </row>
    <row r="12" spans="3:15">
      <c r="C12" s="235" t="s">
        <v>190</v>
      </c>
      <c r="D12" s="252">
        <f>LN(D11)</f>
        <v>0.1091642835929876</v>
      </c>
      <c r="E12" s="252">
        <f>LN(E11)</f>
        <v>1.4921099380943202E-2</v>
      </c>
      <c r="F12" s="252">
        <f>LN(F11)</f>
        <v>-6.8477024795480651E-2</v>
      </c>
      <c r="G12" s="252">
        <f>LN(G11)</f>
        <v>0.79017906975863095</v>
      </c>
      <c r="H12" s="252"/>
      <c r="I12" s="252">
        <f t="shared" ref="I12:O12" si="3">LN(I11)</f>
        <v>0.44305419425789933</v>
      </c>
      <c r="J12" s="252">
        <f t="shared" si="3"/>
        <v>3.8802827631472941E-3</v>
      </c>
      <c r="K12" s="252">
        <f t="shared" si="3"/>
        <v>-6.2267346235128404E-2</v>
      </c>
      <c r="L12" s="252">
        <f t="shared" si="3"/>
        <v>7.5770197793926825E-2</v>
      </c>
      <c r="M12" s="252">
        <f t="shared" si="3"/>
        <v>9.3502696488491521E-2</v>
      </c>
      <c r="N12" s="252">
        <f t="shared" si="3"/>
        <v>-6.2542574993235719E-2</v>
      </c>
      <c r="O12" s="252">
        <f t="shared" si="3"/>
        <v>-6.6126008332526263E-3</v>
      </c>
    </row>
    <row r="14" spans="3:15" ht="9.75" thickBot="1">
      <c r="O14" s="172">
        <f>+AVERAGE(D12:O12)</f>
        <v>0.12096111610717539</v>
      </c>
    </row>
    <row r="15" spans="3:15" ht="9.75" thickTop="1">
      <c r="D15" s="343"/>
      <c r="E15" s="343"/>
      <c r="F15" s="343"/>
      <c r="G15" s="343"/>
      <c r="H15" s="343"/>
      <c r="I15" s="343"/>
      <c r="J15" s="343"/>
      <c r="K15" s="343"/>
      <c r="L15" s="343"/>
      <c r="M15" s="343"/>
      <c r="N15" s="343"/>
      <c r="O15" s="343"/>
    </row>
    <row r="16" spans="3:15">
      <c r="D16" s="343"/>
      <c r="E16" s="343"/>
      <c r="F16" s="343"/>
      <c r="G16" s="343"/>
      <c r="H16" s="343"/>
      <c r="I16" s="343"/>
      <c r="J16" s="343"/>
      <c r="K16" s="343"/>
      <c r="L16" s="343"/>
      <c r="M16" s="343"/>
      <c r="N16" s="343"/>
      <c r="O16" s="343"/>
    </row>
    <row r="17" spans="4:15"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N17" s="343"/>
      <c r="O17" s="343"/>
    </row>
    <row r="18" spans="4:15"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N18" s="343"/>
      <c r="O18" s="343"/>
    </row>
    <row r="19" spans="4:15">
      <c r="D19" s="343"/>
      <c r="E19" s="343"/>
      <c r="F19" s="343"/>
      <c r="G19" s="343"/>
      <c r="H19" s="343"/>
      <c r="I19" s="343"/>
      <c r="J19" s="343"/>
      <c r="K19" s="343"/>
      <c r="L19" s="343"/>
      <c r="M19" s="343"/>
      <c r="N19" s="343"/>
      <c r="O19" s="343"/>
    </row>
    <row r="20" spans="4:15"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N20" s="343"/>
      <c r="O20" s="343"/>
    </row>
    <row r="21" spans="4:15"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N21" s="343"/>
      <c r="O21" s="343"/>
    </row>
    <row r="22" spans="4:15">
      <c r="D22" s="343"/>
      <c r="E22" s="343"/>
      <c r="F22" s="343"/>
      <c r="G22" s="343"/>
      <c r="H22" s="343"/>
      <c r="I22" s="343"/>
      <c r="J22" s="343"/>
      <c r="K22" s="343"/>
      <c r="L22" s="343"/>
      <c r="M22" s="343"/>
      <c r="N22" s="343"/>
      <c r="O22" s="343"/>
    </row>
    <row r="23" spans="4:15">
      <c r="D23" s="343"/>
      <c r="E23" s="343"/>
      <c r="F23" s="343"/>
      <c r="G23" s="343"/>
      <c r="H23" s="343"/>
      <c r="I23" s="343"/>
      <c r="J23" s="343"/>
      <c r="K23" s="343"/>
      <c r="L23" s="343"/>
      <c r="M23" s="343"/>
      <c r="N23" s="343"/>
      <c r="O23" s="343"/>
    </row>
  </sheetData>
  <mergeCells count="1">
    <mergeCell ref="E2:H2"/>
  </mergeCells>
  <hyperlinks>
    <hyperlink ref="E2:H2" location="Indice!D3" display="ÍNDICE"/>
  </hyperlink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24">
    <tabColor rgb="FF92D050"/>
  </sheetPr>
  <dimension ref="C1:O23"/>
  <sheetViews>
    <sheetView showGridLines="0" workbookViewId="0">
      <selection activeCell="E2" sqref="E2:H2"/>
    </sheetView>
  </sheetViews>
  <sheetFormatPr baseColWidth="10" defaultRowHeight="9"/>
  <cols>
    <col min="1" max="1" width="7.42578125" style="92" customWidth="1"/>
    <col min="2" max="2" width="6.28515625" style="92" customWidth="1"/>
    <col min="3" max="3" width="16" style="92" customWidth="1"/>
    <col min="4" max="15" width="8.140625" style="92" customWidth="1"/>
    <col min="16" max="16384" width="11.42578125" style="92"/>
  </cols>
  <sheetData>
    <row r="1" spans="3:15">
      <c r="C1" s="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</row>
    <row r="2" spans="3:15" ht="15">
      <c r="C2" s="76"/>
      <c r="D2" s="176"/>
      <c r="E2" s="444" t="s">
        <v>555</v>
      </c>
      <c r="F2" s="444"/>
      <c r="G2" s="444"/>
      <c r="H2" s="444"/>
      <c r="I2" s="176"/>
      <c r="J2" s="176"/>
      <c r="K2" s="176"/>
      <c r="L2" s="176"/>
      <c r="M2" s="176"/>
      <c r="N2" s="176"/>
      <c r="O2" s="176"/>
    </row>
    <row r="3" spans="3:15">
      <c r="C3" s="175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</row>
    <row r="4" spans="3:15" ht="9.75" thickBot="1">
      <c r="C4" s="42"/>
      <c r="D4" s="42">
        <v>2002</v>
      </c>
      <c r="E4" s="42">
        <v>2003</v>
      </c>
      <c r="F4" s="42">
        <v>2004</v>
      </c>
      <c r="G4" s="49" t="s">
        <v>469</v>
      </c>
      <c r="H4" s="88">
        <v>2005</v>
      </c>
      <c r="I4" s="42">
        <v>2006</v>
      </c>
      <c r="J4" s="42">
        <v>2007</v>
      </c>
      <c r="K4" s="42">
        <v>2008</v>
      </c>
      <c r="L4" s="42">
        <v>2009</v>
      </c>
      <c r="M4" s="42">
        <v>2010</v>
      </c>
      <c r="N4" s="42">
        <v>2011</v>
      </c>
      <c r="O4" s="43">
        <v>2012</v>
      </c>
    </row>
    <row r="5" spans="3:15" ht="9.75" thickTop="1">
      <c r="C5" s="234" t="s">
        <v>192</v>
      </c>
      <c r="D5" s="234">
        <f>+D6/D7</f>
        <v>1.3369582646127889</v>
      </c>
      <c r="E5" s="234">
        <f t="shared" ref="E5:O5" si="0">+E6/E7</f>
        <v>0.62059079200699152</v>
      </c>
      <c r="F5" s="234">
        <f t="shared" si="0"/>
        <v>1.0389513781873776</v>
      </c>
      <c r="G5" s="234">
        <f t="shared" si="0"/>
        <v>0.68069501478719452</v>
      </c>
      <c r="H5" s="234"/>
      <c r="I5" s="234">
        <f t="shared" si="0"/>
        <v>1.2691881504021667</v>
      </c>
      <c r="J5" s="234">
        <f t="shared" si="0"/>
        <v>1.2887227560342607</v>
      </c>
      <c r="K5" s="234">
        <f t="shared" si="0"/>
        <v>0.55763946931356911</v>
      </c>
      <c r="L5" s="234">
        <f t="shared" si="0"/>
        <v>2.8035244697402995</v>
      </c>
      <c r="M5" s="234">
        <f t="shared" si="0"/>
        <v>0.68896494118624529</v>
      </c>
      <c r="N5" s="234">
        <f t="shared" si="0"/>
        <v>0.96918594839464034</v>
      </c>
      <c r="O5" s="234">
        <f t="shared" si="0"/>
        <v>1.1746328602402758</v>
      </c>
    </row>
    <row r="6" spans="3:15">
      <c r="C6" s="220" t="s">
        <v>186</v>
      </c>
      <c r="D6" s="220">
        <f>+SUMPRODUCT(PrecioCapital2001!D4:D11,CostoCapital2001!C5:C12)</f>
        <v>10022336.2118569</v>
      </c>
      <c r="E6" s="220">
        <f>+SUMPRODUCT(PrecioCapital2001!E4:E11,CostoCapital2001!D5:D12)</f>
        <v>7096610.8437625095</v>
      </c>
      <c r="F6" s="220">
        <f>+SUMPRODUCT(PrecioCapital2001!F4:F11,CostoCapital2001!E5:E12)</f>
        <v>7491390.857864893</v>
      </c>
      <c r="G6" s="220">
        <f>+SUMPRODUCT(PrecioCapital2001!G4:G11,CostoCapital2001!F5:F12)</f>
        <v>4758014.2775229132</v>
      </c>
      <c r="H6" s="220"/>
      <c r="I6" s="220">
        <f>+SUMPRODUCT(PrecioCapital2001!I4:I11,CostoCapital2001!H5:H12)</f>
        <v>13965977.986894405</v>
      </c>
      <c r="J6" s="220">
        <f>+SUMPRODUCT(PrecioCapital2001!J4:J11,CostoCapital2001!I5:I12)</f>
        <v>27995369.681871925</v>
      </c>
      <c r="K6" s="220">
        <f>+SUMPRODUCT(PrecioCapital2001!K4:K11,CostoCapital2001!J5:J12)</f>
        <v>15664404.82790021</v>
      </c>
      <c r="L6" s="220">
        <f>+SUMPRODUCT(PrecioCapital2001!L4:L11,CostoCapital2001!K5:K12)</f>
        <v>41274231.424614228</v>
      </c>
      <c r="M6" s="220">
        <f>+SUMPRODUCT(PrecioCapital2001!M4:M11,CostoCapital2001!L5:L12)</f>
        <v>30636931.560356013</v>
      </c>
      <c r="N6" s="220">
        <f>+SUMPRODUCT(PrecioCapital2001!N4:N11,CostoCapital2001!M5:M12)</f>
        <v>32632797.376202267</v>
      </c>
      <c r="O6" s="220">
        <f>+SUMPRODUCT(PrecioCapital2001!O4:O11,CostoCapital2001!N5:N12)</f>
        <v>35984966.401287496</v>
      </c>
    </row>
    <row r="7" spans="3:15">
      <c r="C7" s="221" t="s">
        <v>187</v>
      </c>
      <c r="D7" s="221">
        <f>+SUMPRODUCT(PrecioCapital2001!C4:C11,CostoCapital2001!C5:C12)</f>
        <v>7496371.7844697107</v>
      </c>
      <c r="E7" s="221">
        <f>+SUMPRODUCT(PrecioCapital2001!D4:D11,CostoCapital2001!D5:D12)</f>
        <v>11435249.983023532</v>
      </c>
      <c r="F7" s="221">
        <f>+SUMPRODUCT(PrecioCapital2001!E4:E11,CostoCapital2001!E5:E12)</f>
        <v>7210530.7477765344</v>
      </c>
      <c r="G7" s="221">
        <f>+SUMPRODUCT(PrecioCapital2001!F4:F11,CostoCapital2001!F5:F12)</f>
        <v>6989935.5425871741</v>
      </c>
      <c r="H7" s="221"/>
      <c r="I7" s="221">
        <f>+SUMPRODUCT(PrecioCapital2001!H4:H11,CostoCapital2001!H5:H12)</f>
        <v>11003867.300895471</v>
      </c>
      <c r="J7" s="221">
        <f>+SUMPRODUCT(PrecioCapital2001!I4:I11,CostoCapital2001!I5:I12)</f>
        <v>21723345.499090161</v>
      </c>
      <c r="K7" s="221">
        <f>+SUMPRODUCT(PrecioCapital2001!J4:J11,CostoCapital2001!J5:J12)</f>
        <v>28090559.743166026</v>
      </c>
      <c r="L7" s="221">
        <f>+SUMPRODUCT(PrecioCapital2001!K4:K11,CostoCapital2001!K5:K12)</f>
        <v>14722265.444837587</v>
      </c>
      <c r="M7" s="221">
        <f>+SUMPRODUCT(PrecioCapital2001!L4:L11,CostoCapital2001!L5:L12)</f>
        <v>44468055.961753279</v>
      </c>
      <c r="N7" s="221">
        <f>+SUMPRODUCT(PrecioCapital2001!M4:M11,CostoCapital2001!M5:M12)</f>
        <v>33670316.23833923</v>
      </c>
      <c r="O7" s="221">
        <f>+SUMPRODUCT(PrecioCapital2001!N4:N11,CostoCapital2001!N5:N12)</f>
        <v>30635075.536646087</v>
      </c>
    </row>
    <row r="8" spans="3:15">
      <c r="C8" s="235" t="s">
        <v>193</v>
      </c>
      <c r="D8" s="235">
        <f>+D9/D10</f>
        <v>1.3991115736640469</v>
      </c>
      <c r="E8" s="235">
        <f t="shared" ref="E8:O8" si="1">+E9/E10</f>
        <v>0.62183836166870377</v>
      </c>
      <c r="F8" s="235">
        <f t="shared" si="1"/>
        <v>1.0372776971235127</v>
      </c>
      <c r="G8" s="235">
        <f t="shared" si="1"/>
        <v>0.69018957553050175</v>
      </c>
      <c r="H8" s="235"/>
      <c r="I8" s="235">
        <f t="shared" si="1"/>
        <v>1.2659155595121712</v>
      </c>
      <c r="J8" s="235">
        <f t="shared" si="1"/>
        <v>1.287471130200877</v>
      </c>
      <c r="K8" s="235">
        <f t="shared" si="1"/>
        <v>0.55790432201075557</v>
      </c>
      <c r="L8" s="235">
        <f t="shared" si="1"/>
        <v>2.7965944451873876</v>
      </c>
      <c r="M8" s="235">
        <f t="shared" si="1"/>
        <v>0.69021687102123108</v>
      </c>
      <c r="N8" s="235">
        <f t="shared" si="1"/>
        <v>0.96796622019245171</v>
      </c>
      <c r="O8" s="235">
        <f t="shared" si="1"/>
        <v>1.1750275323649801</v>
      </c>
    </row>
    <row r="9" spans="3:15">
      <c r="C9" s="219" t="s">
        <v>186</v>
      </c>
      <c r="D9" s="219">
        <f>+SUMPRODUCT(PrecioCapital2001!D4:D11,CostoCapital2001!D5:D12)</f>
        <v>11435249.983023532</v>
      </c>
      <c r="E9" s="219">
        <f>+SUMPRODUCT(PrecioCapital2001!E4:E11,CostoCapital2001!E5:E12)</f>
        <v>7210530.7477765344</v>
      </c>
      <c r="F9" s="219">
        <f>+SUMPRODUCT(PrecioCapital2001!F4:F11,CostoCapital2001!F5:F12)</f>
        <v>6989935.5425871741</v>
      </c>
      <c r="G9" s="219">
        <f>+SUMPRODUCT(PrecioCapital2001!G4:G11,CostoCapital2001!G5:G12)</f>
        <v>10558544.712767696</v>
      </c>
      <c r="H9" s="219"/>
      <c r="I9" s="219">
        <f>+SUMPRODUCT(PrecioCapital2001!I4:I11,CostoCapital2001!I5:I12)</f>
        <v>21723345.499090161</v>
      </c>
      <c r="J9" s="219">
        <f>+SUMPRODUCT(PrecioCapital2001!J4:J11,CostoCapital2001!J5:J12)</f>
        <v>28090559.743166026</v>
      </c>
      <c r="K9" s="219">
        <f>+SUMPRODUCT(PrecioCapital2001!K4:K11,CostoCapital2001!K5:K12)</f>
        <v>14722265.444837587</v>
      </c>
      <c r="L9" s="219">
        <f>+SUMPRODUCT(PrecioCapital2001!L4:L11,CostoCapital2001!L5:L12)</f>
        <v>44468055.961753279</v>
      </c>
      <c r="M9" s="219">
        <f>+SUMPRODUCT(PrecioCapital2001!M4:M11,CostoCapital2001!M5:M12)</f>
        <v>33670316.23833923</v>
      </c>
      <c r="N9" s="219">
        <f>+SUMPRODUCT(PrecioCapital2001!N4:N11,CostoCapital2001!N5:N12)</f>
        <v>30635075.536646087</v>
      </c>
      <c r="O9" s="219">
        <f>+SUMPRODUCT(PrecioCapital2001!O4:O11,CostoCapital2001!O5:O12)</f>
        <v>35753802.256152779</v>
      </c>
    </row>
    <row r="10" spans="3:15">
      <c r="C10" s="220" t="s">
        <v>187</v>
      </c>
      <c r="D10" s="220">
        <f>+SUMPRODUCT(PrecioCapital2001!C4:C11,CostoCapital2001!D5:D12)</f>
        <v>8173222.3492916021</v>
      </c>
      <c r="E10" s="220">
        <f>+SUMPRODUCT(PrecioCapital2001!D4:D11,CostoCapital2001!E5:E12)</f>
        <v>11595506.472818868</v>
      </c>
      <c r="F10" s="220">
        <f>+SUMPRODUCT(PrecioCapital2001!E4:E11,CostoCapital2001!F5:F12)</f>
        <v>6738731.1632854436</v>
      </c>
      <c r="G10" s="220">
        <f>+SUMPRODUCT(PrecioCapital2001!F4:F11,CostoCapital2001!G5:G12)</f>
        <v>15298035.622534666</v>
      </c>
      <c r="H10" s="220"/>
      <c r="I10" s="220">
        <f>+SUMPRODUCT(PrecioCapital2001!H4:H11,CostoCapital2001!I5:I12)</f>
        <v>17160185.239733838</v>
      </c>
      <c r="J10" s="220">
        <f>+SUMPRODUCT(PrecioCapital2001!I4:I11,CostoCapital2001!J5:J12)</f>
        <v>21818399.717268389</v>
      </c>
      <c r="K10" s="220">
        <f>+SUMPRODUCT(PrecioCapital2001!J4:J11,CostoCapital2001!K5:K12)</f>
        <v>26388512.983331513</v>
      </c>
      <c r="L10" s="220">
        <f>+SUMPRODUCT(PrecioCapital2001!K4:K11,CostoCapital2001!L5:L12)</f>
        <v>15900788.202693317</v>
      </c>
      <c r="M10" s="220">
        <f>+SUMPRODUCT(PrecioCapital2001!L4:L11,CostoCapital2001!M5:M12)</f>
        <v>48782227.227394924</v>
      </c>
      <c r="N10" s="220">
        <f>+SUMPRODUCT(PrecioCapital2001!M4:M11,CostoCapital2001!N5:N12)</f>
        <v>31648909.742485847</v>
      </c>
      <c r="O10" s="220">
        <f>+SUMPRODUCT(PrecioCapital2001!N4:N11,CostoCapital2001!O5:O12)</f>
        <v>30428054.893480692</v>
      </c>
    </row>
    <row r="11" spans="3:15">
      <c r="C11" s="236" t="s">
        <v>353</v>
      </c>
      <c r="D11" s="236">
        <f>((D6/D7)*(D9/D10))^0.5</f>
        <v>1.3676819007084771</v>
      </c>
      <c r="E11" s="236">
        <f>((E6/E7)*(E9/E10))^0.5</f>
        <v>0.62121426365490906</v>
      </c>
      <c r="F11" s="236">
        <f t="shared" ref="F11:G11" si="2">((F6/F7)*(F9/F10))^0.5</f>
        <v>1.0381142003602024</v>
      </c>
      <c r="G11" s="236">
        <f t="shared" si="2"/>
        <v>0.68542585545170553</v>
      </c>
      <c r="H11" s="236"/>
      <c r="I11" s="236">
        <f t="shared" ref="I11:O11" si="3">((I6/I7)*(I9/I10))^0.5</f>
        <v>1.2675507988016008</v>
      </c>
      <c r="J11" s="236">
        <f t="shared" si="3"/>
        <v>1.2880967910941392</v>
      </c>
      <c r="K11" s="236">
        <f t="shared" si="3"/>
        <v>0.5577718799418131</v>
      </c>
      <c r="L11" s="236">
        <f t="shared" si="3"/>
        <v>2.8000573135246065</v>
      </c>
      <c r="M11" s="236">
        <f t="shared" si="3"/>
        <v>0.68959062199894861</v>
      </c>
      <c r="N11" s="236">
        <f t="shared" si="3"/>
        <v>0.968575892293008</v>
      </c>
      <c r="O11" s="236">
        <f t="shared" si="3"/>
        <v>1.1748301797293725</v>
      </c>
    </row>
    <row r="12" spans="3:15">
      <c r="C12" s="237" t="s">
        <v>190</v>
      </c>
      <c r="D12" s="237">
        <f>LN(D11)</f>
        <v>0.31311726343949031</v>
      </c>
      <c r="E12" s="237">
        <f>LN(E11)</f>
        <v>-0.47607922651772344</v>
      </c>
      <c r="F12" s="237">
        <f>LN(F11)</f>
        <v>3.7405798306821482E-2</v>
      </c>
      <c r="G12" s="237">
        <f>LN(G11)</f>
        <v>-0.37771494709627818</v>
      </c>
      <c r="H12" s="237"/>
      <c r="I12" s="237">
        <f t="shared" ref="I12:O12" si="4">LN(I11)</f>
        <v>0.23708653363008253</v>
      </c>
      <c r="J12" s="237">
        <f t="shared" si="4"/>
        <v>0.25316577322367984</v>
      </c>
      <c r="K12" s="237">
        <f t="shared" si="4"/>
        <v>-0.58380521749798309</v>
      </c>
      <c r="L12" s="237">
        <f t="shared" si="4"/>
        <v>1.0296398860875997</v>
      </c>
      <c r="M12" s="237">
        <f t="shared" si="4"/>
        <v>-0.37165715891458323</v>
      </c>
      <c r="N12" s="237">
        <f t="shared" si="4"/>
        <v>-3.1928438551525835E-2</v>
      </c>
      <c r="O12" s="237">
        <f t="shared" si="4"/>
        <v>0.16112360926106467</v>
      </c>
    </row>
    <row r="14" spans="3:15" ht="9.75" thickBot="1">
      <c r="O14" s="172">
        <f>+AVERAGE(D12:O12)</f>
        <v>1.7304897760967705E-2</v>
      </c>
    </row>
    <row r="15" spans="3:15" ht="9.75" thickTop="1">
      <c r="D15" s="343"/>
      <c r="E15" s="343"/>
      <c r="F15" s="343"/>
      <c r="G15" s="343"/>
      <c r="H15" s="343"/>
      <c r="I15" s="343"/>
      <c r="J15" s="343"/>
      <c r="K15" s="343"/>
      <c r="L15" s="343"/>
      <c r="M15" s="343"/>
      <c r="N15" s="343"/>
      <c r="O15" s="343"/>
    </row>
    <row r="16" spans="3:15">
      <c r="D16" s="343"/>
      <c r="E16" s="343"/>
      <c r="F16" s="343"/>
      <c r="G16" s="343"/>
      <c r="H16" s="343"/>
      <c r="I16" s="343"/>
      <c r="J16" s="343"/>
      <c r="K16" s="343"/>
      <c r="L16" s="343"/>
      <c r="M16" s="343"/>
      <c r="N16" s="343"/>
      <c r="O16" s="343"/>
    </row>
    <row r="17" spans="4:15"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N17" s="343"/>
      <c r="O17" s="343"/>
    </row>
    <row r="18" spans="4:15"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N18" s="343"/>
      <c r="O18" s="343"/>
    </row>
    <row r="19" spans="4:15">
      <c r="D19" s="343"/>
      <c r="E19" s="343"/>
      <c r="F19" s="343"/>
      <c r="G19" s="343"/>
      <c r="H19" s="343"/>
      <c r="I19" s="343"/>
      <c r="J19" s="343"/>
      <c r="K19" s="343"/>
      <c r="L19" s="343"/>
      <c r="M19" s="343"/>
      <c r="N19" s="343"/>
      <c r="O19" s="343"/>
    </row>
    <row r="20" spans="4:15"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N20" s="343"/>
      <c r="O20" s="343"/>
    </row>
    <row r="21" spans="4:15"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N21" s="343"/>
      <c r="O21" s="343"/>
    </row>
    <row r="22" spans="4:15">
      <c r="D22" s="343"/>
      <c r="E22" s="343"/>
      <c r="F22" s="343"/>
      <c r="G22" s="343"/>
      <c r="H22" s="343"/>
      <c r="I22" s="343"/>
      <c r="J22" s="343"/>
      <c r="K22" s="343"/>
      <c r="L22" s="343"/>
      <c r="M22" s="343"/>
      <c r="N22" s="343"/>
      <c r="O22" s="343"/>
    </row>
    <row r="23" spans="4:15">
      <c r="D23" s="343"/>
      <c r="E23" s="343"/>
      <c r="F23" s="343"/>
      <c r="G23" s="343"/>
      <c r="H23" s="343"/>
      <c r="I23" s="343"/>
      <c r="J23" s="343"/>
      <c r="K23" s="343"/>
      <c r="L23" s="343"/>
      <c r="M23" s="343"/>
      <c r="N23" s="343"/>
      <c r="O23" s="343"/>
    </row>
  </sheetData>
  <mergeCells count="1">
    <mergeCell ref="E2:H2"/>
  </mergeCells>
  <hyperlinks>
    <hyperlink ref="E2:H2" location="Indice!D3" display="ÍNDICE"/>
  </hyperlink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25">
    <tabColor rgb="FFFFC000"/>
  </sheetPr>
  <dimension ref="A1:T32"/>
  <sheetViews>
    <sheetView showGridLines="0" workbookViewId="0">
      <selection activeCell="Q3" sqref="Q3:T3"/>
    </sheetView>
  </sheetViews>
  <sheetFormatPr baseColWidth="10" defaultRowHeight="9" outlineLevelRow="1"/>
  <cols>
    <col min="1" max="1" width="26.85546875" style="177" customWidth="1"/>
    <col min="2" max="15" width="8.42578125" style="177" customWidth="1"/>
    <col min="16" max="16" width="9" style="33" customWidth="1"/>
    <col min="17" max="17" width="7.140625" style="177" customWidth="1"/>
    <col min="18" max="19" width="7.140625" style="33" customWidth="1"/>
    <col min="20" max="20" width="7.140625" style="177" customWidth="1"/>
    <col min="21" max="250" width="11.42578125" style="177"/>
    <col min="251" max="251" width="3.28515625" style="177" customWidth="1"/>
    <col min="252" max="252" width="12.7109375" style="177" customWidth="1"/>
    <col min="253" max="253" width="28.140625" style="177" customWidth="1"/>
    <col min="254" max="266" width="8.5703125" style="177" bestFit="1" customWidth="1"/>
    <col min="267" max="267" width="10.42578125" style="177" bestFit="1" customWidth="1"/>
    <col min="268" max="271" width="9" style="177" customWidth="1"/>
    <col min="272" max="506" width="11.42578125" style="177"/>
    <col min="507" max="507" width="3.28515625" style="177" customWidth="1"/>
    <col min="508" max="508" width="12.7109375" style="177" customWidth="1"/>
    <col min="509" max="509" width="28.140625" style="177" customWidth="1"/>
    <col min="510" max="522" width="8.5703125" style="177" bestFit="1" customWidth="1"/>
    <col min="523" max="523" width="10.42578125" style="177" bestFit="1" customWidth="1"/>
    <col min="524" max="527" width="9" style="177" customWidth="1"/>
    <col min="528" max="762" width="11.42578125" style="177"/>
    <col min="763" max="763" width="3.28515625" style="177" customWidth="1"/>
    <col min="764" max="764" width="12.7109375" style="177" customWidth="1"/>
    <col min="765" max="765" width="28.140625" style="177" customWidth="1"/>
    <col min="766" max="778" width="8.5703125" style="177" bestFit="1" customWidth="1"/>
    <col min="779" max="779" width="10.42578125" style="177" bestFit="1" customWidth="1"/>
    <col min="780" max="783" width="9" style="177" customWidth="1"/>
    <col min="784" max="1018" width="11.42578125" style="177"/>
    <col min="1019" max="1019" width="3.28515625" style="177" customWidth="1"/>
    <col min="1020" max="1020" width="12.7109375" style="177" customWidth="1"/>
    <col min="1021" max="1021" width="28.140625" style="177" customWidth="1"/>
    <col min="1022" max="1034" width="8.5703125" style="177" bestFit="1" customWidth="1"/>
    <col min="1035" max="1035" width="10.42578125" style="177" bestFit="1" customWidth="1"/>
    <col min="1036" max="1039" width="9" style="177" customWidth="1"/>
    <col min="1040" max="1274" width="11.42578125" style="177"/>
    <col min="1275" max="1275" width="3.28515625" style="177" customWidth="1"/>
    <col min="1276" max="1276" width="12.7109375" style="177" customWidth="1"/>
    <col min="1277" max="1277" width="28.140625" style="177" customWidth="1"/>
    <col min="1278" max="1290" width="8.5703125" style="177" bestFit="1" customWidth="1"/>
    <col min="1291" max="1291" width="10.42578125" style="177" bestFit="1" customWidth="1"/>
    <col min="1292" max="1295" width="9" style="177" customWidth="1"/>
    <col min="1296" max="1530" width="11.42578125" style="177"/>
    <col min="1531" max="1531" width="3.28515625" style="177" customWidth="1"/>
    <col min="1532" max="1532" width="12.7109375" style="177" customWidth="1"/>
    <col min="1533" max="1533" width="28.140625" style="177" customWidth="1"/>
    <col min="1534" max="1546" width="8.5703125" style="177" bestFit="1" customWidth="1"/>
    <col min="1547" max="1547" width="10.42578125" style="177" bestFit="1" customWidth="1"/>
    <col min="1548" max="1551" width="9" style="177" customWidth="1"/>
    <col min="1552" max="1786" width="11.42578125" style="177"/>
    <col min="1787" max="1787" width="3.28515625" style="177" customWidth="1"/>
    <col min="1788" max="1788" width="12.7109375" style="177" customWidth="1"/>
    <col min="1789" max="1789" width="28.140625" style="177" customWidth="1"/>
    <col min="1790" max="1802" width="8.5703125" style="177" bestFit="1" customWidth="1"/>
    <col min="1803" max="1803" width="10.42578125" style="177" bestFit="1" customWidth="1"/>
    <col min="1804" max="1807" width="9" style="177" customWidth="1"/>
    <col min="1808" max="2042" width="11.42578125" style="177"/>
    <col min="2043" max="2043" width="3.28515625" style="177" customWidth="1"/>
    <col min="2044" max="2044" width="12.7109375" style="177" customWidth="1"/>
    <col min="2045" max="2045" width="28.140625" style="177" customWidth="1"/>
    <col min="2046" max="2058" width="8.5703125" style="177" bestFit="1" customWidth="1"/>
    <col min="2059" max="2059" width="10.42578125" style="177" bestFit="1" customWidth="1"/>
    <col min="2060" max="2063" width="9" style="177" customWidth="1"/>
    <col min="2064" max="2298" width="11.42578125" style="177"/>
    <col min="2299" max="2299" width="3.28515625" style="177" customWidth="1"/>
    <col min="2300" max="2300" width="12.7109375" style="177" customWidth="1"/>
    <col min="2301" max="2301" width="28.140625" style="177" customWidth="1"/>
    <col min="2302" max="2314" width="8.5703125" style="177" bestFit="1" customWidth="1"/>
    <col min="2315" max="2315" width="10.42578125" style="177" bestFit="1" customWidth="1"/>
    <col min="2316" max="2319" width="9" style="177" customWidth="1"/>
    <col min="2320" max="2554" width="11.42578125" style="177"/>
    <col min="2555" max="2555" width="3.28515625" style="177" customWidth="1"/>
    <col min="2556" max="2556" width="12.7109375" style="177" customWidth="1"/>
    <col min="2557" max="2557" width="28.140625" style="177" customWidth="1"/>
    <col min="2558" max="2570" width="8.5703125" style="177" bestFit="1" customWidth="1"/>
    <col min="2571" max="2571" width="10.42578125" style="177" bestFit="1" customWidth="1"/>
    <col min="2572" max="2575" width="9" style="177" customWidth="1"/>
    <col min="2576" max="2810" width="11.42578125" style="177"/>
    <col min="2811" max="2811" width="3.28515625" style="177" customWidth="1"/>
    <col min="2812" max="2812" width="12.7109375" style="177" customWidth="1"/>
    <col min="2813" max="2813" width="28.140625" style="177" customWidth="1"/>
    <col min="2814" max="2826" width="8.5703125" style="177" bestFit="1" customWidth="1"/>
    <col min="2827" max="2827" width="10.42578125" style="177" bestFit="1" customWidth="1"/>
    <col min="2828" max="2831" width="9" style="177" customWidth="1"/>
    <col min="2832" max="3066" width="11.42578125" style="177"/>
    <col min="3067" max="3067" width="3.28515625" style="177" customWidth="1"/>
    <col min="3068" max="3068" width="12.7109375" style="177" customWidth="1"/>
    <col min="3069" max="3069" width="28.140625" style="177" customWidth="1"/>
    <col min="3070" max="3082" width="8.5703125" style="177" bestFit="1" customWidth="1"/>
    <col min="3083" max="3083" width="10.42578125" style="177" bestFit="1" customWidth="1"/>
    <col min="3084" max="3087" width="9" style="177" customWidth="1"/>
    <col min="3088" max="3322" width="11.42578125" style="177"/>
    <col min="3323" max="3323" width="3.28515625" style="177" customWidth="1"/>
    <col min="3324" max="3324" width="12.7109375" style="177" customWidth="1"/>
    <col min="3325" max="3325" width="28.140625" style="177" customWidth="1"/>
    <col min="3326" max="3338" width="8.5703125" style="177" bestFit="1" customWidth="1"/>
    <col min="3339" max="3339" width="10.42578125" style="177" bestFit="1" customWidth="1"/>
    <col min="3340" max="3343" width="9" style="177" customWidth="1"/>
    <col min="3344" max="3578" width="11.42578125" style="177"/>
    <col min="3579" max="3579" width="3.28515625" style="177" customWidth="1"/>
    <col min="3580" max="3580" width="12.7109375" style="177" customWidth="1"/>
    <col min="3581" max="3581" width="28.140625" style="177" customWidth="1"/>
    <col min="3582" max="3594" width="8.5703125" style="177" bestFit="1" customWidth="1"/>
    <col min="3595" max="3595" width="10.42578125" style="177" bestFit="1" customWidth="1"/>
    <col min="3596" max="3599" width="9" style="177" customWidth="1"/>
    <col min="3600" max="3834" width="11.42578125" style="177"/>
    <col min="3835" max="3835" width="3.28515625" style="177" customWidth="1"/>
    <col min="3836" max="3836" width="12.7109375" style="177" customWidth="1"/>
    <col min="3837" max="3837" width="28.140625" style="177" customWidth="1"/>
    <col min="3838" max="3850" width="8.5703125" style="177" bestFit="1" customWidth="1"/>
    <col min="3851" max="3851" width="10.42578125" style="177" bestFit="1" customWidth="1"/>
    <col min="3852" max="3855" width="9" style="177" customWidth="1"/>
    <col min="3856" max="4090" width="11.42578125" style="177"/>
    <col min="4091" max="4091" width="3.28515625" style="177" customWidth="1"/>
    <col min="4092" max="4092" width="12.7109375" style="177" customWidth="1"/>
    <col min="4093" max="4093" width="28.140625" style="177" customWidth="1"/>
    <col min="4094" max="4106" width="8.5703125" style="177" bestFit="1" customWidth="1"/>
    <col min="4107" max="4107" width="10.42578125" style="177" bestFit="1" customWidth="1"/>
    <col min="4108" max="4111" width="9" style="177" customWidth="1"/>
    <col min="4112" max="4346" width="11.42578125" style="177"/>
    <col min="4347" max="4347" width="3.28515625" style="177" customWidth="1"/>
    <col min="4348" max="4348" width="12.7109375" style="177" customWidth="1"/>
    <col min="4349" max="4349" width="28.140625" style="177" customWidth="1"/>
    <col min="4350" max="4362" width="8.5703125" style="177" bestFit="1" customWidth="1"/>
    <col min="4363" max="4363" width="10.42578125" style="177" bestFit="1" customWidth="1"/>
    <col min="4364" max="4367" width="9" style="177" customWidth="1"/>
    <col min="4368" max="4602" width="11.42578125" style="177"/>
    <col min="4603" max="4603" width="3.28515625" style="177" customWidth="1"/>
    <col min="4604" max="4604" width="12.7109375" style="177" customWidth="1"/>
    <col min="4605" max="4605" width="28.140625" style="177" customWidth="1"/>
    <col min="4606" max="4618" width="8.5703125" style="177" bestFit="1" customWidth="1"/>
    <col min="4619" max="4619" width="10.42578125" style="177" bestFit="1" customWidth="1"/>
    <col min="4620" max="4623" width="9" style="177" customWidth="1"/>
    <col min="4624" max="4858" width="11.42578125" style="177"/>
    <col min="4859" max="4859" width="3.28515625" style="177" customWidth="1"/>
    <col min="4860" max="4860" width="12.7109375" style="177" customWidth="1"/>
    <col min="4861" max="4861" width="28.140625" style="177" customWidth="1"/>
    <col min="4862" max="4874" width="8.5703125" style="177" bestFit="1" customWidth="1"/>
    <col min="4875" max="4875" width="10.42578125" style="177" bestFit="1" customWidth="1"/>
    <col min="4876" max="4879" width="9" style="177" customWidth="1"/>
    <col min="4880" max="5114" width="11.42578125" style="177"/>
    <col min="5115" max="5115" width="3.28515625" style="177" customWidth="1"/>
    <col min="5116" max="5116" width="12.7109375" style="177" customWidth="1"/>
    <col min="5117" max="5117" width="28.140625" style="177" customWidth="1"/>
    <col min="5118" max="5130" width="8.5703125" style="177" bestFit="1" customWidth="1"/>
    <col min="5131" max="5131" width="10.42578125" style="177" bestFit="1" customWidth="1"/>
    <col min="5132" max="5135" width="9" style="177" customWidth="1"/>
    <col min="5136" max="5370" width="11.42578125" style="177"/>
    <col min="5371" max="5371" width="3.28515625" style="177" customWidth="1"/>
    <col min="5372" max="5372" width="12.7109375" style="177" customWidth="1"/>
    <col min="5373" max="5373" width="28.140625" style="177" customWidth="1"/>
    <col min="5374" max="5386" width="8.5703125" style="177" bestFit="1" customWidth="1"/>
    <col min="5387" max="5387" width="10.42578125" style="177" bestFit="1" customWidth="1"/>
    <col min="5388" max="5391" width="9" style="177" customWidth="1"/>
    <col min="5392" max="5626" width="11.42578125" style="177"/>
    <col min="5627" max="5627" width="3.28515625" style="177" customWidth="1"/>
    <col min="5628" max="5628" width="12.7109375" style="177" customWidth="1"/>
    <col min="5629" max="5629" width="28.140625" style="177" customWidth="1"/>
    <col min="5630" max="5642" width="8.5703125" style="177" bestFit="1" customWidth="1"/>
    <col min="5643" max="5643" width="10.42578125" style="177" bestFit="1" customWidth="1"/>
    <col min="5644" max="5647" width="9" style="177" customWidth="1"/>
    <col min="5648" max="5882" width="11.42578125" style="177"/>
    <col min="5883" max="5883" width="3.28515625" style="177" customWidth="1"/>
    <col min="5884" max="5884" width="12.7109375" style="177" customWidth="1"/>
    <col min="5885" max="5885" width="28.140625" style="177" customWidth="1"/>
    <col min="5886" max="5898" width="8.5703125" style="177" bestFit="1" customWidth="1"/>
    <col min="5899" max="5899" width="10.42578125" style="177" bestFit="1" customWidth="1"/>
    <col min="5900" max="5903" width="9" style="177" customWidth="1"/>
    <col min="5904" max="6138" width="11.42578125" style="177"/>
    <col min="6139" max="6139" width="3.28515625" style="177" customWidth="1"/>
    <col min="6140" max="6140" width="12.7109375" style="177" customWidth="1"/>
    <col min="6141" max="6141" width="28.140625" style="177" customWidth="1"/>
    <col min="6142" max="6154" width="8.5703125" style="177" bestFit="1" customWidth="1"/>
    <col min="6155" max="6155" width="10.42578125" style="177" bestFit="1" customWidth="1"/>
    <col min="6156" max="6159" width="9" style="177" customWidth="1"/>
    <col min="6160" max="6394" width="11.42578125" style="177"/>
    <col min="6395" max="6395" width="3.28515625" style="177" customWidth="1"/>
    <col min="6396" max="6396" width="12.7109375" style="177" customWidth="1"/>
    <col min="6397" max="6397" width="28.140625" style="177" customWidth="1"/>
    <col min="6398" max="6410" width="8.5703125" style="177" bestFit="1" customWidth="1"/>
    <col min="6411" max="6411" width="10.42578125" style="177" bestFit="1" customWidth="1"/>
    <col min="6412" max="6415" width="9" style="177" customWidth="1"/>
    <col min="6416" max="6650" width="11.42578125" style="177"/>
    <col min="6651" max="6651" width="3.28515625" style="177" customWidth="1"/>
    <col min="6652" max="6652" width="12.7109375" style="177" customWidth="1"/>
    <col min="6653" max="6653" width="28.140625" style="177" customWidth="1"/>
    <col min="6654" max="6666" width="8.5703125" style="177" bestFit="1" customWidth="1"/>
    <col min="6667" max="6667" width="10.42578125" style="177" bestFit="1" customWidth="1"/>
    <col min="6668" max="6671" width="9" style="177" customWidth="1"/>
    <col min="6672" max="6906" width="11.42578125" style="177"/>
    <col min="6907" max="6907" width="3.28515625" style="177" customWidth="1"/>
    <col min="6908" max="6908" width="12.7109375" style="177" customWidth="1"/>
    <col min="6909" max="6909" width="28.140625" style="177" customWidth="1"/>
    <col min="6910" max="6922" width="8.5703125" style="177" bestFit="1" customWidth="1"/>
    <col min="6923" max="6923" width="10.42578125" style="177" bestFit="1" customWidth="1"/>
    <col min="6924" max="6927" width="9" style="177" customWidth="1"/>
    <col min="6928" max="7162" width="11.42578125" style="177"/>
    <col min="7163" max="7163" width="3.28515625" style="177" customWidth="1"/>
    <col min="7164" max="7164" width="12.7109375" style="177" customWidth="1"/>
    <col min="7165" max="7165" width="28.140625" style="177" customWidth="1"/>
    <col min="7166" max="7178" width="8.5703125" style="177" bestFit="1" customWidth="1"/>
    <col min="7179" max="7179" width="10.42578125" style="177" bestFit="1" customWidth="1"/>
    <col min="7180" max="7183" width="9" style="177" customWidth="1"/>
    <col min="7184" max="7418" width="11.42578125" style="177"/>
    <col min="7419" max="7419" width="3.28515625" style="177" customWidth="1"/>
    <col min="7420" max="7420" width="12.7109375" style="177" customWidth="1"/>
    <col min="7421" max="7421" width="28.140625" style="177" customWidth="1"/>
    <col min="7422" max="7434" width="8.5703125" style="177" bestFit="1" customWidth="1"/>
    <col min="7435" max="7435" width="10.42578125" style="177" bestFit="1" customWidth="1"/>
    <col min="7436" max="7439" width="9" style="177" customWidth="1"/>
    <col min="7440" max="7674" width="11.42578125" style="177"/>
    <col min="7675" max="7675" width="3.28515625" style="177" customWidth="1"/>
    <col min="7676" max="7676" width="12.7109375" style="177" customWidth="1"/>
    <col min="7677" max="7677" width="28.140625" style="177" customWidth="1"/>
    <col min="7678" max="7690" width="8.5703125" style="177" bestFit="1" customWidth="1"/>
    <col min="7691" max="7691" width="10.42578125" style="177" bestFit="1" customWidth="1"/>
    <col min="7692" max="7695" width="9" style="177" customWidth="1"/>
    <col min="7696" max="7930" width="11.42578125" style="177"/>
    <col min="7931" max="7931" width="3.28515625" style="177" customWidth="1"/>
    <col min="7932" max="7932" width="12.7109375" style="177" customWidth="1"/>
    <col min="7933" max="7933" width="28.140625" style="177" customWidth="1"/>
    <col min="7934" max="7946" width="8.5703125" style="177" bestFit="1" customWidth="1"/>
    <col min="7947" max="7947" width="10.42578125" style="177" bestFit="1" customWidth="1"/>
    <col min="7948" max="7951" width="9" style="177" customWidth="1"/>
    <col min="7952" max="8186" width="11.42578125" style="177"/>
    <col min="8187" max="8187" width="3.28515625" style="177" customWidth="1"/>
    <col min="8188" max="8188" width="12.7109375" style="177" customWidth="1"/>
    <col min="8189" max="8189" width="28.140625" style="177" customWidth="1"/>
    <col min="8190" max="8202" width="8.5703125" style="177" bestFit="1" customWidth="1"/>
    <col min="8203" max="8203" width="10.42578125" style="177" bestFit="1" customWidth="1"/>
    <col min="8204" max="8207" width="9" style="177" customWidth="1"/>
    <col min="8208" max="8442" width="11.42578125" style="177"/>
    <col min="8443" max="8443" width="3.28515625" style="177" customWidth="1"/>
    <col min="8444" max="8444" width="12.7109375" style="177" customWidth="1"/>
    <col min="8445" max="8445" width="28.140625" style="177" customWidth="1"/>
    <col min="8446" max="8458" width="8.5703125" style="177" bestFit="1" customWidth="1"/>
    <col min="8459" max="8459" width="10.42578125" style="177" bestFit="1" customWidth="1"/>
    <col min="8460" max="8463" width="9" style="177" customWidth="1"/>
    <col min="8464" max="8698" width="11.42578125" style="177"/>
    <col min="8699" max="8699" width="3.28515625" style="177" customWidth="1"/>
    <col min="8700" max="8700" width="12.7109375" style="177" customWidth="1"/>
    <col min="8701" max="8701" width="28.140625" style="177" customWidth="1"/>
    <col min="8702" max="8714" width="8.5703125" style="177" bestFit="1" customWidth="1"/>
    <col min="8715" max="8715" width="10.42578125" style="177" bestFit="1" customWidth="1"/>
    <col min="8716" max="8719" width="9" style="177" customWidth="1"/>
    <col min="8720" max="8954" width="11.42578125" style="177"/>
    <col min="8955" max="8955" width="3.28515625" style="177" customWidth="1"/>
    <col min="8956" max="8956" width="12.7109375" style="177" customWidth="1"/>
    <col min="8957" max="8957" width="28.140625" style="177" customWidth="1"/>
    <col min="8958" max="8970" width="8.5703125" style="177" bestFit="1" customWidth="1"/>
    <col min="8971" max="8971" width="10.42578125" style="177" bestFit="1" customWidth="1"/>
    <col min="8972" max="8975" width="9" style="177" customWidth="1"/>
    <col min="8976" max="9210" width="11.42578125" style="177"/>
    <col min="9211" max="9211" width="3.28515625" style="177" customWidth="1"/>
    <col min="9212" max="9212" width="12.7109375" style="177" customWidth="1"/>
    <col min="9213" max="9213" width="28.140625" style="177" customWidth="1"/>
    <col min="9214" max="9226" width="8.5703125" style="177" bestFit="1" customWidth="1"/>
    <col min="9227" max="9227" width="10.42578125" style="177" bestFit="1" customWidth="1"/>
    <col min="9228" max="9231" width="9" style="177" customWidth="1"/>
    <col min="9232" max="9466" width="11.42578125" style="177"/>
    <col min="9467" max="9467" width="3.28515625" style="177" customWidth="1"/>
    <col min="9468" max="9468" width="12.7109375" style="177" customWidth="1"/>
    <col min="9469" max="9469" width="28.140625" style="177" customWidth="1"/>
    <col min="9470" max="9482" width="8.5703125" style="177" bestFit="1" customWidth="1"/>
    <col min="9483" max="9483" width="10.42578125" style="177" bestFit="1" customWidth="1"/>
    <col min="9484" max="9487" width="9" style="177" customWidth="1"/>
    <col min="9488" max="9722" width="11.42578125" style="177"/>
    <col min="9723" max="9723" width="3.28515625" style="177" customWidth="1"/>
    <col min="9724" max="9724" width="12.7109375" style="177" customWidth="1"/>
    <col min="9725" max="9725" width="28.140625" style="177" customWidth="1"/>
    <col min="9726" max="9738" width="8.5703125" style="177" bestFit="1" customWidth="1"/>
    <col min="9739" max="9739" width="10.42578125" style="177" bestFit="1" customWidth="1"/>
    <col min="9740" max="9743" width="9" style="177" customWidth="1"/>
    <col min="9744" max="9978" width="11.42578125" style="177"/>
    <col min="9979" max="9979" width="3.28515625" style="177" customWidth="1"/>
    <col min="9980" max="9980" width="12.7109375" style="177" customWidth="1"/>
    <col min="9981" max="9981" width="28.140625" style="177" customWidth="1"/>
    <col min="9982" max="9994" width="8.5703125" style="177" bestFit="1" customWidth="1"/>
    <col min="9995" max="9995" width="10.42578125" style="177" bestFit="1" customWidth="1"/>
    <col min="9996" max="9999" width="9" style="177" customWidth="1"/>
    <col min="10000" max="10234" width="11.42578125" style="177"/>
    <col min="10235" max="10235" width="3.28515625" style="177" customWidth="1"/>
    <col min="10236" max="10236" width="12.7109375" style="177" customWidth="1"/>
    <col min="10237" max="10237" width="28.140625" style="177" customWidth="1"/>
    <col min="10238" max="10250" width="8.5703125" style="177" bestFit="1" customWidth="1"/>
    <col min="10251" max="10251" width="10.42578125" style="177" bestFit="1" customWidth="1"/>
    <col min="10252" max="10255" width="9" style="177" customWidth="1"/>
    <col min="10256" max="10490" width="11.42578125" style="177"/>
    <col min="10491" max="10491" width="3.28515625" style="177" customWidth="1"/>
    <col min="10492" max="10492" width="12.7109375" style="177" customWidth="1"/>
    <col min="10493" max="10493" width="28.140625" style="177" customWidth="1"/>
    <col min="10494" max="10506" width="8.5703125" style="177" bestFit="1" customWidth="1"/>
    <col min="10507" max="10507" width="10.42578125" style="177" bestFit="1" customWidth="1"/>
    <col min="10508" max="10511" width="9" style="177" customWidth="1"/>
    <col min="10512" max="10746" width="11.42578125" style="177"/>
    <col min="10747" max="10747" width="3.28515625" style="177" customWidth="1"/>
    <col min="10748" max="10748" width="12.7109375" style="177" customWidth="1"/>
    <col min="10749" max="10749" width="28.140625" style="177" customWidth="1"/>
    <col min="10750" max="10762" width="8.5703125" style="177" bestFit="1" customWidth="1"/>
    <col min="10763" max="10763" width="10.42578125" style="177" bestFit="1" customWidth="1"/>
    <col min="10764" max="10767" width="9" style="177" customWidth="1"/>
    <col min="10768" max="11002" width="11.42578125" style="177"/>
    <col min="11003" max="11003" width="3.28515625" style="177" customWidth="1"/>
    <col min="11004" max="11004" width="12.7109375" style="177" customWidth="1"/>
    <col min="11005" max="11005" width="28.140625" style="177" customWidth="1"/>
    <col min="11006" max="11018" width="8.5703125" style="177" bestFit="1" customWidth="1"/>
    <col min="11019" max="11019" width="10.42578125" style="177" bestFit="1" customWidth="1"/>
    <col min="11020" max="11023" width="9" style="177" customWidth="1"/>
    <col min="11024" max="11258" width="11.42578125" style="177"/>
    <col min="11259" max="11259" width="3.28515625" style="177" customWidth="1"/>
    <col min="11260" max="11260" width="12.7109375" style="177" customWidth="1"/>
    <col min="11261" max="11261" width="28.140625" style="177" customWidth="1"/>
    <col min="11262" max="11274" width="8.5703125" style="177" bestFit="1" customWidth="1"/>
    <col min="11275" max="11275" width="10.42578125" style="177" bestFit="1" customWidth="1"/>
    <col min="11276" max="11279" width="9" style="177" customWidth="1"/>
    <col min="11280" max="11514" width="11.42578125" style="177"/>
    <col min="11515" max="11515" width="3.28515625" style="177" customWidth="1"/>
    <col min="11516" max="11516" width="12.7109375" style="177" customWidth="1"/>
    <col min="11517" max="11517" width="28.140625" style="177" customWidth="1"/>
    <col min="11518" max="11530" width="8.5703125" style="177" bestFit="1" customWidth="1"/>
    <col min="11531" max="11531" width="10.42578125" style="177" bestFit="1" customWidth="1"/>
    <col min="11532" max="11535" width="9" style="177" customWidth="1"/>
    <col min="11536" max="11770" width="11.42578125" style="177"/>
    <col min="11771" max="11771" width="3.28515625" style="177" customWidth="1"/>
    <col min="11772" max="11772" width="12.7109375" style="177" customWidth="1"/>
    <col min="11773" max="11773" width="28.140625" style="177" customWidth="1"/>
    <col min="11774" max="11786" width="8.5703125" style="177" bestFit="1" customWidth="1"/>
    <col min="11787" max="11787" width="10.42578125" style="177" bestFit="1" customWidth="1"/>
    <col min="11788" max="11791" width="9" style="177" customWidth="1"/>
    <col min="11792" max="12026" width="11.42578125" style="177"/>
    <col min="12027" max="12027" width="3.28515625" style="177" customWidth="1"/>
    <col min="12028" max="12028" width="12.7109375" style="177" customWidth="1"/>
    <col min="12029" max="12029" width="28.140625" style="177" customWidth="1"/>
    <col min="12030" max="12042" width="8.5703125" style="177" bestFit="1" customWidth="1"/>
    <col min="12043" max="12043" width="10.42578125" style="177" bestFit="1" customWidth="1"/>
    <col min="12044" max="12047" width="9" style="177" customWidth="1"/>
    <col min="12048" max="12282" width="11.42578125" style="177"/>
    <col min="12283" max="12283" width="3.28515625" style="177" customWidth="1"/>
    <col min="12284" max="12284" width="12.7109375" style="177" customWidth="1"/>
    <col min="12285" max="12285" width="28.140625" style="177" customWidth="1"/>
    <col min="12286" max="12298" width="8.5703125" style="177" bestFit="1" customWidth="1"/>
    <col min="12299" max="12299" width="10.42578125" style="177" bestFit="1" customWidth="1"/>
    <col min="12300" max="12303" width="9" style="177" customWidth="1"/>
    <col min="12304" max="12538" width="11.42578125" style="177"/>
    <col min="12539" max="12539" width="3.28515625" style="177" customWidth="1"/>
    <col min="12540" max="12540" width="12.7109375" style="177" customWidth="1"/>
    <col min="12541" max="12541" width="28.140625" style="177" customWidth="1"/>
    <col min="12542" max="12554" width="8.5703125" style="177" bestFit="1" customWidth="1"/>
    <col min="12555" max="12555" width="10.42578125" style="177" bestFit="1" customWidth="1"/>
    <col min="12556" max="12559" width="9" style="177" customWidth="1"/>
    <col min="12560" max="12794" width="11.42578125" style="177"/>
    <col min="12795" max="12795" width="3.28515625" style="177" customWidth="1"/>
    <col min="12796" max="12796" width="12.7109375" style="177" customWidth="1"/>
    <col min="12797" max="12797" width="28.140625" style="177" customWidth="1"/>
    <col min="12798" max="12810" width="8.5703125" style="177" bestFit="1" customWidth="1"/>
    <col min="12811" max="12811" width="10.42578125" style="177" bestFit="1" customWidth="1"/>
    <col min="12812" max="12815" width="9" style="177" customWidth="1"/>
    <col min="12816" max="13050" width="11.42578125" style="177"/>
    <col min="13051" max="13051" width="3.28515625" style="177" customWidth="1"/>
    <col min="13052" max="13052" width="12.7109375" style="177" customWidth="1"/>
    <col min="13053" max="13053" width="28.140625" style="177" customWidth="1"/>
    <col min="13054" max="13066" width="8.5703125" style="177" bestFit="1" customWidth="1"/>
    <col min="13067" max="13067" width="10.42578125" style="177" bestFit="1" customWidth="1"/>
    <col min="13068" max="13071" width="9" style="177" customWidth="1"/>
    <col min="13072" max="13306" width="11.42578125" style="177"/>
    <col min="13307" max="13307" width="3.28515625" style="177" customWidth="1"/>
    <col min="13308" max="13308" width="12.7109375" style="177" customWidth="1"/>
    <col min="13309" max="13309" width="28.140625" style="177" customWidth="1"/>
    <col min="13310" max="13322" width="8.5703125" style="177" bestFit="1" customWidth="1"/>
    <col min="13323" max="13323" width="10.42578125" style="177" bestFit="1" customWidth="1"/>
    <col min="13324" max="13327" width="9" style="177" customWidth="1"/>
    <col min="13328" max="13562" width="11.42578125" style="177"/>
    <col min="13563" max="13563" width="3.28515625" style="177" customWidth="1"/>
    <col min="13564" max="13564" width="12.7109375" style="177" customWidth="1"/>
    <col min="13565" max="13565" width="28.140625" style="177" customWidth="1"/>
    <col min="13566" max="13578" width="8.5703125" style="177" bestFit="1" customWidth="1"/>
    <col min="13579" max="13579" width="10.42578125" style="177" bestFit="1" customWidth="1"/>
    <col min="13580" max="13583" width="9" style="177" customWidth="1"/>
    <col min="13584" max="13818" width="11.42578125" style="177"/>
    <col min="13819" max="13819" width="3.28515625" style="177" customWidth="1"/>
    <col min="13820" max="13820" width="12.7109375" style="177" customWidth="1"/>
    <col min="13821" max="13821" width="28.140625" style="177" customWidth="1"/>
    <col min="13822" max="13834" width="8.5703125" style="177" bestFit="1" customWidth="1"/>
    <col min="13835" max="13835" width="10.42578125" style="177" bestFit="1" customWidth="1"/>
    <col min="13836" max="13839" width="9" style="177" customWidth="1"/>
    <col min="13840" max="14074" width="11.42578125" style="177"/>
    <col min="14075" max="14075" width="3.28515625" style="177" customWidth="1"/>
    <col min="14076" max="14076" width="12.7109375" style="177" customWidth="1"/>
    <col min="14077" max="14077" width="28.140625" style="177" customWidth="1"/>
    <col min="14078" max="14090" width="8.5703125" style="177" bestFit="1" customWidth="1"/>
    <col min="14091" max="14091" width="10.42578125" style="177" bestFit="1" customWidth="1"/>
    <col min="14092" max="14095" width="9" style="177" customWidth="1"/>
    <col min="14096" max="14330" width="11.42578125" style="177"/>
    <col min="14331" max="14331" width="3.28515625" style="177" customWidth="1"/>
    <col min="14332" max="14332" width="12.7109375" style="177" customWidth="1"/>
    <col min="14333" max="14333" width="28.140625" style="177" customWidth="1"/>
    <col min="14334" max="14346" width="8.5703125" style="177" bestFit="1" customWidth="1"/>
    <col min="14347" max="14347" width="10.42578125" style="177" bestFit="1" customWidth="1"/>
    <col min="14348" max="14351" width="9" style="177" customWidth="1"/>
    <col min="14352" max="14586" width="11.42578125" style="177"/>
    <col min="14587" max="14587" width="3.28515625" style="177" customWidth="1"/>
    <col min="14588" max="14588" width="12.7109375" style="177" customWidth="1"/>
    <col min="14589" max="14589" width="28.140625" style="177" customWidth="1"/>
    <col min="14590" max="14602" width="8.5703125" style="177" bestFit="1" customWidth="1"/>
    <col min="14603" max="14603" width="10.42578125" style="177" bestFit="1" customWidth="1"/>
    <col min="14604" max="14607" width="9" style="177" customWidth="1"/>
    <col min="14608" max="14842" width="11.42578125" style="177"/>
    <col min="14843" max="14843" width="3.28515625" style="177" customWidth="1"/>
    <col min="14844" max="14844" width="12.7109375" style="177" customWidth="1"/>
    <col min="14845" max="14845" width="28.140625" style="177" customWidth="1"/>
    <col min="14846" max="14858" width="8.5703125" style="177" bestFit="1" customWidth="1"/>
    <col min="14859" max="14859" width="10.42578125" style="177" bestFit="1" customWidth="1"/>
    <col min="14860" max="14863" width="9" style="177" customWidth="1"/>
    <col min="14864" max="15098" width="11.42578125" style="177"/>
    <col min="15099" max="15099" width="3.28515625" style="177" customWidth="1"/>
    <col min="15100" max="15100" width="12.7109375" style="177" customWidth="1"/>
    <col min="15101" max="15101" width="28.140625" style="177" customWidth="1"/>
    <col min="15102" max="15114" width="8.5703125" style="177" bestFit="1" customWidth="1"/>
    <col min="15115" max="15115" width="10.42578125" style="177" bestFit="1" customWidth="1"/>
    <col min="15116" max="15119" width="9" style="177" customWidth="1"/>
    <col min="15120" max="15354" width="11.42578125" style="177"/>
    <col min="15355" max="15355" width="3.28515625" style="177" customWidth="1"/>
    <col min="15356" max="15356" width="12.7109375" style="177" customWidth="1"/>
    <col min="15357" max="15357" width="28.140625" style="177" customWidth="1"/>
    <col min="15358" max="15370" width="8.5703125" style="177" bestFit="1" customWidth="1"/>
    <col min="15371" max="15371" width="10.42578125" style="177" bestFit="1" customWidth="1"/>
    <col min="15372" max="15375" width="9" style="177" customWidth="1"/>
    <col min="15376" max="15610" width="11.42578125" style="177"/>
    <col min="15611" max="15611" width="3.28515625" style="177" customWidth="1"/>
    <col min="15612" max="15612" width="12.7109375" style="177" customWidth="1"/>
    <col min="15613" max="15613" width="28.140625" style="177" customWidth="1"/>
    <col min="15614" max="15626" width="8.5703125" style="177" bestFit="1" customWidth="1"/>
    <col min="15627" max="15627" width="10.42578125" style="177" bestFit="1" customWidth="1"/>
    <col min="15628" max="15631" width="9" style="177" customWidth="1"/>
    <col min="15632" max="15866" width="11.42578125" style="177"/>
    <col min="15867" max="15867" width="3.28515625" style="177" customWidth="1"/>
    <col min="15868" max="15868" width="12.7109375" style="177" customWidth="1"/>
    <col min="15869" max="15869" width="28.140625" style="177" customWidth="1"/>
    <col min="15870" max="15882" width="8.5703125" style="177" bestFit="1" customWidth="1"/>
    <col min="15883" max="15883" width="10.42578125" style="177" bestFit="1" customWidth="1"/>
    <col min="15884" max="15887" width="9" style="177" customWidth="1"/>
    <col min="15888" max="16122" width="11.42578125" style="177"/>
    <col min="16123" max="16123" width="3.28515625" style="177" customWidth="1"/>
    <col min="16124" max="16124" width="12.7109375" style="177" customWidth="1"/>
    <col min="16125" max="16125" width="28.140625" style="177" customWidth="1"/>
    <col min="16126" max="16138" width="8.5703125" style="177" bestFit="1" customWidth="1"/>
    <col min="16139" max="16139" width="10.42578125" style="177" bestFit="1" customWidth="1"/>
    <col min="16140" max="16143" width="9" style="177" customWidth="1"/>
    <col min="16144" max="16384" width="11.42578125" style="177"/>
  </cols>
  <sheetData>
    <row r="1" spans="1:20">
      <c r="R1" s="177"/>
      <c r="S1" s="177"/>
    </row>
    <row r="2" spans="1:20" ht="15" customHeight="1" thickBot="1">
      <c r="A2" s="42" t="s">
        <v>510</v>
      </c>
      <c r="B2" s="42" t="s">
        <v>317</v>
      </c>
      <c r="C2" s="42">
        <v>2001</v>
      </c>
      <c r="D2" s="42">
        <v>2002</v>
      </c>
      <c r="E2" s="42">
        <v>2003</v>
      </c>
      <c r="F2" s="42">
        <v>2004</v>
      </c>
      <c r="G2" s="49" t="s">
        <v>469</v>
      </c>
      <c r="H2" s="88">
        <v>2005</v>
      </c>
      <c r="I2" s="42">
        <v>2006</v>
      </c>
      <c r="J2" s="42">
        <v>2007</v>
      </c>
      <c r="K2" s="42">
        <v>2008</v>
      </c>
      <c r="L2" s="42">
        <v>2009</v>
      </c>
      <c r="M2" s="42">
        <v>2010</v>
      </c>
      <c r="N2" s="42">
        <v>2011</v>
      </c>
      <c r="O2" s="42">
        <v>2012</v>
      </c>
      <c r="R2" s="177"/>
      <c r="S2" s="177"/>
    </row>
    <row r="3" spans="1:20" ht="15" customHeight="1" thickTop="1">
      <c r="A3" s="234" t="s">
        <v>318</v>
      </c>
      <c r="B3" s="225">
        <f t="shared" ref="B3:O3" si="0">+B4+B5</f>
        <v>345515.2</v>
      </c>
      <c r="C3" s="225">
        <f t="shared" si="0"/>
        <v>394874.51428571425</v>
      </c>
      <c r="D3" s="225">
        <f t="shared" si="0"/>
        <v>512641.60000000003</v>
      </c>
      <c r="E3" s="225">
        <f t="shared" si="0"/>
        <v>546536</v>
      </c>
      <c r="F3" s="225">
        <f t="shared" si="0"/>
        <v>532005.6</v>
      </c>
      <c r="G3" s="225">
        <f t="shared" si="0"/>
        <v>595511.19999999995</v>
      </c>
      <c r="H3" s="225">
        <f t="shared" si="0"/>
        <v>595511.19999999995</v>
      </c>
      <c r="I3" s="225">
        <f t="shared" si="0"/>
        <v>606028.40086249169</v>
      </c>
      <c r="J3" s="225">
        <f t="shared" si="0"/>
        <v>770352.46666666667</v>
      </c>
      <c r="K3" s="225">
        <f t="shared" si="0"/>
        <v>834391.06475203682</v>
      </c>
      <c r="L3" s="225">
        <f t="shared" si="0"/>
        <v>846151.97020791611</v>
      </c>
      <c r="M3" s="225">
        <f t="shared" si="0"/>
        <v>906763.15363389347</v>
      </c>
      <c r="N3" s="225">
        <f t="shared" si="0"/>
        <v>955782</v>
      </c>
      <c r="O3" s="225">
        <f t="shared" si="0"/>
        <v>1061553</v>
      </c>
      <c r="Q3" s="444" t="s">
        <v>555</v>
      </c>
      <c r="R3" s="444"/>
      <c r="S3" s="444"/>
      <c r="T3" s="444"/>
    </row>
    <row r="4" spans="1:20" ht="15" customHeight="1">
      <c r="A4" s="220" t="s">
        <v>319</v>
      </c>
      <c r="B4" s="220">
        <v>13591.2</v>
      </c>
      <c r="C4" s="220">
        <f>+B4*12/10.5</f>
        <v>15532.800000000003</v>
      </c>
      <c r="D4" s="220">
        <v>18306.400000000001</v>
      </c>
      <c r="E4" s="220">
        <v>20143.2</v>
      </c>
      <c r="F4" s="220">
        <v>21823.200000000001</v>
      </c>
      <c r="G4" s="220">
        <v>18849.599999999999</v>
      </c>
      <c r="H4" s="220">
        <v>18849.599999999999</v>
      </c>
      <c r="I4" s="220">
        <v>17301.501867231735</v>
      </c>
      <c r="J4" s="220">
        <v>17068</v>
      </c>
      <c r="K4" s="220">
        <v>20368.004737284438</v>
      </c>
      <c r="L4" s="220">
        <v>20516.00601199529</v>
      </c>
      <c r="M4" s="220">
        <v>17706.01696996863</v>
      </c>
      <c r="N4" s="220">
        <v>14343</v>
      </c>
      <c r="O4" s="220">
        <v>18018</v>
      </c>
      <c r="Q4" s="33"/>
    </row>
    <row r="5" spans="1:20" ht="15" customHeight="1">
      <c r="A5" s="221" t="s">
        <v>320</v>
      </c>
      <c r="B5" s="221">
        <v>331924</v>
      </c>
      <c r="C5" s="221">
        <f>+B5*12/10.5</f>
        <v>379341.71428571426</v>
      </c>
      <c r="D5" s="221">
        <v>494335.2</v>
      </c>
      <c r="E5" s="221">
        <v>526392.80000000005</v>
      </c>
      <c r="F5" s="221">
        <v>510182.40000000002</v>
      </c>
      <c r="G5" s="221">
        <v>576661.6</v>
      </c>
      <c r="H5" s="221">
        <v>576661.6</v>
      </c>
      <c r="I5" s="221">
        <v>588726.89899526001</v>
      </c>
      <c r="J5" s="221">
        <v>753284.46666666667</v>
      </c>
      <c r="K5" s="221">
        <v>814023.06001475244</v>
      </c>
      <c r="L5" s="221">
        <v>825635.96419592085</v>
      </c>
      <c r="M5" s="221">
        <v>889057.13666392479</v>
      </c>
      <c r="N5" s="221">
        <v>941439</v>
      </c>
      <c r="O5" s="221">
        <v>1043535</v>
      </c>
      <c r="Q5" s="33"/>
    </row>
    <row r="6" spans="1:20" ht="15" customHeight="1">
      <c r="Q6" s="33"/>
    </row>
    <row r="7" spans="1:20" ht="15" customHeight="1">
      <c r="A7" s="33"/>
      <c r="C7" s="33"/>
      <c r="E7" s="33"/>
      <c r="G7" s="33"/>
      <c r="H7" s="33"/>
      <c r="I7" s="33"/>
      <c r="J7" s="33"/>
      <c r="K7" s="33"/>
      <c r="L7" s="33"/>
      <c r="M7" s="33"/>
      <c r="O7" s="33"/>
      <c r="Q7" s="33"/>
    </row>
    <row r="8" spans="1:20" ht="15" customHeight="1">
      <c r="A8" s="33"/>
      <c r="C8" s="33"/>
      <c r="E8" s="33"/>
      <c r="G8" s="33"/>
      <c r="H8" s="33"/>
      <c r="I8" s="33"/>
      <c r="J8" s="33"/>
      <c r="K8" s="33"/>
      <c r="L8" s="33"/>
      <c r="M8" s="33"/>
      <c r="O8" s="33"/>
      <c r="Q8" s="33"/>
    </row>
    <row r="9" spans="1:20" ht="15" customHeight="1" outlineLevel="1"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Q9" s="33"/>
    </row>
    <row r="10" spans="1:20" ht="15" customHeight="1" outlineLevel="1">
      <c r="A10" s="178" t="s">
        <v>322</v>
      </c>
      <c r="K10" s="33"/>
      <c r="L10" s="33"/>
      <c r="M10" s="33"/>
      <c r="N10" s="33"/>
      <c r="O10" s="33"/>
      <c r="Q10" s="33"/>
    </row>
    <row r="11" spans="1:20" ht="15" customHeight="1" outlineLevel="1" thickBot="1">
      <c r="A11" s="42" t="s">
        <v>316</v>
      </c>
      <c r="B11" s="42" t="s">
        <v>317</v>
      </c>
      <c r="C11" s="42">
        <v>2001</v>
      </c>
      <c r="D11" s="42">
        <v>2002</v>
      </c>
      <c r="E11" s="42">
        <v>2003</v>
      </c>
      <c r="F11" s="42">
        <v>2004</v>
      </c>
      <c r="G11" s="49" t="s">
        <v>469</v>
      </c>
      <c r="H11" s="88">
        <v>2005</v>
      </c>
      <c r="I11" s="42">
        <v>2006</v>
      </c>
      <c r="J11" s="42">
        <v>2007</v>
      </c>
      <c r="K11" s="42">
        <v>2008</v>
      </c>
      <c r="L11" s="42">
        <v>2009</v>
      </c>
      <c r="M11" s="42">
        <v>2010</v>
      </c>
      <c r="N11" s="42">
        <v>2011</v>
      </c>
      <c r="O11" s="42">
        <v>2012</v>
      </c>
      <c r="Q11" s="33"/>
    </row>
    <row r="12" spans="1:20" ht="15" customHeight="1" outlineLevel="1" thickTop="1">
      <c r="A12" s="357" t="s">
        <v>319</v>
      </c>
      <c r="B12" s="264">
        <f t="shared" ref="B12:O12" si="1">+B4/B$3</f>
        <v>3.9336040787785895E-2</v>
      </c>
      <c r="C12" s="264">
        <f t="shared" si="1"/>
        <v>3.9336040787785902E-2</v>
      </c>
      <c r="D12" s="264">
        <f t="shared" si="1"/>
        <v>3.5709938483338068E-2</v>
      </c>
      <c r="E12" s="264">
        <f t="shared" si="1"/>
        <v>3.6856126586354787E-2</v>
      </c>
      <c r="F12" s="264">
        <f t="shared" si="1"/>
        <v>4.1020620835570155E-2</v>
      </c>
      <c r="G12" s="264">
        <f t="shared" si="1"/>
        <v>3.1652805186535536E-2</v>
      </c>
      <c r="H12" s="264">
        <f t="shared" si="1"/>
        <v>3.1652805186535536E-2</v>
      </c>
      <c r="I12" s="264">
        <f t="shared" si="1"/>
        <v>2.854899513390538E-2</v>
      </c>
      <c r="J12" s="264">
        <f t="shared" si="1"/>
        <v>2.2156091839172838E-2</v>
      </c>
      <c r="K12" s="264">
        <f t="shared" si="1"/>
        <v>2.4410621826753829E-2</v>
      </c>
      <c r="L12" s="264">
        <f t="shared" si="1"/>
        <v>2.4246242677842027E-2</v>
      </c>
      <c r="M12" s="264">
        <f t="shared" si="1"/>
        <v>1.9526617175621864E-2</v>
      </c>
      <c r="N12" s="264">
        <f t="shared" si="1"/>
        <v>1.5006560073322159E-2</v>
      </c>
      <c r="O12" s="264">
        <f t="shared" si="1"/>
        <v>1.697324580119881E-2</v>
      </c>
      <c r="Q12" s="33"/>
    </row>
    <row r="13" spans="1:20" ht="15" customHeight="1" outlineLevel="1">
      <c r="A13" s="242" t="s">
        <v>320</v>
      </c>
      <c r="B13" s="241">
        <f t="shared" ref="B13:O13" si="2">+B5/B$3</f>
        <v>0.96066395921221404</v>
      </c>
      <c r="C13" s="241">
        <f t="shared" si="2"/>
        <v>0.96066395921221415</v>
      </c>
      <c r="D13" s="241">
        <f t="shared" si="2"/>
        <v>0.96429006151666186</v>
      </c>
      <c r="E13" s="241">
        <f t="shared" si="2"/>
        <v>0.96314387341364527</v>
      </c>
      <c r="F13" s="241">
        <f t="shared" si="2"/>
        <v>0.95897937916442988</v>
      </c>
      <c r="G13" s="241">
        <f t="shared" si="2"/>
        <v>0.96834719481346454</v>
      </c>
      <c r="H13" s="241">
        <f t="shared" si="2"/>
        <v>0.96834719481346454</v>
      </c>
      <c r="I13" s="241">
        <f t="shared" si="2"/>
        <v>0.9714510048660947</v>
      </c>
      <c r="J13" s="241">
        <f t="shared" si="2"/>
        <v>0.97784390816082711</v>
      </c>
      <c r="K13" s="241">
        <f t="shared" si="2"/>
        <v>0.9755893781732462</v>
      </c>
      <c r="L13" s="241">
        <f t="shared" si="2"/>
        <v>0.97575375732215797</v>
      </c>
      <c r="M13" s="241">
        <f t="shared" si="2"/>
        <v>0.98047338282437813</v>
      </c>
      <c r="N13" s="241">
        <f t="shared" si="2"/>
        <v>0.98499343992667787</v>
      </c>
      <c r="O13" s="241">
        <f t="shared" si="2"/>
        <v>0.98302675419880114</v>
      </c>
      <c r="Q13" s="33"/>
    </row>
    <row r="14" spans="1:20" ht="15" customHeight="1" outlineLevel="1">
      <c r="A14" s="179"/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Q14" s="33"/>
    </row>
    <row r="15" spans="1:20" ht="15" customHeight="1" outlineLevel="1" thickBot="1">
      <c r="A15" s="178" t="s">
        <v>323</v>
      </c>
      <c r="B15" s="171">
        <v>0.5</v>
      </c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Q15" s="33"/>
    </row>
    <row r="16" spans="1:20" ht="15" customHeight="1" outlineLevel="1" thickTop="1">
      <c r="A16" s="357" t="s">
        <v>319</v>
      </c>
      <c r="B16" s="264">
        <f t="shared" ref="B16:O16" si="3">+$B$15*B12</f>
        <v>1.9668020393892947E-2</v>
      </c>
      <c r="C16" s="264">
        <f t="shared" si="3"/>
        <v>1.9668020393892951E-2</v>
      </c>
      <c r="D16" s="264">
        <f t="shared" si="3"/>
        <v>1.7854969241669034E-2</v>
      </c>
      <c r="E16" s="264">
        <f t="shared" si="3"/>
        <v>1.8428063293177394E-2</v>
      </c>
      <c r="F16" s="264">
        <f t="shared" si="3"/>
        <v>2.0510310417785078E-2</v>
      </c>
      <c r="G16" s="264">
        <f t="shared" si="3"/>
        <v>1.5826402593267768E-2</v>
      </c>
      <c r="H16" s="264">
        <f t="shared" si="3"/>
        <v>1.5826402593267768E-2</v>
      </c>
      <c r="I16" s="264">
        <f t="shared" si="3"/>
        <v>1.427449756695269E-2</v>
      </c>
      <c r="J16" s="264">
        <f t="shared" si="3"/>
        <v>1.1078045919586419E-2</v>
      </c>
      <c r="K16" s="264">
        <f t="shared" si="3"/>
        <v>1.2205310913376914E-2</v>
      </c>
      <c r="L16" s="264">
        <f t="shared" si="3"/>
        <v>1.2123121338921013E-2</v>
      </c>
      <c r="M16" s="264">
        <f t="shared" si="3"/>
        <v>9.7633085878109319E-3</v>
      </c>
      <c r="N16" s="264">
        <f t="shared" si="3"/>
        <v>7.5032800366610797E-3</v>
      </c>
      <c r="O16" s="264">
        <f t="shared" si="3"/>
        <v>8.486622900599405E-3</v>
      </c>
      <c r="Q16" s="33"/>
    </row>
    <row r="17" spans="1:17" ht="15" customHeight="1" outlineLevel="1">
      <c r="A17" s="242" t="s">
        <v>320</v>
      </c>
      <c r="B17" s="241">
        <f t="shared" ref="B17:O17" si="4">+$B$15*B13</f>
        <v>0.48033197960610702</v>
      </c>
      <c r="C17" s="241">
        <f t="shared" si="4"/>
        <v>0.48033197960610707</v>
      </c>
      <c r="D17" s="241">
        <f t="shared" si="4"/>
        <v>0.48214503075833093</v>
      </c>
      <c r="E17" s="241">
        <f t="shared" si="4"/>
        <v>0.48157193670682263</v>
      </c>
      <c r="F17" s="241">
        <f t="shared" si="4"/>
        <v>0.47948968958221494</v>
      </c>
      <c r="G17" s="241">
        <f t="shared" si="4"/>
        <v>0.48417359740673227</v>
      </c>
      <c r="H17" s="241">
        <f t="shared" si="4"/>
        <v>0.48417359740673227</v>
      </c>
      <c r="I17" s="241">
        <f t="shared" si="4"/>
        <v>0.48572550243304735</v>
      </c>
      <c r="J17" s="241">
        <f t="shared" si="4"/>
        <v>0.48892195408041356</v>
      </c>
      <c r="K17" s="241">
        <f t="shared" si="4"/>
        <v>0.4877946890866231</v>
      </c>
      <c r="L17" s="241">
        <f t="shared" si="4"/>
        <v>0.48787687866107898</v>
      </c>
      <c r="M17" s="241">
        <f t="shared" si="4"/>
        <v>0.49023669141218906</v>
      </c>
      <c r="N17" s="241">
        <f t="shared" si="4"/>
        <v>0.49249671996333894</v>
      </c>
      <c r="O17" s="241">
        <f t="shared" si="4"/>
        <v>0.49151337709940057</v>
      </c>
      <c r="Q17" s="33"/>
    </row>
    <row r="18" spans="1:17" ht="15" customHeight="1">
      <c r="A18" s="33"/>
      <c r="C18" s="33"/>
      <c r="E18" s="33"/>
      <c r="G18" s="33"/>
      <c r="H18" s="33"/>
      <c r="I18" s="33"/>
      <c r="J18" s="33"/>
      <c r="K18" s="33"/>
      <c r="L18" s="33"/>
      <c r="M18" s="33"/>
      <c r="O18" s="33"/>
      <c r="Q18" s="33"/>
    </row>
    <row r="19" spans="1:17" ht="15" customHeight="1">
      <c r="A19" s="33"/>
      <c r="C19" s="33"/>
      <c r="E19" s="33"/>
      <c r="G19" s="33"/>
      <c r="H19" s="33"/>
      <c r="I19" s="33"/>
      <c r="J19" s="33"/>
      <c r="K19" s="33"/>
      <c r="L19" s="33"/>
      <c r="M19" s="33"/>
      <c r="O19" s="33"/>
      <c r="Q19" s="33"/>
    </row>
    <row r="20" spans="1:17" ht="15" customHeight="1">
      <c r="A20" s="33"/>
      <c r="C20" s="33"/>
      <c r="E20" s="33"/>
      <c r="G20" s="33"/>
      <c r="H20" s="33"/>
      <c r="I20" s="33"/>
      <c r="J20" s="33"/>
      <c r="K20" s="33"/>
      <c r="L20" s="33"/>
      <c r="M20" s="33"/>
      <c r="O20" s="33"/>
      <c r="Q20" s="33"/>
    </row>
    <row r="21" spans="1:17" ht="15" customHeight="1">
      <c r="A21" s="33"/>
      <c r="C21" s="33"/>
      <c r="E21" s="33"/>
      <c r="G21" s="33"/>
      <c r="H21" s="33"/>
      <c r="I21" s="33"/>
      <c r="J21" s="33"/>
      <c r="K21" s="33"/>
      <c r="L21" s="33"/>
      <c r="M21" s="33"/>
      <c r="O21" s="33"/>
      <c r="Q21" s="33"/>
    </row>
    <row r="22" spans="1:17" ht="15" customHeight="1"/>
    <row r="23" spans="1:17" ht="15" customHeight="1"/>
    <row r="24" spans="1:17" ht="15" customHeight="1"/>
    <row r="25" spans="1:17" ht="15" customHeight="1"/>
    <row r="26" spans="1:17" ht="15" customHeight="1"/>
    <row r="27" spans="1:17" ht="15" customHeight="1" thickBot="1">
      <c r="A27" s="42" t="s">
        <v>530</v>
      </c>
      <c r="B27" s="42" t="s">
        <v>317</v>
      </c>
      <c r="C27" s="42">
        <v>2001</v>
      </c>
      <c r="D27" s="42">
        <v>2002</v>
      </c>
      <c r="E27" s="42">
        <v>2003</v>
      </c>
      <c r="F27" s="42">
        <v>2004</v>
      </c>
      <c r="G27" s="49" t="s">
        <v>469</v>
      </c>
      <c r="H27" s="88">
        <v>2005</v>
      </c>
      <c r="I27" s="42">
        <v>2006</v>
      </c>
      <c r="J27" s="42">
        <v>2007</v>
      </c>
      <c r="K27" s="42">
        <v>2008</v>
      </c>
      <c r="L27" s="42">
        <v>2009</v>
      </c>
      <c r="M27" s="42">
        <v>2010</v>
      </c>
      <c r="N27" s="42">
        <v>2011</v>
      </c>
      <c r="O27" s="42">
        <v>2012</v>
      </c>
    </row>
    <row r="28" spans="1:17" ht="15" customHeight="1" thickTop="1">
      <c r="A28" s="234" t="s">
        <v>531</v>
      </c>
      <c r="B28" s="225">
        <f t="shared" ref="B28:O28" si="5">+B29+B30</f>
        <v>345.51519999999999</v>
      </c>
      <c r="C28" s="225">
        <f t="shared" si="5"/>
        <v>394.87451428571427</v>
      </c>
      <c r="D28" s="225">
        <f t="shared" si="5"/>
        <v>512.64160000000004</v>
      </c>
      <c r="E28" s="225">
        <f t="shared" si="5"/>
        <v>546.53600000000006</v>
      </c>
      <c r="F28" s="225">
        <f t="shared" si="5"/>
        <v>532.00560000000007</v>
      </c>
      <c r="G28" s="225">
        <f t="shared" si="5"/>
        <v>595.51120000000003</v>
      </c>
      <c r="H28" s="225">
        <f t="shared" si="5"/>
        <v>595.51120000000003</v>
      </c>
      <c r="I28" s="225">
        <f t="shared" si="5"/>
        <v>606.02840086249182</v>
      </c>
      <c r="J28" s="225">
        <f t="shared" si="5"/>
        <v>770.35246666666671</v>
      </c>
      <c r="K28" s="225">
        <f t="shared" si="5"/>
        <v>834.39106475203687</v>
      </c>
      <c r="L28" s="225">
        <f t="shared" si="5"/>
        <v>846.15197020791618</v>
      </c>
      <c r="M28" s="225">
        <f t="shared" si="5"/>
        <v>906.76315363389335</v>
      </c>
      <c r="N28" s="225">
        <f t="shared" si="5"/>
        <v>955.78199999999993</v>
      </c>
      <c r="O28" s="225">
        <f t="shared" si="5"/>
        <v>1061.5530000000001</v>
      </c>
    </row>
    <row r="29" spans="1:17" ht="15" customHeight="1">
      <c r="A29" s="220" t="s">
        <v>520</v>
      </c>
      <c r="B29" s="218">
        <f>B4/1000</f>
        <v>13.591200000000001</v>
      </c>
      <c r="C29" s="218">
        <f t="shared" ref="C29:O30" si="6">C4/1000</f>
        <v>15.532800000000003</v>
      </c>
      <c r="D29" s="218">
        <f t="shared" si="6"/>
        <v>18.3064</v>
      </c>
      <c r="E29" s="218">
        <f t="shared" si="6"/>
        <v>20.1432</v>
      </c>
      <c r="F29" s="218">
        <f t="shared" si="6"/>
        <v>21.8232</v>
      </c>
      <c r="G29" s="218">
        <f t="shared" si="6"/>
        <v>18.849599999999999</v>
      </c>
      <c r="H29" s="218">
        <f t="shared" si="6"/>
        <v>18.849599999999999</v>
      </c>
      <c r="I29" s="218">
        <f t="shared" si="6"/>
        <v>17.301501867231735</v>
      </c>
      <c r="J29" s="218">
        <f t="shared" si="6"/>
        <v>17.068000000000001</v>
      </c>
      <c r="K29" s="218">
        <f t="shared" si="6"/>
        <v>20.368004737284437</v>
      </c>
      <c r="L29" s="218">
        <f t="shared" si="6"/>
        <v>20.516006011995291</v>
      </c>
      <c r="M29" s="218">
        <f t="shared" si="6"/>
        <v>17.70601696996863</v>
      </c>
      <c r="N29" s="218">
        <f t="shared" si="6"/>
        <v>14.343</v>
      </c>
      <c r="O29" s="218">
        <f t="shared" si="6"/>
        <v>18.018000000000001</v>
      </c>
    </row>
    <row r="30" spans="1:17" ht="15" customHeight="1">
      <c r="A30" s="221" t="s">
        <v>320</v>
      </c>
      <c r="B30" s="390">
        <f>B5/1000</f>
        <v>331.92399999999998</v>
      </c>
      <c r="C30" s="390">
        <f t="shared" si="6"/>
        <v>379.34171428571426</v>
      </c>
      <c r="D30" s="390">
        <f t="shared" si="6"/>
        <v>494.33519999999999</v>
      </c>
      <c r="E30" s="390">
        <f t="shared" si="6"/>
        <v>526.39280000000008</v>
      </c>
      <c r="F30" s="390">
        <f t="shared" si="6"/>
        <v>510.18240000000003</v>
      </c>
      <c r="G30" s="390">
        <f t="shared" si="6"/>
        <v>576.66160000000002</v>
      </c>
      <c r="H30" s="390">
        <f t="shared" si="6"/>
        <v>576.66160000000002</v>
      </c>
      <c r="I30" s="390">
        <f t="shared" si="6"/>
        <v>588.72689899526006</v>
      </c>
      <c r="J30" s="390">
        <f t="shared" si="6"/>
        <v>753.28446666666673</v>
      </c>
      <c r="K30" s="390">
        <f t="shared" si="6"/>
        <v>814.02306001475245</v>
      </c>
      <c r="L30" s="390">
        <f t="shared" si="6"/>
        <v>825.63596419592091</v>
      </c>
      <c r="M30" s="390">
        <f t="shared" si="6"/>
        <v>889.05713666392478</v>
      </c>
      <c r="N30" s="390">
        <f t="shared" si="6"/>
        <v>941.43899999999996</v>
      </c>
      <c r="O30" s="390">
        <f t="shared" si="6"/>
        <v>1043.5350000000001</v>
      </c>
    </row>
    <row r="31" spans="1:17" ht="15" customHeight="1"/>
    <row r="32" spans="1:17" ht="15" customHeight="1"/>
  </sheetData>
  <mergeCells count="1">
    <mergeCell ref="Q3:T3"/>
  </mergeCells>
  <hyperlinks>
    <hyperlink ref="Q3:T3" location="Indice!D3" display="ÍNDICE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"/>
  <dimension ref="A1:U41"/>
  <sheetViews>
    <sheetView showGridLines="0" workbookViewId="0">
      <selection activeCell="C2" sqref="C2:F2"/>
    </sheetView>
  </sheetViews>
  <sheetFormatPr baseColWidth="10" defaultRowHeight="9" outlineLevelRow="1"/>
  <cols>
    <col min="1" max="1" width="4.7109375" style="177" customWidth="1"/>
    <col min="2" max="2" width="25.85546875" style="177" bestFit="1" customWidth="1"/>
    <col min="3" max="11" width="9.42578125" style="177" customWidth="1"/>
    <col min="12" max="14" width="9.42578125" style="91" customWidth="1"/>
    <col min="15" max="15" width="11.42578125" style="177" customWidth="1"/>
    <col min="16" max="16" width="8.85546875" style="177" customWidth="1"/>
    <col min="17" max="17" width="11.28515625" style="177" customWidth="1"/>
    <col min="18" max="20" width="8.5703125" style="177" customWidth="1"/>
    <col min="21" max="28" width="12.7109375" style="177" customWidth="1"/>
    <col min="29" max="256" width="11.42578125" style="177"/>
    <col min="257" max="257" width="4.7109375" style="177" customWidth="1"/>
    <col min="258" max="258" width="37.140625" style="177" customWidth="1"/>
    <col min="259" max="262" width="13.28515625" style="177" bestFit="1" customWidth="1"/>
    <col min="263" max="263" width="12.28515625" style="177" customWidth="1"/>
    <col min="264" max="270" width="13.28515625" style="177" bestFit="1" customWidth="1"/>
    <col min="271" max="271" width="11.42578125" style="177" customWidth="1"/>
    <col min="272" max="272" width="4" style="177" customWidth="1"/>
    <col min="273" max="273" width="31.42578125" style="177" customWidth="1"/>
    <col min="274" max="284" width="12.7109375" style="177" customWidth="1"/>
    <col min="285" max="512" width="11.42578125" style="177"/>
    <col min="513" max="513" width="4.7109375" style="177" customWidth="1"/>
    <col min="514" max="514" width="37.140625" style="177" customWidth="1"/>
    <col min="515" max="518" width="13.28515625" style="177" bestFit="1" customWidth="1"/>
    <col min="519" max="519" width="12.28515625" style="177" customWidth="1"/>
    <col min="520" max="526" width="13.28515625" style="177" bestFit="1" customWidth="1"/>
    <col min="527" max="527" width="11.42578125" style="177" customWidth="1"/>
    <col min="528" max="528" width="4" style="177" customWidth="1"/>
    <col min="529" max="529" width="31.42578125" style="177" customWidth="1"/>
    <col min="530" max="540" width="12.7109375" style="177" customWidth="1"/>
    <col min="541" max="768" width="11.42578125" style="177"/>
    <col min="769" max="769" width="4.7109375" style="177" customWidth="1"/>
    <col min="770" max="770" width="37.140625" style="177" customWidth="1"/>
    <col min="771" max="774" width="13.28515625" style="177" bestFit="1" customWidth="1"/>
    <col min="775" max="775" width="12.28515625" style="177" customWidth="1"/>
    <col min="776" max="782" width="13.28515625" style="177" bestFit="1" customWidth="1"/>
    <col min="783" max="783" width="11.42578125" style="177" customWidth="1"/>
    <col min="784" max="784" width="4" style="177" customWidth="1"/>
    <col min="785" max="785" width="31.42578125" style="177" customWidth="1"/>
    <col min="786" max="796" width="12.7109375" style="177" customWidth="1"/>
    <col min="797" max="1024" width="11.42578125" style="177"/>
    <col min="1025" max="1025" width="4.7109375" style="177" customWidth="1"/>
    <col min="1026" max="1026" width="37.140625" style="177" customWidth="1"/>
    <col min="1027" max="1030" width="13.28515625" style="177" bestFit="1" customWidth="1"/>
    <col min="1031" max="1031" width="12.28515625" style="177" customWidth="1"/>
    <col min="1032" max="1038" width="13.28515625" style="177" bestFit="1" customWidth="1"/>
    <col min="1039" max="1039" width="11.42578125" style="177" customWidth="1"/>
    <col min="1040" max="1040" width="4" style="177" customWidth="1"/>
    <col min="1041" max="1041" width="31.42578125" style="177" customWidth="1"/>
    <col min="1042" max="1052" width="12.7109375" style="177" customWidth="1"/>
    <col min="1053" max="1280" width="11.42578125" style="177"/>
    <col min="1281" max="1281" width="4.7109375" style="177" customWidth="1"/>
    <col min="1282" max="1282" width="37.140625" style="177" customWidth="1"/>
    <col min="1283" max="1286" width="13.28515625" style="177" bestFit="1" customWidth="1"/>
    <col min="1287" max="1287" width="12.28515625" style="177" customWidth="1"/>
    <col min="1288" max="1294" width="13.28515625" style="177" bestFit="1" customWidth="1"/>
    <col min="1295" max="1295" width="11.42578125" style="177" customWidth="1"/>
    <col min="1296" max="1296" width="4" style="177" customWidth="1"/>
    <col min="1297" max="1297" width="31.42578125" style="177" customWidth="1"/>
    <col min="1298" max="1308" width="12.7109375" style="177" customWidth="1"/>
    <col min="1309" max="1536" width="11.42578125" style="177"/>
    <col min="1537" max="1537" width="4.7109375" style="177" customWidth="1"/>
    <col min="1538" max="1538" width="37.140625" style="177" customWidth="1"/>
    <col min="1539" max="1542" width="13.28515625" style="177" bestFit="1" customWidth="1"/>
    <col min="1543" max="1543" width="12.28515625" style="177" customWidth="1"/>
    <col min="1544" max="1550" width="13.28515625" style="177" bestFit="1" customWidth="1"/>
    <col min="1551" max="1551" width="11.42578125" style="177" customWidth="1"/>
    <col min="1552" max="1552" width="4" style="177" customWidth="1"/>
    <col min="1553" max="1553" width="31.42578125" style="177" customWidth="1"/>
    <col min="1554" max="1564" width="12.7109375" style="177" customWidth="1"/>
    <col min="1565" max="1792" width="11.42578125" style="177"/>
    <col min="1793" max="1793" width="4.7109375" style="177" customWidth="1"/>
    <col min="1794" max="1794" width="37.140625" style="177" customWidth="1"/>
    <col min="1795" max="1798" width="13.28515625" style="177" bestFit="1" customWidth="1"/>
    <col min="1799" max="1799" width="12.28515625" style="177" customWidth="1"/>
    <col min="1800" max="1806" width="13.28515625" style="177" bestFit="1" customWidth="1"/>
    <col min="1807" max="1807" width="11.42578125" style="177" customWidth="1"/>
    <col min="1808" max="1808" width="4" style="177" customWidth="1"/>
    <col min="1809" max="1809" width="31.42578125" style="177" customWidth="1"/>
    <col min="1810" max="1820" width="12.7109375" style="177" customWidth="1"/>
    <col min="1821" max="2048" width="11.42578125" style="177"/>
    <col min="2049" max="2049" width="4.7109375" style="177" customWidth="1"/>
    <col min="2050" max="2050" width="37.140625" style="177" customWidth="1"/>
    <col min="2051" max="2054" width="13.28515625" style="177" bestFit="1" customWidth="1"/>
    <col min="2055" max="2055" width="12.28515625" style="177" customWidth="1"/>
    <col min="2056" max="2062" width="13.28515625" style="177" bestFit="1" customWidth="1"/>
    <col min="2063" max="2063" width="11.42578125" style="177" customWidth="1"/>
    <col min="2064" max="2064" width="4" style="177" customWidth="1"/>
    <col min="2065" max="2065" width="31.42578125" style="177" customWidth="1"/>
    <col min="2066" max="2076" width="12.7109375" style="177" customWidth="1"/>
    <col min="2077" max="2304" width="11.42578125" style="177"/>
    <col min="2305" max="2305" width="4.7109375" style="177" customWidth="1"/>
    <col min="2306" max="2306" width="37.140625" style="177" customWidth="1"/>
    <col min="2307" max="2310" width="13.28515625" style="177" bestFit="1" customWidth="1"/>
    <col min="2311" max="2311" width="12.28515625" style="177" customWidth="1"/>
    <col min="2312" max="2318" width="13.28515625" style="177" bestFit="1" customWidth="1"/>
    <col min="2319" max="2319" width="11.42578125" style="177" customWidth="1"/>
    <col min="2320" max="2320" width="4" style="177" customWidth="1"/>
    <col min="2321" max="2321" width="31.42578125" style="177" customWidth="1"/>
    <col min="2322" max="2332" width="12.7109375" style="177" customWidth="1"/>
    <col min="2333" max="2560" width="11.42578125" style="177"/>
    <col min="2561" max="2561" width="4.7109375" style="177" customWidth="1"/>
    <col min="2562" max="2562" width="37.140625" style="177" customWidth="1"/>
    <col min="2563" max="2566" width="13.28515625" style="177" bestFit="1" customWidth="1"/>
    <col min="2567" max="2567" width="12.28515625" style="177" customWidth="1"/>
    <col min="2568" max="2574" width="13.28515625" style="177" bestFit="1" customWidth="1"/>
    <col min="2575" max="2575" width="11.42578125" style="177" customWidth="1"/>
    <col min="2576" max="2576" width="4" style="177" customWidth="1"/>
    <col min="2577" max="2577" width="31.42578125" style="177" customWidth="1"/>
    <col min="2578" max="2588" width="12.7109375" style="177" customWidth="1"/>
    <col min="2589" max="2816" width="11.42578125" style="177"/>
    <col min="2817" max="2817" width="4.7109375" style="177" customWidth="1"/>
    <col min="2818" max="2818" width="37.140625" style="177" customWidth="1"/>
    <col min="2819" max="2822" width="13.28515625" style="177" bestFit="1" customWidth="1"/>
    <col min="2823" max="2823" width="12.28515625" style="177" customWidth="1"/>
    <col min="2824" max="2830" width="13.28515625" style="177" bestFit="1" customWidth="1"/>
    <col min="2831" max="2831" width="11.42578125" style="177" customWidth="1"/>
    <col min="2832" max="2832" width="4" style="177" customWidth="1"/>
    <col min="2833" max="2833" width="31.42578125" style="177" customWidth="1"/>
    <col min="2834" max="2844" width="12.7109375" style="177" customWidth="1"/>
    <col min="2845" max="3072" width="11.42578125" style="177"/>
    <col min="3073" max="3073" width="4.7109375" style="177" customWidth="1"/>
    <col min="3074" max="3074" width="37.140625" style="177" customWidth="1"/>
    <col min="3075" max="3078" width="13.28515625" style="177" bestFit="1" customWidth="1"/>
    <col min="3079" max="3079" width="12.28515625" style="177" customWidth="1"/>
    <col min="3080" max="3086" width="13.28515625" style="177" bestFit="1" customWidth="1"/>
    <col min="3087" max="3087" width="11.42578125" style="177" customWidth="1"/>
    <col min="3088" max="3088" width="4" style="177" customWidth="1"/>
    <col min="3089" max="3089" width="31.42578125" style="177" customWidth="1"/>
    <col min="3090" max="3100" width="12.7109375" style="177" customWidth="1"/>
    <col min="3101" max="3328" width="11.42578125" style="177"/>
    <col min="3329" max="3329" width="4.7109375" style="177" customWidth="1"/>
    <col min="3330" max="3330" width="37.140625" style="177" customWidth="1"/>
    <col min="3331" max="3334" width="13.28515625" style="177" bestFit="1" customWidth="1"/>
    <col min="3335" max="3335" width="12.28515625" style="177" customWidth="1"/>
    <col min="3336" max="3342" width="13.28515625" style="177" bestFit="1" customWidth="1"/>
    <col min="3343" max="3343" width="11.42578125" style="177" customWidth="1"/>
    <col min="3344" max="3344" width="4" style="177" customWidth="1"/>
    <col min="3345" max="3345" width="31.42578125" style="177" customWidth="1"/>
    <col min="3346" max="3356" width="12.7109375" style="177" customWidth="1"/>
    <col min="3357" max="3584" width="11.42578125" style="177"/>
    <col min="3585" max="3585" width="4.7109375" style="177" customWidth="1"/>
    <col min="3586" max="3586" width="37.140625" style="177" customWidth="1"/>
    <col min="3587" max="3590" width="13.28515625" style="177" bestFit="1" customWidth="1"/>
    <col min="3591" max="3591" width="12.28515625" style="177" customWidth="1"/>
    <col min="3592" max="3598" width="13.28515625" style="177" bestFit="1" customWidth="1"/>
    <col min="3599" max="3599" width="11.42578125" style="177" customWidth="1"/>
    <col min="3600" max="3600" width="4" style="177" customWidth="1"/>
    <col min="3601" max="3601" width="31.42578125" style="177" customWidth="1"/>
    <col min="3602" max="3612" width="12.7109375" style="177" customWidth="1"/>
    <col min="3613" max="3840" width="11.42578125" style="177"/>
    <col min="3841" max="3841" width="4.7109375" style="177" customWidth="1"/>
    <col min="3842" max="3842" width="37.140625" style="177" customWidth="1"/>
    <col min="3843" max="3846" width="13.28515625" style="177" bestFit="1" customWidth="1"/>
    <col min="3847" max="3847" width="12.28515625" style="177" customWidth="1"/>
    <col min="3848" max="3854" width="13.28515625" style="177" bestFit="1" customWidth="1"/>
    <col min="3855" max="3855" width="11.42578125" style="177" customWidth="1"/>
    <col min="3856" max="3856" width="4" style="177" customWidth="1"/>
    <col min="3857" max="3857" width="31.42578125" style="177" customWidth="1"/>
    <col min="3858" max="3868" width="12.7109375" style="177" customWidth="1"/>
    <col min="3869" max="4096" width="11.42578125" style="177"/>
    <col min="4097" max="4097" width="4.7109375" style="177" customWidth="1"/>
    <col min="4098" max="4098" width="37.140625" style="177" customWidth="1"/>
    <col min="4099" max="4102" width="13.28515625" style="177" bestFit="1" customWidth="1"/>
    <col min="4103" max="4103" width="12.28515625" style="177" customWidth="1"/>
    <col min="4104" max="4110" width="13.28515625" style="177" bestFit="1" customWidth="1"/>
    <col min="4111" max="4111" width="11.42578125" style="177" customWidth="1"/>
    <col min="4112" max="4112" width="4" style="177" customWidth="1"/>
    <col min="4113" max="4113" width="31.42578125" style="177" customWidth="1"/>
    <col min="4114" max="4124" width="12.7109375" style="177" customWidth="1"/>
    <col min="4125" max="4352" width="11.42578125" style="177"/>
    <col min="4353" max="4353" width="4.7109375" style="177" customWidth="1"/>
    <col min="4354" max="4354" width="37.140625" style="177" customWidth="1"/>
    <col min="4355" max="4358" width="13.28515625" style="177" bestFit="1" customWidth="1"/>
    <col min="4359" max="4359" width="12.28515625" style="177" customWidth="1"/>
    <col min="4360" max="4366" width="13.28515625" style="177" bestFit="1" customWidth="1"/>
    <col min="4367" max="4367" width="11.42578125" style="177" customWidth="1"/>
    <col min="4368" max="4368" width="4" style="177" customWidth="1"/>
    <col min="4369" max="4369" width="31.42578125" style="177" customWidth="1"/>
    <col min="4370" max="4380" width="12.7109375" style="177" customWidth="1"/>
    <col min="4381" max="4608" width="11.42578125" style="177"/>
    <col min="4609" max="4609" width="4.7109375" style="177" customWidth="1"/>
    <col min="4610" max="4610" width="37.140625" style="177" customWidth="1"/>
    <col min="4611" max="4614" width="13.28515625" style="177" bestFit="1" customWidth="1"/>
    <col min="4615" max="4615" width="12.28515625" style="177" customWidth="1"/>
    <col min="4616" max="4622" width="13.28515625" style="177" bestFit="1" customWidth="1"/>
    <col min="4623" max="4623" width="11.42578125" style="177" customWidth="1"/>
    <col min="4624" max="4624" width="4" style="177" customWidth="1"/>
    <col min="4625" max="4625" width="31.42578125" style="177" customWidth="1"/>
    <col min="4626" max="4636" width="12.7109375" style="177" customWidth="1"/>
    <col min="4637" max="4864" width="11.42578125" style="177"/>
    <col min="4865" max="4865" width="4.7109375" style="177" customWidth="1"/>
    <col min="4866" max="4866" width="37.140625" style="177" customWidth="1"/>
    <col min="4867" max="4870" width="13.28515625" style="177" bestFit="1" customWidth="1"/>
    <col min="4871" max="4871" width="12.28515625" style="177" customWidth="1"/>
    <col min="4872" max="4878" width="13.28515625" style="177" bestFit="1" customWidth="1"/>
    <col min="4879" max="4879" width="11.42578125" style="177" customWidth="1"/>
    <col min="4880" max="4880" width="4" style="177" customWidth="1"/>
    <col min="4881" max="4881" width="31.42578125" style="177" customWidth="1"/>
    <col min="4882" max="4892" width="12.7109375" style="177" customWidth="1"/>
    <col min="4893" max="5120" width="11.42578125" style="177"/>
    <col min="5121" max="5121" width="4.7109375" style="177" customWidth="1"/>
    <col min="5122" max="5122" width="37.140625" style="177" customWidth="1"/>
    <col min="5123" max="5126" width="13.28515625" style="177" bestFit="1" customWidth="1"/>
    <col min="5127" max="5127" width="12.28515625" style="177" customWidth="1"/>
    <col min="5128" max="5134" width="13.28515625" style="177" bestFit="1" customWidth="1"/>
    <col min="5135" max="5135" width="11.42578125" style="177" customWidth="1"/>
    <col min="5136" max="5136" width="4" style="177" customWidth="1"/>
    <col min="5137" max="5137" width="31.42578125" style="177" customWidth="1"/>
    <col min="5138" max="5148" width="12.7109375" style="177" customWidth="1"/>
    <col min="5149" max="5376" width="11.42578125" style="177"/>
    <col min="5377" max="5377" width="4.7109375" style="177" customWidth="1"/>
    <col min="5378" max="5378" width="37.140625" style="177" customWidth="1"/>
    <col min="5379" max="5382" width="13.28515625" style="177" bestFit="1" customWidth="1"/>
    <col min="5383" max="5383" width="12.28515625" style="177" customWidth="1"/>
    <col min="5384" max="5390" width="13.28515625" style="177" bestFit="1" customWidth="1"/>
    <col min="5391" max="5391" width="11.42578125" style="177" customWidth="1"/>
    <col min="5392" max="5392" width="4" style="177" customWidth="1"/>
    <col min="5393" max="5393" width="31.42578125" style="177" customWidth="1"/>
    <col min="5394" max="5404" width="12.7109375" style="177" customWidth="1"/>
    <col min="5405" max="5632" width="11.42578125" style="177"/>
    <col min="5633" max="5633" width="4.7109375" style="177" customWidth="1"/>
    <col min="5634" max="5634" width="37.140625" style="177" customWidth="1"/>
    <col min="5635" max="5638" width="13.28515625" style="177" bestFit="1" customWidth="1"/>
    <col min="5639" max="5639" width="12.28515625" style="177" customWidth="1"/>
    <col min="5640" max="5646" width="13.28515625" style="177" bestFit="1" customWidth="1"/>
    <col min="5647" max="5647" width="11.42578125" style="177" customWidth="1"/>
    <col min="5648" max="5648" width="4" style="177" customWidth="1"/>
    <col min="5649" max="5649" width="31.42578125" style="177" customWidth="1"/>
    <col min="5650" max="5660" width="12.7109375" style="177" customWidth="1"/>
    <col min="5661" max="5888" width="11.42578125" style="177"/>
    <col min="5889" max="5889" width="4.7109375" style="177" customWidth="1"/>
    <col min="5890" max="5890" width="37.140625" style="177" customWidth="1"/>
    <col min="5891" max="5894" width="13.28515625" style="177" bestFit="1" customWidth="1"/>
    <col min="5895" max="5895" width="12.28515625" style="177" customWidth="1"/>
    <col min="5896" max="5902" width="13.28515625" style="177" bestFit="1" customWidth="1"/>
    <col min="5903" max="5903" width="11.42578125" style="177" customWidth="1"/>
    <col min="5904" max="5904" width="4" style="177" customWidth="1"/>
    <col min="5905" max="5905" width="31.42578125" style="177" customWidth="1"/>
    <col min="5906" max="5916" width="12.7109375" style="177" customWidth="1"/>
    <col min="5917" max="6144" width="11.42578125" style="177"/>
    <col min="6145" max="6145" width="4.7109375" style="177" customWidth="1"/>
    <col min="6146" max="6146" width="37.140625" style="177" customWidth="1"/>
    <col min="6147" max="6150" width="13.28515625" style="177" bestFit="1" customWidth="1"/>
    <col min="6151" max="6151" width="12.28515625" style="177" customWidth="1"/>
    <col min="6152" max="6158" width="13.28515625" style="177" bestFit="1" customWidth="1"/>
    <col min="6159" max="6159" width="11.42578125" style="177" customWidth="1"/>
    <col min="6160" max="6160" width="4" style="177" customWidth="1"/>
    <col min="6161" max="6161" width="31.42578125" style="177" customWidth="1"/>
    <col min="6162" max="6172" width="12.7109375" style="177" customWidth="1"/>
    <col min="6173" max="6400" width="11.42578125" style="177"/>
    <col min="6401" max="6401" width="4.7109375" style="177" customWidth="1"/>
    <col min="6402" max="6402" width="37.140625" style="177" customWidth="1"/>
    <col min="6403" max="6406" width="13.28515625" style="177" bestFit="1" customWidth="1"/>
    <col min="6407" max="6407" width="12.28515625" style="177" customWidth="1"/>
    <col min="6408" max="6414" width="13.28515625" style="177" bestFit="1" customWidth="1"/>
    <col min="6415" max="6415" width="11.42578125" style="177" customWidth="1"/>
    <col min="6416" max="6416" width="4" style="177" customWidth="1"/>
    <col min="6417" max="6417" width="31.42578125" style="177" customWidth="1"/>
    <col min="6418" max="6428" width="12.7109375" style="177" customWidth="1"/>
    <col min="6429" max="6656" width="11.42578125" style="177"/>
    <col min="6657" max="6657" width="4.7109375" style="177" customWidth="1"/>
    <col min="6658" max="6658" width="37.140625" style="177" customWidth="1"/>
    <col min="6659" max="6662" width="13.28515625" style="177" bestFit="1" customWidth="1"/>
    <col min="6663" max="6663" width="12.28515625" style="177" customWidth="1"/>
    <col min="6664" max="6670" width="13.28515625" style="177" bestFit="1" customWidth="1"/>
    <col min="6671" max="6671" width="11.42578125" style="177" customWidth="1"/>
    <col min="6672" max="6672" width="4" style="177" customWidth="1"/>
    <col min="6673" max="6673" width="31.42578125" style="177" customWidth="1"/>
    <col min="6674" max="6684" width="12.7109375" style="177" customWidth="1"/>
    <col min="6685" max="6912" width="11.42578125" style="177"/>
    <col min="6913" max="6913" width="4.7109375" style="177" customWidth="1"/>
    <col min="6914" max="6914" width="37.140625" style="177" customWidth="1"/>
    <col min="6915" max="6918" width="13.28515625" style="177" bestFit="1" customWidth="1"/>
    <col min="6919" max="6919" width="12.28515625" style="177" customWidth="1"/>
    <col min="6920" max="6926" width="13.28515625" style="177" bestFit="1" customWidth="1"/>
    <col min="6927" max="6927" width="11.42578125" style="177" customWidth="1"/>
    <col min="6928" max="6928" width="4" style="177" customWidth="1"/>
    <col min="6929" max="6929" width="31.42578125" style="177" customWidth="1"/>
    <col min="6930" max="6940" width="12.7109375" style="177" customWidth="1"/>
    <col min="6941" max="7168" width="11.42578125" style="177"/>
    <col min="7169" max="7169" width="4.7109375" style="177" customWidth="1"/>
    <col min="7170" max="7170" width="37.140625" style="177" customWidth="1"/>
    <col min="7171" max="7174" width="13.28515625" style="177" bestFit="1" customWidth="1"/>
    <col min="7175" max="7175" width="12.28515625" style="177" customWidth="1"/>
    <col min="7176" max="7182" width="13.28515625" style="177" bestFit="1" customWidth="1"/>
    <col min="7183" max="7183" width="11.42578125" style="177" customWidth="1"/>
    <col min="7184" max="7184" width="4" style="177" customWidth="1"/>
    <col min="7185" max="7185" width="31.42578125" style="177" customWidth="1"/>
    <col min="7186" max="7196" width="12.7109375" style="177" customWidth="1"/>
    <col min="7197" max="7424" width="11.42578125" style="177"/>
    <col min="7425" max="7425" width="4.7109375" style="177" customWidth="1"/>
    <col min="7426" max="7426" width="37.140625" style="177" customWidth="1"/>
    <col min="7427" max="7430" width="13.28515625" style="177" bestFit="1" customWidth="1"/>
    <col min="7431" max="7431" width="12.28515625" style="177" customWidth="1"/>
    <col min="7432" max="7438" width="13.28515625" style="177" bestFit="1" customWidth="1"/>
    <col min="7439" max="7439" width="11.42578125" style="177" customWidth="1"/>
    <col min="7440" max="7440" width="4" style="177" customWidth="1"/>
    <col min="7441" max="7441" width="31.42578125" style="177" customWidth="1"/>
    <col min="7442" max="7452" width="12.7109375" style="177" customWidth="1"/>
    <col min="7453" max="7680" width="11.42578125" style="177"/>
    <col min="7681" max="7681" width="4.7109375" style="177" customWidth="1"/>
    <col min="7682" max="7682" width="37.140625" style="177" customWidth="1"/>
    <col min="7683" max="7686" width="13.28515625" style="177" bestFit="1" customWidth="1"/>
    <col min="7687" max="7687" width="12.28515625" style="177" customWidth="1"/>
    <col min="7688" max="7694" width="13.28515625" style="177" bestFit="1" customWidth="1"/>
    <col min="7695" max="7695" width="11.42578125" style="177" customWidth="1"/>
    <col min="7696" max="7696" width="4" style="177" customWidth="1"/>
    <col min="7697" max="7697" width="31.42578125" style="177" customWidth="1"/>
    <col min="7698" max="7708" width="12.7109375" style="177" customWidth="1"/>
    <col min="7709" max="7936" width="11.42578125" style="177"/>
    <col min="7937" max="7937" width="4.7109375" style="177" customWidth="1"/>
    <col min="7938" max="7938" width="37.140625" style="177" customWidth="1"/>
    <col min="7939" max="7942" width="13.28515625" style="177" bestFit="1" customWidth="1"/>
    <col min="7943" max="7943" width="12.28515625" style="177" customWidth="1"/>
    <col min="7944" max="7950" width="13.28515625" style="177" bestFit="1" customWidth="1"/>
    <col min="7951" max="7951" width="11.42578125" style="177" customWidth="1"/>
    <col min="7952" max="7952" width="4" style="177" customWidth="1"/>
    <col min="7953" max="7953" width="31.42578125" style="177" customWidth="1"/>
    <col min="7954" max="7964" width="12.7109375" style="177" customWidth="1"/>
    <col min="7965" max="8192" width="11.42578125" style="177"/>
    <col min="8193" max="8193" width="4.7109375" style="177" customWidth="1"/>
    <col min="8194" max="8194" width="37.140625" style="177" customWidth="1"/>
    <col min="8195" max="8198" width="13.28515625" style="177" bestFit="1" customWidth="1"/>
    <col min="8199" max="8199" width="12.28515625" style="177" customWidth="1"/>
    <col min="8200" max="8206" width="13.28515625" style="177" bestFit="1" customWidth="1"/>
    <col min="8207" max="8207" width="11.42578125" style="177" customWidth="1"/>
    <col min="8208" max="8208" width="4" style="177" customWidth="1"/>
    <col min="8209" max="8209" width="31.42578125" style="177" customWidth="1"/>
    <col min="8210" max="8220" width="12.7109375" style="177" customWidth="1"/>
    <col min="8221" max="8448" width="11.42578125" style="177"/>
    <col min="8449" max="8449" width="4.7109375" style="177" customWidth="1"/>
    <col min="8450" max="8450" width="37.140625" style="177" customWidth="1"/>
    <col min="8451" max="8454" width="13.28515625" style="177" bestFit="1" customWidth="1"/>
    <col min="8455" max="8455" width="12.28515625" style="177" customWidth="1"/>
    <col min="8456" max="8462" width="13.28515625" style="177" bestFit="1" customWidth="1"/>
    <col min="8463" max="8463" width="11.42578125" style="177" customWidth="1"/>
    <col min="8464" max="8464" width="4" style="177" customWidth="1"/>
    <col min="8465" max="8465" width="31.42578125" style="177" customWidth="1"/>
    <col min="8466" max="8476" width="12.7109375" style="177" customWidth="1"/>
    <col min="8477" max="8704" width="11.42578125" style="177"/>
    <col min="8705" max="8705" width="4.7109375" style="177" customWidth="1"/>
    <col min="8706" max="8706" width="37.140625" style="177" customWidth="1"/>
    <col min="8707" max="8710" width="13.28515625" style="177" bestFit="1" customWidth="1"/>
    <col min="8711" max="8711" width="12.28515625" style="177" customWidth="1"/>
    <col min="8712" max="8718" width="13.28515625" style="177" bestFit="1" customWidth="1"/>
    <col min="8719" max="8719" width="11.42578125" style="177" customWidth="1"/>
    <col min="8720" max="8720" width="4" style="177" customWidth="1"/>
    <col min="8721" max="8721" width="31.42578125" style="177" customWidth="1"/>
    <col min="8722" max="8732" width="12.7109375" style="177" customWidth="1"/>
    <col min="8733" max="8960" width="11.42578125" style="177"/>
    <col min="8961" max="8961" width="4.7109375" style="177" customWidth="1"/>
    <col min="8962" max="8962" width="37.140625" style="177" customWidth="1"/>
    <col min="8963" max="8966" width="13.28515625" style="177" bestFit="1" customWidth="1"/>
    <col min="8967" max="8967" width="12.28515625" style="177" customWidth="1"/>
    <col min="8968" max="8974" width="13.28515625" style="177" bestFit="1" customWidth="1"/>
    <col min="8975" max="8975" width="11.42578125" style="177" customWidth="1"/>
    <col min="8976" max="8976" width="4" style="177" customWidth="1"/>
    <col min="8977" max="8977" width="31.42578125" style="177" customWidth="1"/>
    <col min="8978" max="8988" width="12.7109375" style="177" customWidth="1"/>
    <col min="8989" max="9216" width="11.42578125" style="177"/>
    <col min="9217" max="9217" width="4.7109375" style="177" customWidth="1"/>
    <col min="9218" max="9218" width="37.140625" style="177" customWidth="1"/>
    <col min="9219" max="9222" width="13.28515625" style="177" bestFit="1" customWidth="1"/>
    <col min="9223" max="9223" width="12.28515625" style="177" customWidth="1"/>
    <col min="9224" max="9230" width="13.28515625" style="177" bestFit="1" customWidth="1"/>
    <col min="9231" max="9231" width="11.42578125" style="177" customWidth="1"/>
    <col min="9232" max="9232" width="4" style="177" customWidth="1"/>
    <col min="9233" max="9233" width="31.42578125" style="177" customWidth="1"/>
    <col min="9234" max="9244" width="12.7109375" style="177" customWidth="1"/>
    <col min="9245" max="9472" width="11.42578125" style="177"/>
    <col min="9473" max="9473" width="4.7109375" style="177" customWidth="1"/>
    <col min="9474" max="9474" width="37.140625" style="177" customWidth="1"/>
    <col min="9475" max="9478" width="13.28515625" style="177" bestFit="1" customWidth="1"/>
    <col min="9479" max="9479" width="12.28515625" style="177" customWidth="1"/>
    <col min="9480" max="9486" width="13.28515625" style="177" bestFit="1" customWidth="1"/>
    <col min="9487" max="9487" width="11.42578125" style="177" customWidth="1"/>
    <col min="9488" max="9488" width="4" style="177" customWidth="1"/>
    <col min="9489" max="9489" width="31.42578125" style="177" customWidth="1"/>
    <col min="9490" max="9500" width="12.7109375" style="177" customWidth="1"/>
    <col min="9501" max="9728" width="11.42578125" style="177"/>
    <col min="9729" max="9729" width="4.7109375" style="177" customWidth="1"/>
    <col min="9730" max="9730" width="37.140625" style="177" customWidth="1"/>
    <col min="9731" max="9734" width="13.28515625" style="177" bestFit="1" customWidth="1"/>
    <col min="9735" max="9735" width="12.28515625" style="177" customWidth="1"/>
    <col min="9736" max="9742" width="13.28515625" style="177" bestFit="1" customWidth="1"/>
    <col min="9743" max="9743" width="11.42578125" style="177" customWidth="1"/>
    <col min="9744" max="9744" width="4" style="177" customWidth="1"/>
    <col min="9745" max="9745" width="31.42578125" style="177" customWidth="1"/>
    <col min="9746" max="9756" width="12.7109375" style="177" customWidth="1"/>
    <col min="9757" max="9984" width="11.42578125" style="177"/>
    <col min="9985" max="9985" width="4.7109375" style="177" customWidth="1"/>
    <col min="9986" max="9986" width="37.140625" style="177" customWidth="1"/>
    <col min="9987" max="9990" width="13.28515625" style="177" bestFit="1" customWidth="1"/>
    <col min="9991" max="9991" width="12.28515625" style="177" customWidth="1"/>
    <col min="9992" max="9998" width="13.28515625" style="177" bestFit="1" customWidth="1"/>
    <col min="9999" max="9999" width="11.42578125" style="177" customWidth="1"/>
    <col min="10000" max="10000" width="4" style="177" customWidth="1"/>
    <col min="10001" max="10001" width="31.42578125" style="177" customWidth="1"/>
    <col min="10002" max="10012" width="12.7109375" style="177" customWidth="1"/>
    <col min="10013" max="10240" width="11.42578125" style="177"/>
    <col min="10241" max="10241" width="4.7109375" style="177" customWidth="1"/>
    <col min="10242" max="10242" width="37.140625" style="177" customWidth="1"/>
    <col min="10243" max="10246" width="13.28515625" style="177" bestFit="1" customWidth="1"/>
    <col min="10247" max="10247" width="12.28515625" style="177" customWidth="1"/>
    <col min="10248" max="10254" width="13.28515625" style="177" bestFit="1" customWidth="1"/>
    <col min="10255" max="10255" width="11.42578125" style="177" customWidth="1"/>
    <col min="10256" max="10256" width="4" style="177" customWidth="1"/>
    <col min="10257" max="10257" width="31.42578125" style="177" customWidth="1"/>
    <col min="10258" max="10268" width="12.7109375" style="177" customWidth="1"/>
    <col min="10269" max="10496" width="11.42578125" style="177"/>
    <col min="10497" max="10497" width="4.7109375" style="177" customWidth="1"/>
    <col min="10498" max="10498" width="37.140625" style="177" customWidth="1"/>
    <col min="10499" max="10502" width="13.28515625" style="177" bestFit="1" customWidth="1"/>
    <col min="10503" max="10503" width="12.28515625" style="177" customWidth="1"/>
    <col min="10504" max="10510" width="13.28515625" style="177" bestFit="1" customWidth="1"/>
    <col min="10511" max="10511" width="11.42578125" style="177" customWidth="1"/>
    <col min="10512" max="10512" width="4" style="177" customWidth="1"/>
    <col min="10513" max="10513" width="31.42578125" style="177" customWidth="1"/>
    <col min="10514" max="10524" width="12.7109375" style="177" customWidth="1"/>
    <col min="10525" max="10752" width="11.42578125" style="177"/>
    <col min="10753" max="10753" width="4.7109375" style="177" customWidth="1"/>
    <col min="10754" max="10754" width="37.140625" style="177" customWidth="1"/>
    <col min="10755" max="10758" width="13.28515625" style="177" bestFit="1" customWidth="1"/>
    <col min="10759" max="10759" width="12.28515625" style="177" customWidth="1"/>
    <col min="10760" max="10766" width="13.28515625" style="177" bestFit="1" customWidth="1"/>
    <col min="10767" max="10767" width="11.42578125" style="177" customWidth="1"/>
    <col min="10768" max="10768" width="4" style="177" customWidth="1"/>
    <col min="10769" max="10769" width="31.42578125" style="177" customWidth="1"/>
    <col min="10770" max="10780" width="12.7109375" style="177" customWidth="1"/>
    <col min="10781" max="11008" width="11.42578125" style="177"/>
    <col min="11009" max="11009" width="4.7109375" style="177" customWidth="1"/>
    <col min="11010" max="11010" width="37.140625" style="177" customWidth="1"/>
    <col min="11011" max="11014" width="13.28515625" style="177" bestFit="1" customWidth="1"/>
    <col min="11015" max="11015" width="12.28515625" style="177" customWidth="1"/>
    <col min="11016" max="11022" width="13.28515625" style="177" bestFit="1" customWidth="1"/>
    <col min="11023" max="11023" width="11.42578125" style="177" customWidth="1"/>
    <col min="11024" max="11024" width="4" style="177" customWidth="1"/>
    <col min="11025" max="11025" width="31.42578125" style="177" customWidth="1"/>
    <col min="11026" max="11036" width="12.7109375" style="177" customWidth="1"/>
    <col min="11037" max="11264" width="11.42578125" style="177"/>
    <col min="11265" max="11265" width="4.7109375" style="177" customWidth="1"/>
    <col min="11266" max="11266" width="37.140625" style="177" customWidth="1"/>
    <col min="11267" max="11270" width="13.28515625" style="177" bestFit="1" customWidth="1"/>
    <col min="11271" max="11271" width="12.28515625" style="177" customWidth="1"/>
    <col min="11272" max="11278" width="13.28515625" style="177" bestFit="1" customWidth="1"/>
    <col min="11279" max="11279" width="11.42578125" style="177" customWidth="1"/>
    <col min="11280" max="11280" width="4" style="177" customWidth="1"/>
    <col min="11281" max="11281" width="31.42578125" style="177" customWidth="1"/>
    <col min="11282" max="11292" width="12.7109375" style="177" customWidth="1"/>
    <col min="11293" max="11520" width="11.42578125" style="177"/>
    <col min="11521" max="11521" width="4.7109375" style="177" customWidth="1"/>
    <col min="11522" max="11522" width="37.140625" style="177" customWidth="1"/>
    <col min="11523" max="11526" width="13.28515625" style="177" bestFit="1" customWidth="1"/>
    <col min="11527" max="11527" width="12.28515625" style="177" customWidth="1"/>
    <col min="11528" max="11534" width="13.28515625" style="177" bestFit="1" customWidth="1"/>
    <col min="11535" max="11535" width="11.42578125" style="177" customWidth="1"/>
    <col min="11536" max="11536" width="4" style="177" customWidth="1"/>
    <col min="11537" max="11537" width="31.42578125" style="177" customWidth="1"/>
    <col min="11538" max="11548" width="12.7109375" style="177" customWidth="1"/>
    <col min="11549" max="11776" width="11.42578125" style="177"/>
    <col min="11777" max="11777" width="4.7109375" style="177" customWidth="1"/>
    <col min="11778" max="11778" width="37.140625" style="177" customWidth="1"/>
    <col min="11779" max="11782" width="13.28515625" style="177" bestFit="1" customWidth="1"/>
    <col min="11783" max="11783" width="12.28515625" style="177" customWidth="1"/>
    <col min="11784" max="11790" width="13.28515625" style="177" bestFit="1" customWidth="1"/>
    <col min="11791" max="11791" width="11.42578125" style="177" customWidth="1"/>
    <col min="11792" max="11792" width="4" style="177" customWidth="1"/>
    <col min="11793" max="11793" width="31.42578125" style="177" customWidth="1"/>
    <col min="11794" max="11804" width="12.7109375" style="177" customWidth="1"/>
    <col min="11805" max="12032" width="11.42578125" style="177"/>
    <col min="12033" max="12033" width="4.7109375" style="177" customWidth="1"/>
    <col min="12034" max="12034" width="37.140625" style="177" customWidth="1"/>
    <col min="12035" max="12038" width="13.28515625" style="177" bestFit="1" customWidth="1"/>
    <col min="12039" max="12039" width="12.28515625" style="177" customWidth="1"/>
    <col min="12040" max="12046" width="13.28515625" style="177" bestFit="1" customWidth="1"/>
    <col min="12047" max="12047" width="11.42578125" style="177" customWidth="1"/>
    <col min="12048" max="12048" width="4" style="177" customWidth="1"/>
    <col min="12049" max="12049" width="31.42578125" style="177" customWidth="1"/>
    <col min="12050" max="12060" width="12.7109375" style="177" customWidth="1"/>
    <col min="12061" max="12288" width="11.42578125" style="177"/>
    <col min="12289" max="12289" width="4.7109375" style="177" customWidth="1"/>
    <col min="12290" max="12290" width="37.140625" style="177" customWidth="1"/>
    <col min="12291" max="12294" width="13.28515625" style="177" bestFit="1" customWidth="1"/>
    <col min="12295" max="12295" width="12.28515625" style="177" customWidth="1"/>
    <col min="12296" max="12302" width="13.28515625" style="177" bestFit="1" customWidth="1"/>
    <col min="12303" max="12303" width="11.42578125" style="177" customWidth="1"/>
    <col min="12304" max="12304" width="4" style="177" customWidth="1"/>
    <col min="12305" max="12305" width="31.42578125" style="177" customWidth="1"/>
    <col min="12306" max="12316" width="12.7109375" style="177" customWidth="1"/>
    <col min="12317" max="12544" width="11.42578125" style="177"/>
    <col min="12545" max="12545" width="4.7109375" style="177" customWidth="1"/>
    <col min="12546" max="12546" width="37.140625" style="177" customWidth="1"/>
    <col min="12547" max="12550" width="13.28515625" style="177" bestFit="1" customWidth="1"/>
    <col min="12551" max="12551" width="12.28515625" style="177" customWidth="1"/>
    <col min="12552" max="12558" width="13.28515625" style="177" bestFit="1" customWidth="1"/>
    <col min="12559" max="12559" width="11.42578125" style="177" customWidth="1"/>
    <col min="12560" max="12560" width="4" style="177" customWidth="1"/>
    <col min="12561" max="12561" width="31.42578125" style="177" customWidth="1"/>
    <col min="12562" max="12572" width="12.7109375" style="177" customWidth="1"/>
    <col min="12573" max="12800" width="11.42578125" style="177"/>
    <col min="12801" max="12801" width="4.7109375" style="177" customWidth="1"/>
    <col min="12802" max="12802" width="37.140625" style="177" customWidth="1"/>
    <col min="12803" max="12806" width="13.28515625" style="177" bestFit="1" customWidth="1"/>
    <col min="12807" max="12807" width="12.28515625" style="177" customWidth="1"/>
    <col min="12808" max="12814" width="13.28515625" style="177" bestFit="1" customWidth="1"/>
    <col min="12815" max="12815" width="11.42578125" style="177" customWidth="1"/>
    <col min="12816" max="12816" width="4" style="177" customWidth="1"/>
    <col min="12817" max="12817" width="31.42578125" style="177" customWidth="1"/>
    <col min="12818" max="12828" width="12.7109375" style="177" customWidth="1"/>
    <col min="12829" max="13056" width="11.42578125" style="177"/>
    <col min="13057" max="13057" width="4.7109375" style="177" customWidth="1"/>
    <col min="13058" max="13058" width="37.140625" style="177" customWidth="1"/>
    <col min="13059" max="13062" width="13.28515625" style="177" bestFit="1" customWidth="1"/>
    <col min="13063" max="13063" width="12.28515625" style="177" customWidth="1"/>
    <col min="13064" max="13070" width="13.28515625" style="177" bestFit="1" customWidth="1"/>
    <col min="13071" max="13071" width="11.42578125" style="177" customWidth="1"/>
    <col min="13072" max="13072" width="4" style="177" customWidth="1"/>
    <col min="13073" max="13073" width="31.42578125" style="177" customWidth="1"/>
    <col min="13074" max="13084" width="12.7109375" style="177" customWidth="1"/>
    <col min="13085" max="13312" width="11.42578125" style="177"/>
    <col min="13313" max="13313" width="4.7109375" style="177" customWidth="1"/>
    <col min="13314" max="13314" width="37.140625" style="177" customWidth="1"/>
    <col min="13315" max="13318" width="13.28515625" style="177" bestFit="1" customWidth="1"/>
    <col min="13319" max="13319" width="12.28515625" style="177" customWidth="1"/>
    <col min="13320" max="13326" width="13.28515625" style="177" bestFit="1" customWidth="1"/>
    <col min="13327" max="13327" width="11.42578125" style="177" customWidth="1"/>
    <col min="13328" max="13328" width="4" style="177" customWidth="1"/>
    <col min="13329" max="13329" width="31.42578125" style="177" customWidth="1"/>
    <col min="13330" max="13340" width="12.7109375" style="177" customWidth="1"/>
    <col min="13341" max="13568" width="11.42578125" style="177"/>
    <col min="13569" max="13569" width="4.7109375" style="177" customWidth="1"/>
    <col min="13570" max="13570" width="37.140625" style="177" customWidth="1"/>
    <col min="13571" max="13574" width="13.28515625" style="177" bestFit="1" customWidth="1"/>
    <col min="13575" max="13575" width="12.28515625" style="177" customWidth="1"/>
    <col min="13576" max="13582" width="13.28515625" style="177" bestFit="1" customWidth="1"/>
    <col min="13583" max="13583" width="11.42578125" style="177" customWidth="1"/>
    <col min="13584" max="13584" width="4" style="177" customWidth="1"/>
    <col min="13585" max="13585" width="31.42578125" style="177" customWidth="1"/>
    <col min="13586" max="13596" width="12.7109375" style="177" customWidth="1"/>
    <col min="13597" max="13824" width="11.42578125" style="177"/>
    <col min="13825" max="13825" width="4.7109375" style="177" customWidth="1"/>
    <col min="13826" max="13826" width="37.140625" style="177" customWidth="1"/>
    <col min="13827" max="13830" width="13.28515625" style="177" bestFit="1" customWidth="1"/>
    <col min="13831" max="13831" width="12.28515625" style="177" customWidth="1"/>
    <col min="13832" max="13838" width="13.28515625" style="177" bestFit="1" customWidth="1"/>
    <col min="13839" max="13839" width="11.42578125" style="177" customWidth="1"/>
    <col min="13840" max="13840" width="4" style="177" customWidth="1"/>
    <col min="13841" max="13841" width="31.42578125" style="177" customWidth="1"/>
    <col min="13842" max="13852" width="12.7109375" style="177" customWidth="1"/>
    <col min="13853" max="14080" width="11.42578125" style="177"/>
    <col min="14081" max="14081" width="4.7109375" style="177" customWidth="1"/>
    <col min="14082" max="14082" width="37.140625" style="177" customWidth="1"/>
    <col min="14083" max="14086" width="13.28515625" style="177" bestFit="1" customWidth="1"/>
    <col min="14087" max="14087" width="12.28515625" style="177" customWidth="1"/>
    <col min="14088" max="14094" width="13.28515625" style="177" bestFit="1" customWidth="1"/>
    <col min="14095" max="14095" width="11.42578125" style="177" customWidth="1"/>
    <col min="14096" max="14096" width="4" style="177" customWidth="1"/>
    <col min="14097" max="14097" width="31.42578125" style="177" customWidth="1"/>
    <col min="14098" max="14108" width="12.7109375" style="177" customWidth="1"/>
    <col min="14109" max="14336" width="11.42578125" style="177"/>
    <col min="14337" max="14337" width="4.7109375" style="177" customWidth="1"/>
    <col min="14338" max="14338" width="37.140625" style="177" customWidth="1"/>
    <col min="14339" max="14342" width="13.28515625" style="177" bestFit="1" customWidth="1"/>
    <col min="14343" max="14343" width="12.28515625" style="177" customWidth="1"/>
    <col min="14344" max="14350" width="13.28515625" style="177" bestFit="1" customWidth="1"/>
    <col min="14351" max="14351" width="11.42578125" style="177" customWidth="1"/>
    <col min="14352" max="14352" width="4" style="177" customWidth="1"/>
    <col min="14353" max="14353" width="31.42578125" style="177" customWidth="1"/>
    <col min="14354" max="14364" width="12.7109375" style="177" customWidth="1"/>
    <col min="14365" max="14592" width="11.42578125" style="177"/>
    <col min="14593" max="14593" width="4.7109375" style="177" customWidth="1"/>
    <col min="14594" max="14594" width="37.140625" style="177" customWidth="1"/>
    <col min="14595" max="14598" width="13.28515625" style="177" bestFit="1" customWidth="1"/>
    <col min="14599" max="14599" width="12.28515625" style="177" customWidth="1"/>
    <col min="14600" max="14606" width="13.28515625" style="177" bestFit="1" customWidth="1"/>
    <col min="14607" max="14607" width="11.42578125" style="177" customWidth="1"/>
    <col min="14608" max="14608" width="4" style="177" customWidth="1"/>
    <col min="14609" max="14609" width="31.42578125" style="177" customWidth="1"/>
    <col min="14610" max="14620" width="12.7109375" style="177" customWidth="1"/>
    <col min="14621" max="14848" width="11.42578125" style="177"/>
    <col min="14849" max="14849" width="4.7109375" style="177" customWidth="1"/>
    <col min="14850" max="14850" width="37.140625" style="177" customWidth="1"/>
    <col min="14851" max="14854" width="13.28515625" style="177" bestFit="1" customWidth="1"/>
    <col min="14855" max="14855" width="12.28515625" style="177" customWidth="1"/>
    <col min="14856" max="14862" width="13.28515625" style="177" bestFit="1" customWidth="1"/>
    <col min="14863" max="14863" width="11.42578125" style="177" customWidth="1"/>
    <col min="14864" max="14864" width="4" style="177" customWidth="1"/>
    <col min="14865" max="14865" width="31.42578125" style="177" customWidth="1"/>
    <col min="14866" max="14876" width="12.7109375" style="177" customWidth="1"/>
    <col min="14877" max="15104" width="11.42578125" style="177"/>
    <col min="15105" max="15105" width="4.7109375" style="177" customWidth="1"/>
    <col min="15106" max="15106" width="37.140625" style="177" customWidth="1"/>
    <col min="15107" max="15110" width="13.28515625" style="177" bestFit="1" customWidth="1"/>
    <col min="15111" max="15111" width="12.28515625" style="177" customWidth="1"/>
    <col min="15112" max="15118" width="13.28515625" style="177" bestFit="1" customWidth="1"/>
    <col min="15119" max="15119" width="11.42578125" style="177" customWidth="1"/>
    <col min="15120" max="15120" width="4" style="177" customWidth="1"/>
    <col min="15121" max="15121" width="31.42578125" style="177" customWidth="1"/>
    <col min="15122" max="15132" width="12.7109375" style="177" customWidth="1"/>
    <col min="15133" max="15360" width="11.42578125" style="177"/>
    <col min="15361" max="15361" width="4.7109375" style="177" customWidth="1"/>
    <col min="15362" max="15362" width="37.140625" style="177" customWidth="1"/>
    <col min="15363" max="15366" width="13.28515625" style="177" bestFit="1" customWidth="1"/>
    <col min="15367" max="15367" width="12.28515625" style="177" customWidth="1"/>
    <col min="15368" max="15374" width="13.28515625" style="177" bestFit="1" customWidth="1"/>
    <col min="15375" max="15375" width="11.42578125" style="177" customWidth="1"/>
    <col min="15376" max="15376" width="4" style="177" customWidth="1"/>
    <col min="15377" max="15377" width="31.42578125" style="177" customWidth="1"/>
    <col min="15378" max="15388" width="12.7109375" style="177" customWidth="1"/>
    <col min="15389" max="15616" width="11.42578125" style="177"/>
    <col min="15617" max="15617" width="4.7109375" style="177" customWidth="1"/>
    <col min="15618" max="15618" width="37.140625" style="177" customWidth="1"/>
    <col min="15619" max="15622" width="13.28515625" style="177" bestFit="1" customWidth="1"/>
    <col min="15623" max="15623" width="12.28515625" style="177" customWidth="1"/>
    <col min="15624" max="15630" width="13.28515625" style="177" bestFit="1" customWidth="1"/>
    <col min="15631" max="15631" width="11.42578125" style="177" customWidth="1"/>
    <col min="15632" max="15632" width="4" style="177" customWidth="1"/>
    <col min="15633" max="15633" width="31.42578125" style="177" customWidth="1"/>
    <col min="15634" max="15644" width="12.7109375" style="177" customWidth="1"/>
    <col min="15645" max="15872" width="11.42578125" style="177"/>
    <col min="15873" max="15873" width="4.7109375" style="177" customWidth="1"/>
    <col min="15874" max="15874" width="37.140625" style="177" customWidth="1"/>
    <col min="15875" max="15878" width="13.28515625" style="177" bestFit="1" customWidth="1"/>
    <col min="15879" max="15879" width="12.28515625" style="177" customWidth="1"/>
    <col min="15880" max="15886" width="13.28515625" style="177" bestFit="1" customWidth="1"/>
    <col min="15887" max="15887" width="11.42578125" style="177" customWidth="1"/>
    <col min="15888" max="15888" width="4" style="177" customWidth="1"/>
    <col min="15889" max="15889" width="31.42578125" style="177" customWidth="1"/>
    <col min="15890" max="15900" width="12.7109375" style="177" customWidth="1"/>
    <col min="15901" max="16128" width="11.42578125" style="177"/>
    <col min="16129" max="16129" width="4.7109375" style="177" customWidth="1"/>
    <col min="16130" max="16130" width="37.140625" style="177" customWidth="1"/>
    <col min="16131" max="16134" width="13.28515625" style="177" bestFit="1" customWidth="1"/>
    <col min="16135" max="16135" width="12.28515625" style="177" customWidth="1"/>
    <col min="16136" max="16142" width="13.28515625" style="177" bestFit="1" customWidth="1"/>
    <col min="16143" max="16143" width="11.42578125" style="177" customWidth="1"/>
    <col min="16144" max="16144" width="4" style="177" customWidth="1"/>
    <col min="16145" max="16145" width="31.42578125" style="177" customWidth="1"/>
    <col min="16146" max="16156" width="12.7109375" style="177" customWidth="1"/>
    <col min="16157" max="16384" width="11.42578125" style="177"/>
  </cols>
  <sheetData>
    <row r="1" spans="2:21" ht="15.75" customHeight="1"/>
    <row r="2" spans="2:21" ht="15">
      <c r="C2" s="444" t="s">
        <v>555</v>
      </c>
      <c r="D2" s="444"/>
      <c r="E2" s="444"/>
      <c r="F2" s="444"/>
    </row>
    <row r="5" spans="2:21" s="288" customFormat="1" ht="12" customHeight="1" thickBot="1">
      <c r="B5" s="42" t="s">
        <v>332</v>
      </c>
      <c r="C5" s="42">
        <v>2002</v>
      </c>
      <c r="D5" s="42">
        <f>C5+1</f>
        <v>2003</v>
      </c>
      <c r="E5" s="42">
        <f>D5+1</f>
        <v>2004</v>
      </c>
      <c r="F5" s="49" t="s">
        <v>469</v>
      </c>
      <c r="G5" s="88">
        <v>2005</v>
      </c>
      <c r="H5" s="42">
        <f t="shared" ref="H5:N5" si="0">G5+1</f>
        <v>2006</v>
      </c>
      <c r="I5" s="42">
        <f t="shared" si="0"/>
        <v>2007</v>
      </c>
      <c r="J5" s="42">
        <f t="shared" si="0"/>
        <v>2008</v>
      </c>
      <c r="K5" s="42">
        <f t="shared" si="0"/>
        <v>2009</v>
      </c>
      <c r="L5" s="42">
        <f t="shared" si="0"/>
        <v>2010</v>
      </c>
      <c r="M5" s="42">
        <f t="shared" si="0"/>
        <v>2011</v>
      </c>
      <c r="N5" s="42">
        <f t="shared" si="0"/>
        <v>2012</v>
      </c>
      <c r="O5" s="371"/>
      <c r="Q5" s="177"/>
      <c r="R5" s="177"/>
      <c r="S5" s="177"/>
      <c r="T5" s="177"/>
      <c r="U5" s="177"/>
    </row>
    <row r="6" spans="2:21" s="289" customFormat="1" ht="12" customHeight="1" outlineLevel="1" thickTop="1">
      <c r="B6" s="312" t="s">
        <v>354</v>
      </c>
      <c r="C6" s="313">
        <f t="shared" ref="C6:N6" si="1">+SUM(C7:C9)</f>
        <v>22661595.913258128</v>
      </c>
      <c r="D6" s="313">
        <f t="shared" si="1"/>
        <v>26679277.995093442</v>
      </c>
      <c r="E6" s="313">
        <f t="shared" si="1"/>
        <v>22039157.899502885</v>
      </c>
      <c r="F6" s="313">
        <f t="shared" si="1"/>
        <v>31149968.807354417</v>
      </c>
      <c r="G6" s="313"/>
      <c r="H6" s="313">
        <f t="shared" si="1"/>
        <v>35072206.615449362</v>
      </c>
      <c r="I6" s="313">
        <f t="shared" si="1"/>
        <v>41279291.745533451</v>
      </c>
      <c r="J6" s="313">
        <f t="shared" si="1"/>
        <v>47481779.481023699</v>
      </c>
      <c r="K6" s="313">
        <f t="shared" si="1"/>
        <v>39673187.009059146</v>
      </c>
      <c r="L6" s="313">
        <f t="shared" si="1"/>
        <v>72532486.905396298</v>
      </c>
      <c r="M6" s="313">
        <f t="shared" si="1"/>
        <v>59340198.594988741</v>
      </c>
      <c r="N6" s="313">
        <f t="shared" si="1"/>
        <v>66251642.295597494</v>
      </c>
      <c r="O6" s="287"/>
      <c r="Q6" s="177"/>
      <c r="R6" s="177"/>
      <c r="S6" s="177"/>
      <c r="T6" s="177"/>
      <c r="U6" s="177"/>
    </row>
    <row r="7" spans="2:21" ht="12" customHeight="1" outlineLevel="1">
      <c r="B7" s="46" t="s">
        <v>355</v>
      </c>
      <c r="C7" s="47">
        <f>+IndiceCantidadesCapital!D6</f>
        <v>8173222.3492916021</v>
      </c>
      <c r="D7" s="47">
        <f>+IndiceCantidadesCapital!E6</f>
        <v>11595506.472818868</v>
      </c>
      <c r="E7" s="47">
        <f>+IndiceCantidadesCapital!F6</f>
        <v>6738731.1632854436</v>
      </c>
      <c r="F7" s="47">
        <f>+IndiceCantidadesCapital!G6</f>
        <v>15298035.622534666</v>
      </c>
      <c r="G7" s="47"/>
      <c r="H7" s="47">
        <f>+IndiceCantidadesCapital!I6</f>
        <v>17160185.239733838</v>
      </c>
      <c r="I7" s="47">
        <f>+IndiceCantidadesCapital!J6</f>
        <v>21818399.717268389</v>
      </c>
      <c r="J7" s="47">
        <f>+IndiceCantidadesCapital!K6</f>
        <v>26388512.983331513</v>
      </c>
      <c r="K7" s="47">
        <f>+IndiceCantidadesCapital!L6</f>
        <v>15900788.202693317</v>
      </c>
      <c r="L7" s="47">
        <f>+IndiceCantidadesCapital!M6</f>
        <v>48782227.227394924</v>
      </c>
      <c r="M7" s="47">
        <f>+IndiceCantidadesCapital!N6</f>
        <v>31648909.742485847</v>
      </c>
      <c r="N7" s="47">
        <f>+IndiceCantidadesCapital!O6</f>
        <v>30428054.893480692</v>
      </c>
    </row>
    <row r="8" spans="2:21" ht="12" customHeight="1" outlineLevel="1">
      <c r="B8" s="44" t="s">
        <v>356</v>
      </c>
      <c r="C8" s="45">
        <f>+IndiceCantidadesTrabajo!D5</f>
        <v>5310295.8149626516</v>
      </c>
      <c r="D8" s="45">
        <f>+IndiceCantidadesTrabajo!E5</f>
        <v>5333962.6043138681</v>
      </c>
      <c r="E8" s="45">
        <f>+IndiceCantidadesTrabajo!F5</f>
        <v>5387502.0802897764</v>
      </c>
      <c r="F8" s="45">
        <f>+IndiceCantidadesTrabajo!G5</f>
        <v>5749612.0578860743</v>
      </c>
      <c r="G8" s="45"/>
      <c r="H8" s="45">
        <f>+IndiceCantidadesTrabajo!I5</f>
        <v>6016362.4457564121</v>
      </c>
      <c r="I8" s="45">
        <f>+IndiceCantidadesTrabajo!J5</f>
        <v>7310655.154997047</v>
      </c>
      <c r="J8" s="45">
        <f>+IndiceCantidadesTrabajo!K5</f>
        <v>8470655.6052678842</v>
      </c>
      <c r="K8" s="45">
        <f>+IndiceCantidadesTrabajo!L5</f>
        <v>8867061.0897470564</v>
      </c>
      <c r="L8" s="45">
        <f>+IndiceCantidadesTrabajo!M5</f>
        <v>9528107.4319811035</v>
      </c>
      <c r="M8" s="45">
        <f>+IndiceCantidadesTrabajo!N5</f>
        <v>10439325.636223907</v>
      </c>
      <c r="N8" s="45">
        <f>+IndiceCantidadesTrabajo!O5</f>
        <v>16572991.13130871</v>
      </c>
      <c r="O8" s="287"/>
      <c r="Q8" s="287"/>
    </row>
    <row r="9" spans="2:21" ht="12" customHeight="1" outlineLevel="1">
      <c r="B9" s="46" t="s">
        <v>357</v>
      </c>
      <c r="C9" s="47">
        <f>+IndiceCantidadesMateriales!D5</f>
        <v>9178077.7490038723</v>
      </c>
      <c r="D9" s="47">
        <f>+IndiceCantidadesMateriales!E5</f>
        <v>9749808.9179607052</v>
      </c>
      <c r="E9" s="47">
        <f>+IndiceCantidadesMateriales!F5</f>
        <v>9912924.6559276655</v>
      </c>
      <c r="F9" s="47">
        <f>+IndiceCantidadesMateriales!G5</f>
        <v>10102321.126933675</v>
      </c>
      <c r="G9" s="47"/>
      <c r="H9" s="47">
        <f>+IndiceCantidadesMateriales!I5</f>
        <v>11895658.929959109</v>
      </c>
      <c r="I9" s="47">
        <f>+IndiceCantidadesMateriales!J5</f>
        <v>12150236.873268019</v>
      </c>
      <c r="J9" s="47">
        <f>+IndiceCantidadesMateriales!K5</f>
        <v>12622610.892424297</v>
      </c>
      <c r="K9" s="47">
        <f>+IndiceCantidadesMateriales!L5</f>
        <v>14905337.716618771</v>
      </c>
      <c r="L9" s="47">
        <f>+IndiceCantidadesMateriales!M5</f>
        <v>14222152.246020278</v>
      </c>
      <c r="M9" s="47">
        <f>+IndiceCantidadesMateriales!N5</f>
        <v>17251963.216278985</v>
      </c>
      <c r="N9" s="47">
        <f>+IndiceCantidadesMateriales!O5</f>
        <v>19250596.27080809</v>
      </c>
    </row>
    <row r="10" spans="2:21" s="289" customFormat="1" ht="12" customHeight="1" outlineLevel="1">
      <c r="B10" s="312" t="s">
        <v>358</v>
      </c>
      <c r="C10" s="313">
        <f t="shared" ref="C10:N10" si="2">+SUM(C11:C13)</f>
        <v>20547169.67658399</v>
      </c>
      <c r="D10" s="313">
        <f t="shared" si="2"/>
        <v>25601716.453023531</v>
      </c>
      <c r="E10" s="313">
        <f t="shared" si="2"/>
        <v>22879420.796188015</v>
      </c>
      <c r="F10" s="313">
        <f t="shared" si="2"/>
        <v>22775841.438339792</v>
      </c>
      <c r="G10" s="313"/>
      <c r="H10" s="313">
        <f t="shared" si="2"/>
        <v>27966359.87313024</v>
      </c>
      <c r="I10" s="313">
        <f t="shared" si="2"/>
        <v>39876710.987397939</v>
      </c>
      <c r="J10" s="313">
        <f t="shared" si="2"/>
        <v>48683052.265554532</v>
      </c>
      <c r="K10" s="313">
        <f t="shared" si="2"/>
        <v>37512969.798878416</v>
      </c>
      <c r="L10" s="313">
        <f t="shared" si="2"/>
        <v>68390851.990503892</v>
      </c>
      <c r="M10" s="313">
        <f t="shared" si="2"/>
        <v>59398125.525040448</v>
      </c>
      <c r="N10" s="313">
        <f t="shared" si="2"/>
        <v>63731157.365910515</v>
      </c>
    </row>
    <row r="11" spans="2:21" ht="12" customHeight="1" outlineLevel="1">
      <c r="B11" s="46" t="s">
        <v>355</v>
      </c>
      <c r="C11" s="47">
        <f>+IndiceCantidadesCapital!D7</f>
        <v>7496371.7844697107</v>
      </c>
      <c r="D11" s="47">
        <f>+IndiceCantidadesCapital!E7</f>
        <v>11435249.983023532</v>
      </c>
      <c r="E11" s="47">
        <f>+IndiceCantidadesCapital!F7</f>
        <v>7210530.7477765344</v>
      </c>
      <c r="F11" s="47">
        <f>+IndiceCantidadesCapital!G7</f>
        <v>6989935.5425871741</v>
      </c>
      <c r="G11" s="47"/>
      <c r="H11" s="47">
        <f>+IndiceCantidadesCapital!I7</f>
        <v>11003867.300895471</v>
      </c>
      <c r="I11" s="47">
        <f>+IndiceCantidadesCapital!J7</f>
        <v>21723345.499090161</v>
      </c>
      <c r="J11" s="47">
        <f>+IndiceCantidadesCapital!K7</f>
        <v>28090559.743166026</v>
      </c>
      <c r="K11" s="47">
        <f>+IndiceCantidadesCapital!L7</f>
        <v>14722265.444837587</v>
      </c>
      <c r="L11" s="47">
        <f>+IndiceCantidadesCapital!M7</f>
        <v>44468055.961753279</v>
      </c>
      <c r="M11" s="47">
        <f>+IndiceCantidadesCapital!N7</f>
        <v>33670316.23833923</v>
      </c>
      <c r="N11" s="47">
        <f>+IndiceCantidadesCapital!O7</f>
        <v>30635075.536646087</v>
      </c>
    </row>
    <row r="12" spans="2:21" ht="12" customHeight="1" outlineLevel="1">
      <c r="B12" s="44" t="s">
        <v>356</v>
      </c>
      <c r="C12" s="45">
        <f>+IndiceCantidadesTrabajo!D6</f>
        <v>4186797.8921142812</v>
      </c>
      <c r="D12" s="45">
        <f>+IndiceCantidadesTrabajo!E6</f>
        <v>4971466.47</v>
      </c>
      <c r="E12" s="45">
        <f>+IndiceCantidadesTrabajo!F6</f>
        <v>5403890.0484114802</v>
      </c>
      <c r="F12" s="45">
        <f>+IndiceCantidadesTrabajo!G6</f>
        <v>5404905.89575262</v>
      </c>
      <c r="G12" s="45"/>
      <c r="H12" s="45">
        <f>+IndiceCantidadesTrabajo!I6</f>
        <v>6023492.5899999905</v>
      </c>
      <c r="I12" s="45">
        <f>+IndiceCantidadesTrabajo!J6</f>
        <v>5952094.488307775</v>
      </c>
      <c r="J12" s="45">
        <f>+IndiceCantidadesTrabajo!K6</f>
        <v>7707236.6023885012</v>
      </c>
      <c r="K12" s="45">
        <f>+IndiceCantidadesTrabajo!L6</f>
        <v>8752072.4540408272</v>
      </c>
      <c r="L12" s="45">
        <f>+IndiceCantidadesTrabajo!M6</f>
        <v>9114354.9087506179</v>
      </c>
      <c r="M12" s="45">
        <f>+IndiceCantidadesTrabajo!N6</f>
        <v>10208373.206701221</v>
      </c>
      <c r="N12" s="45">
        <f>+IndiceCantidadesTrabajo!O6</f>
        <v>14748731.339264428</v>
      </c>
      <c r="O12" s="287"/>
      <c r="Q12" s="287"/>
    </row>
    <row r="13" spans="2:21" ht="12" customHeight="1" outlineLevel="1">
      <c r="B13" s="46" t="s">
        <v>357</v>
      </c>
      <c r="C13" s="47">
        <f>+IndiceCantidadesMateriales!D6</f>
        <v>8864000</v>
      </c>
      <c r="D13" s="47">
        <f>+IndiceCantidadesMateriales!E6</f>
        <v>9195000</v>
      </c>
      <c r="E13" s="47">
        <f>+IndiceCantidadesMateriales!F6</f>
        <v>10265000</v>
      </c>
      <c r="F13" s="47">
        <f>+IndiceCantidadesMateriales!G6</f>
        <v>10381000</v>
      </c>
      <c r="G13" s="47"/>
      <c r="H13" s="47">
        <f>+IndiceCantidadesMateriales!I6</f>
        <v>10938999.982234776</v>
      </c>
      <c r="I13" s="47">
        <f>+IndiceCantidadesMateriales!J6</f>
        <v>12201271</v>
      </c>
      <c r="J13" s="47">
        <f>+IndiceCantidadesMateriales!K6</f>
        <v>12885255.92</v>
      </c>
      <c r="K13" s="47">
        <f>+IndiceCantidadesMateriales!L6</f>
        <v>14038631.9</v>
      </c>
      <c r="L13" s="47">
        <f>+IndiceCantidadesMateriales!M6</f>
        <v>14808441.120000001</v>
      </c>
      <c r="M13" s="47">
        <f>+IndiceCantidadesMateriales!N6</f>
        <v>15519436.08</v>
      </c>
      <c r="N13" s="47">
        <f>+IndiceCantidadesMateriales!O6</f>
        <v>18347350.490000002</v>
      </c>
    </row>
    <row r="14" spans="2:21" s="289" customFormat="1" ht="12" customHeight="1" outlineLevel="1">
      <c r="B14" s="312" t="s">
        <v>359</v>
      </c>
      <c r="C14" s="314">
        <f t="shared" ref="C14:N14" si="3">+C6/C10</f>
        <v>1.1029059607700511</v>
      </c>
      <c r="D14" s="314">
        <f t="shared" si="3"/>
        <v>1.0420894256854663</v>
      </c>
      <c r="E14" s="314">
        <f t="shared" si="3"/>
        <v>0.96327429334115278</v>
      </c>
      <c r="F14" s="314">
        <f t="shared" si="3"/>
        <v>1.3676758723354128</v>
      </c>
      <c r="G14" s="314"/>
      <c r="H14" s="314">
        <f t="shared" si="3"/>
        <v>1.2540855075367294</v>
      </c>
      <c r="I14" s="314">
        <f t="shared" si="3"/>
        <v>1.0351729298481704</v>
      </c>
      <c r="J14" s="314">
        <f t="shared" si="3"/>
        <v>0.97532462060969027</v>
      </c>
      <c r="K14" s="314">
        <f t="shared" si="3"/>
        <v>1.0575858755455112</v>
      </c>
      <c r="L14" s="314">
        <f t="shared" si="3"/>
        <v>1.0605583172946504</v>
      </c>
      <c r="M14" s="314">
        <f t="shared" si="3"/>
        <v>0.99902476838217247</v>
      </c>
      <c r="N14" s="314">
        <f t="shared" si="3"/>
        <v>1.039548707945404</v>
      </c>
    </row>
    <row r="15" spans="2:21" ht="12" customHeight="1" outlineLevel="1"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</row>
    <row r="16" spans="2:21" ht="12" customHeight="1" outlineLevel="1">
      <c r="B16" s="312" t="s">
        <v>360</v>
      </c>
      <c r="C16" s="313">
        <f t="shared" ref="C16:N16" si="4">+SUM(C17:C19)</f>
        <v>25601716.453023531</v>
      </c>
      <c r="D16" s="313">
        <f t="shared" si="4"/>
        <v>22879420.796188015</v>
      </c>
      <c r="E16" s="313">
        <f t="shared" si="4"/>
        <v>22775841.438339792</v>
      </c>
      <c r="F16" s="313">
        <f t="shared" si="4"/>
        <v>27324616.857039984</v>
      </c>
      <c r="G16" s="313"/>
      <c r="H16" s="313">
        <f t="shared" si="4"/>
        <v>39876710.987397939</v>
      </c>
      <c r="I16" s="313">
        <f t="shared" si="4"/>
        <v>48683052.265554532</v>
      </c>
      <c r="J16" s="313">
        <f t="shared" si="4"/>
        <v>37512969.798878416</v>
      </c>
      <c r="K16" s="313">
        <f t="shared" si="4"/>
        <v>68390851.990503892</v>
      </c>
      <c r="L16" s="313">
        <f t="shared" si="4"/>
        <v>59398125.525040448</v>
      </c>
      <c r="M16" s="313">
        <f t="shared" si="4"/>
        <v>63731157.365910515</v>
      </c>
      <c r="N16" s="313">
        <f t="shared" si="4"/>
        <v>72254967.642784327</v>
      </c>
    </row>
    <row r="17" spans="2:18" ht="12" customHeight="1" outlineLevel="1">
      <c r="B17" s="46" t="s">
        <v>355</v>
      </c>
      <c r="C17" s="47">
        <f>+IndiceCantidadesCapital!D9</f>
        <v>11435249.983023532</v>
      </c>
      <c r="D17" s="47">
        <f>+IndiceCantidadesCapital!E9</f>
        <v>7210530.7477765344</v>
      </c>
      <c r="E17" s="47">
        <f>+IndiceCantidadesCapital!F9</f>
        <v>6989935.5425871741</v>
      </c>
      <c r="F17" s="47">
        <f>+IndiceCantidadesCapital!G9</f>
        <v>10558544.712767696</v>
      </c>
      <c r="G17" s="47"/>
      <c r="H17" s="47">
        <f>+IndiceCantidadesCapital!I9</f>
        <v>21723345.499090161</v>
      </c>
      <c r="I17" s="47">
        <f>+IndiceCantidadesCapital!J9</f>
        <v>28090559.743166026</v>
      </c>
      <c r="J17" s="47">
        <f>+IndiceCantidadesCapital!K9</f>
        <v>14722265.444837587</v>
      </c>
      <c r="K17" s="47">
        <f>+IndiceCantidadesCapital!L9</f>
        <v>44468055.961753279</v>
      </c>
      <c r="L17" s="47">
        <f>+IndiceCantidadesCapital!M9</f>
        <v>33670316.23833923</v>
      </c>
      <c r="M17" s="47">
        <f>+IndiceCantidadesCapital!N9</f>
        <v>30635075.536646087</v>
      </c>
      <c r="N17" s="47">
        <f>+IndiceCantidadesCapital!O9</f>
        <v>35753802.256152779</v>
      </c>
    </row>
    <row r="18" spans="2:18" ht="12" customHeight="1" outlineLevel="1">
      <c r="B18" s="44" t="s">
        <v>356</v>
      </c>
      <c r="C18" s="45">
        <f>+IndiceCantidadesTrabajo!D8</f>
        <v>4971466.47</v>
      </c>
      <c r="D18" s="45">
        <f>+IndiceCantidadesTrabajo!E8</f>
        <v>5403890.0484114802</v>
      </c>
      <c r="E18" s="45">
        <f>+IndiceCantidadesTrabajo!F8</f>
        <v>5404905.89575262</v>
      </c>
      <c r="F18" s="45">
        <f>+IndiceCantidadesTrabajo!G8</f>
        <v>6023492.5899999905</v>
      </c>
      <c r="G18" s="45"/>
      <c r="H18" s="45">
        <f>+IndiceCantidadesTrabajo!I8</f>
        <v>5952094.488307775</v>
      </c>
      <c r="I18" s="45">
        <f>+IndiceCantidadesTrabajo!J8</f>
        <v>7707236.6023885012</v>
      </c>
      <c r="J18" s="45">
        <f>+IndiceCantidadesTrabajo!K8</f>
        <v>8752072.4540408272</v>
      </c>
      <c r="K18" s="45">
        <f>+IndiceCantidadesTrabajo!L8</f>
        <v>9114354.9087506179</v>
      </c>
      <c r="L18" s="45">
        <f>+IndiceCantidadesTrabajo!M8</f>
        <v>10208373.206701221</v>
      </c>
      <c r="M18" s="45">
        <f>+IndiceCantidadesTrabajo!N8</f>
        <v>14748731.339264428</v>
      </c>
      <c r="N18" s="45">
        <f>+IndiceCantidadesTrabajo!O8</f>
        <v>15638298.79663155</v>
      </c>
      <c r="O18" s="287"/>
      <c r="Q18" s="287"/>
    </row>
    <row r="19" spans="2:18" ht="12" customHeight="1" outlineLevel="1">
      <c r="B19" s="46" t="s">
        <v>357</v>
      </c>
      <c r="C19" s="47">
        <f>+IndiceCantidadesMateriales!D8</f>
        <v>9195000</v>
      </c>
      <c r="D19" s="47">
        <f>+IndiceCantidadesMateriales!E8</f>
        <v>10265000</v>
      </c>
      <c r="E19" s="47">
        <f>+IndiceCantidadesMateriales!F8</f>
        <v>10381000</v>
      </c>
      <c r="F19" s="47">
        <f>+IndiceCantidadesMateriales!G8</f>
        <v>10742579.554272298</v>
      </c>
      <c r="G19" s="47"/>
      <c r="H19" s="47">
        <f>+IndiceCantidadesMateriales!I8</f>
        <v>12201271</v>
      </c>
      <c r="I19" s="47">
        <f>+IndiceCantidadesMateriales!J8</f>
        <v>12885255.92</v>
      </c>
      <c r="J19" s="47">
        <f>+IndiceCantidadesMateriales!K8</f>
        <v>14038631.9</v>
      </c>
      <c r="K19" s="47">
        <f>+IndiceCantidadesMateriales!L8</f>
        <v>14808441.120000001</v>
      </c>
      <c r="L19" s="47">
        <f>+IndiceCantidadesMateriales!M8</f>
        <v>15519436.08</v>
      </c>
      <c r="M19" s="47">
        <f>+IndiceCantidadesMateriales!N8</f>
        <v>18347350.490000002</v>
      </c>
      <c r="N19" s="47">
        <f>+IndiceCantidadesMateriales!O8</f>
        <v>20862866.59</v>
      </c>
    </row>
    <row r="20" spans="2:18" ht="12" customHeight="1" outlineLevel="1">
      <c r="B20" s="312" t="s">
        <v>361</v>
      </c>
      <c r="C20" s="313">
        <f t="shared" ref="C20:N20" si="5">+SUM(C21:C23)</f>
        <v>22809321.555023573</v>
      </c>
      <c r="D20" s="313">
        <f t="shared" si="5"/>
        <v>21812486.897857454</v>
      </c>
      <c r="E20" s="313">
        <f t="shared" si="5"/>
        <v>23671025.003227491</v>
      </c>
      <c r="F20" s="313">
        <f t="shared" si="5"/>
        <v>21478825.057296447</v>
      </c>
      <c r="G20" s="313"/>
      <c r="H20" s="313">
        <f t="shared" si="5"/>
        <v>31130647.450718418</v>
      </c>
      <c r="I20" s="313">
        <f t="shared" si="5"/>
        <v>47250704.285990842</v>
      </c>
      <c r="J20" s="313">
        <f t="shared" si="5"/>
        <v>37970947.591546126</v>
      </c>
      <c r="K20" s="313">
        <f t="shared" si="5"/>
        <v>64216936.579757847</v>
      </c>
      <c r="L20" s="313">
        <f t="shared" si="5"/>
        <v>56618784.140548587</v>
      </c>
      <c r="M20" s="313">
        <f t="shared" si="5"/>
        <v>63507064.60773021</v>
      </c>
      <c r="N20" s="313">
        <f t="shared" si="5"/>
        <v>69788840.026554465</v>
      </c>
    </row>
    <row r="21" spans="2:18" ht="12" customHeight="1" outlineLevel="1">
      <c r="B21" s="46" t="s">
        <v>355</v>
      </c>
      <c r="C21" s="47">
        <f>+IndiceCantidadesCapital!D10</f>
        <v>10022336.2118569</v>
      </c>
      <c r="D21" s="47">
        <f>+IndiceCantidadesCapital!E10</f>
        <v>7096610.8437625095</v>
      </c>
      <c r="E21" s="47">
        <f>+IndiceCantidadesCapital!F10</f>
        <v>7491390.857864893</v>
      </c>
      <c r="F21" s="47">
        <f>+IndiceCantidadesCapital!G10</f>
        <v>4758014.2775229132</v>
      </c>
      <c r="G21" s="47"/>
      <c r="H21" s="47">
        <f>+IndiceCantidadesCapital!I10</f>
        <v>13965977.986894405</v>
      </c>
      <c r="I21" s="47">
        <f>+IndiceCantidadesCapital!J10</f>
        <v>27995369.681871925</v>
      </c>
      <c r="J21" s="47">
        <f>+IndiceCantidadesCapital!K10</f>
        <v>15664404.82790021</v>
      </c>
      <c r="K21" s="47">
        <f>+IndiceCantidadesCapital!L10</f>
        <v>41274231.424614228</v>
      </c>
      <c r="L21" s="47">
        <f>+IndiceCantidadesCapital!M10</f>
        <v>30636931.560356013</v>
      </c>
      <c r="M21" s="47">
        <f>+IndiceCantidadesCapital!N10</f>
        <v>32632797.376202267</v>
      </c>
      <c r="N21" s="47">
        <f>+IndiceCantidadesCapital!O10</f>
        <v>35984966.401287496</v>
      </c>
    </row>
    <row r="22" spans="2:18" ht="12" customHeight="1" outlineLevel="1">
      <c r="B22" s="44" t="s">
        <v>356</v>
      </c>
      <c r="C22" s="45">
        <f>+IndiceCantidadesTrabajo!D9</f>
        <v>3906642.1788427522</v>
      </c>
      <c r="D22" s="45">
        <f>+IndiceCantidadesTrabajo!E9</f>
        <v>5035001.7114065764</v>
      </c>
      <c r="E22" s="45">
        <f>+IndiceCantidadesTrabajo!F9</f>
        <v>5429934.2637762539</v>
      </c>
      <c r="F22" s="45">
        <f>+IndiceCantidadesTrabajo!G9</f>
        <v>5681890.4216013812</v>
      </c>
      <c r="G22" s="45"/>
      <c r="H22" s="45">
        <f>+IndiceCantidadesTrabajo!I9</f>
        <v>5944634.9925851449</v>
      </c>
      <c r="I22" s="45">
        <f>+IndiceCantidadesTrabajo!J9</f>
        <v>6315957.2879309934</v>
      </c>
      <c r="J22" s="45">
        <f>+IndiceCantidadesTrabajo!K9</f>
        <v>7975801.9731854182</v>
      </c>
      <c r="K22" s="45">
        <f>+IndiceCantidadesTrabajo!L9</f>
        <v>8995335.5719160233</v>
      </c>
      <c r="L22" s="45">
        <f>+IndiceCantidadesTrabajo!M9</f>
        <v>9822648.8653966822</v>
      </c>
      <c r="M22" s="45">
        <f>+IndiceCantidadesTrabajo!N9</f>
        <v>14369448.06415168</v>
      </c>
      <c r="N22" s="45">
        <f>+IndiceCantidadesTrabajo!O9</f>
        <v>13919901.19303159</v>
      </c>
      <c r="O22" s="287"/>
      <c r="P22" s="301"/>
      <c r="Q22" s="301"/>
    </row>
    <row r="23" spans="2:18" ht="12" customHeight="1" outlineLevel="1">
      <c r="B23" s="46" t="s">
        <v>357</v>
      </c>
      <c r="C23" s="47">
        <f>+IndiceCantidadesMateriales!D9</f>
        <v>8880343.1643239204</v>
      </c>
      <c r="D23" s="47">
        <f>+IndiceCantidadesMateriales!E9</f>
        <v>9680874.3426883668</v>
      </c>
      <c r="E23" s="47">
        <f>+IndiceCantidadesMateriales!F9</f>
        <v>10749699.881586343</v>
      </c>
      <c r="F23" s="47">
        <f>+IndiceCantidadesMateriales!G9</f>
        <v>11038920.35817215</v>
      </c>
      <c r="G23" s="47"/>
      <c r="H23" s="47">
        <f>+IndiceCantidadesMateriales!I9</f>
        <v>11220034.471238868</v>
      </c>
      <c r="I23" s="47">
        <f>+IndiceCantidadesMateriales!J9</f>
        <v>12939377.316187927</v>
      </c>
      <c r="J23" s="47">
        <f>+IndiceCantidadesMateriales!K9</f>
        <v>14330740.790460497</v>
      </c>
      <c r="K23" s="47">
        <f>+IndiceCantidadesMateriales!L9</f>
        <v>13947369.583227597</v>
      </c>
      <c r="L23" s="47">
        <f>+IndiceCantidadesMateriales!M9</f>
        <v>16159203.714795891</v>
      </c>
      <c r="M23" s="47">
        <f>+IndiceCantidadesMateriales!N9</f>
        <v>16504819.167376265</v>
      </c>
      <c r="N23" s="47">
        <f>+IndiceCantidadesMateriales!O9</f>
        <v>19883972.432235371</v>
      </c>
      <c r="P23" s="301"/>
      <c r="Q23" s="301"/>
    </row>
    <row r="24" spans="2:18" s="289" customFormat="1" ht="12" customHeight="1" outlineLevel="1">
      <c r="B24" s="312" t="s">
        <v>362</v>
      </c>
      <c r="C24" s="314">
        <f t="shared" ref="C24:N24" si="6">+C16/C20</f>
        <v>1.1224234088358913</v>
      </c>
      <c r="D24" s="314">
        <f t="shared" si="6"/>
        <v>1.0489139043762754</v>
      </c>
      <c r="E24" s="314">
        <f t="shared" si="6"/>
        <v>0.96218230664850202</v>
      </c>
      <c r="F24" s="314">
        <f t="shared" si="6"/>
        <v>1.2721653435022366</v>
      </c>
      <c r="G24" s="314"/>
      <c r="H24" s="314">
        <f t="shared" si="6"/>
        <v>1.280947049062344</v>
      </c>
      <c r="I24" s="314">
        <f t="shared" si="6"/>
        <v>1.0303137911107996</v>
      </c>
      <c r="J24" s="314">
        <f t="shared" si="6"/>
        <v>0.9879387315377488</v>
      </c>
      <c r="K24" s="314">
        <f t="shared" si="6"/>
        <v>1.0649971118687982</v>
      </c>
      <c r="L24" s="314">
        <f t="shared" si="6"/>
        <v>1.0490886801382473</v>
      </c>
      <c r="M24" s="314">
        <f t="shared" si="6"/>
        <v>1.0035286272411499</v>
      </c>
      <c r="N24" s="314">
        <f t="shared" si="6"/>
        <v>1.0353369910617729</v>
      </c>
      <c r="P24" s="301"/>
      <c r="Q24" s="301"/>
      <c r="R24" s="177"/>
    </row>
    <row r="25" spans="2:18" outlineLevel="1"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P25" s="301"/>
      <c r="Q25" s="301"/>
      <c r="R25" s="301"/>
    </row>
    <row r="26" spans="2:18">
      <c r="C26" s="292"/>
      <c r="D26" s="292"/>
      <c r="E26" s="292"/>
      <c r="F26" s="292"/>
      <c r="G26" s="292"/>
      <c r="H26" s="292"/>
      <c r="I26" s="292"/>
      <c r="J26" s="292"/>
      <c r="K26" s="292"/>
      <c r="L26" s="292"/>
      <c r="M26" s="292"/>
      <c r="N26" s="292"/>
    </row>
    <row r="27" spans="2:18">
      <c r="C27" s="293"/>
      <c r="D27" s="293"/>
      <c r="E27" s="293"/>
      <c r="F27" s="293"/>
      <c r="G27" s="293"/>
      <c r="H27" s="293"/>
      <c r="I27" s="293"/>
      <c r="J27" s="293"/>
      <c r="K27" s="293"/>
      <c r="L27" s="293"/>
      <c r="M27" s="293"/>
      <c r="N27" s="293"/>
    </row>
    <row r="28" spans="2:18" s="288" customFormat="1" ht="16.5" customHeight="1" thickBot="1">
      <c r="B28" s="42" t="s">
        <v>526</v>
      </c>
      <c r="C28" s="42">
        <v>2002</v>
      </c>
      <c r="D28" s="42">
        <f t="shared" ref="D28:I28" si="7">C28+1</f>
        <v>2003</v>
      </c>
      <c r="E28" s="42">
        <f t="shared" si="7"/>
        <v>2004</v>
      </c>
      <c r="F28" s="49" t="s">
        <v>469</v>
      </c>
      <c r="G28" s="88">
        <v>2005</v>
      </c>
      <c r="H28" s="42">
        <f t="shared" si="7"/>
        <v>2006</v>
      </c>
      <c r="I28" s="42">
        <f t="shared" si="7"/>
        <v>2007</v>
      </c>
      <c r="J28" s="42">
        <f>I28+1</f>
        <v>2008</v>
      </c>
      <c r="K28" s="42">
        <f>J28+1</f>
        <v>2009</v>
      </c>
      <c r="L28" s="42">
        <f>K28+1</f>
        <v>2010</v>
      </c>
      <c r="M28" s="42">
        <f>L28+1</f>
        <v>2011</v>
      </c>
      <c r="N28" s="42">
        <f>M28+1</f>
        <v>2012</v>
      </c>
      <c r="O28" s="177"/>
      <c r="Q28" s="177"/>
    </row>
    <row r="29" spans="2:18" ht="12.75" customHeight="1" thickTop="1">
      <c r="B29" s="44" t="s">
        <v>522</v>
      </c>
      <c r="C29" s="316">
        <f>+C14</f>
        <v>1.1029059607700511</v>
      </c>
      <c r="D29" s="316">
        <f t="shared" ref="D29:N29" si="8">+D14</f>
        <v>1.0420894256854663</v>
      </c>
      <c r="E29" s="316">
        <f t="shared" si="8"/>
        <v>0.96327429334115278</v>
      </c>
      <c r="F29" s="316">
        <f t="shared" si="8"/>
        <v>1.3676758723354128</v>
      </c>
      <c r="G29" s="316"/>
      <c r="H29" s="316">
        <f t="shared" si="8"/>
        <v>1.2540855075367294</v>
      </c>
      <c r="I29" s="316">
        <f t="shared" si="8"/>
        <v>1.0351729298481704</v>
      </c>
      <c r="J29" s="316">
        <f t="shared" si="8"/>
        <v>0.97532462060969027</v>
      </c>
      <c r="K29" s="316">
        <f t="shared" si="8"/>
        <v>1.0575858755455112</v>
      </c>
      <c r="L29" s="316">
        <f t="shared" si="8"/>
        <v>1.0605583172946504</v>
      </c>
      <c r="M29" s="316">
        <f t="shared" si="8"/>
        <v>0.99902476838217247</v>
      </c>
      <c r="N29" s="316">
        <f t="shared" si="8"/>
        <v>1.039548707945404</v>
      </c>
    </row>
    <row r="30" spans="2:18" ht="12.75" customHeight="1">
      <c r="B30" s="46" t="s">
        <v>523</v>
      </c>
      <c r="C30" s="315">
        <f>+C24</f>
        <v>1.1224234088358913</v>
      </c>
      <c r="D30" s="315">
        <f>+D24</f>
        <v>1.0489139043762754</v>
      </c>
      <c r="E30" s="315">
        <f>+E24</f>
        <v>0.96218230664850202</v>
      </c>
      <c r="F30" s="315">
        <f>+F24</f>
        <v>1.2721653435022366</v>
      </c>
      <c r="G30" s="315"/>
      <c r="H30" s="315">
        <f t="shared" ref="H30:N30" si="9">+H24</f>
        <v>1.280947049062344</v>
      </c>
      <c r="I30" s="315">
        <f t="shared" si="9"/>
        <v>1.0303137911107996</v>
      </c>
      <c r="J30" s="315">
        <f t="shared" si="9"/>
        <v>0.9879387315377488</v>
      </c>
      <c r="K30" s="315">
        <f t="shared" si="9"/>
        <v>1.0649971118687982</v>
      </c>
      <c r="L30" s="315">
        <f t="shared" si="9"/>
        <v>1.0490886801382473</v>
      </c>
      <c r="M30" s="315">
        <f t="shared" si="9"/>
        <v>1.0035286272411499</v>
      </c>
      <c r="N30" s="315">
        <f t="shared" si="9"/>
        <v>1.0353369910617729</v>
      </c>
      <c r="O30" s="292"/>
    </row>
    <row r="31" spans="2:18" ht="12.75" customHeight="1">
      <c r="B31" s="44" t="s">
        <v>524</v>
      </c>
      <c r="C31" s="316">
        <f>(C29*C30)^0.5</f>
        <v>1.1126218891038162</v>
      </c>
      <c r="D31" s="316">
        <f t="shared" ref="D31:N31" si="10">(D29*D30)^0.5</f>
        <v>1.0454960966952354</v>
      </c>
      <c r="E31" s="316">
        <f t="shared" si="10"/>
        <v>0.9627281451698585</v>
      </c>
      <c r="F31" s="316">
        <f t="shared" si="10"/>
        <v>1.3190564225723256</v>
      </c>
      <c r="G31" s="316"/>
      <c r="H31" s="316">
        <f t="shared" si="10"/>
        <v>1.2674451191870304</v>
      </c>
      <c r="I31" s="316">
        <f t="shared" si="10"/>
        <v>1.0327405026467891</v>
      </c>
      <c r="J31" s="316">
        <f t="shared" si="10"/>
        <v>0.98161141421780207</v>
      </c>
      <c r="K31" s="316">
        <f t="shared" si="10"/>
        <v>1.0612850243969354</v>
      </c>
      <c r="L31" s="316">
        <f t="shared" si="10"/>
        <v>1.05480790919498</v>
      </c>
      <c r="M31" s="316">
        <f t="shared" si="10"/>
        <v>1.0012741654484396</v>
      </c>
      <c r="N31" s="316">
        <f t="shared" si="10"/>
        <v>1.0374407122078584</v>
      </c>
      <c r="O31" s="374"/>
    </row>
    <row r="32" spans="2:18" ht="12.75" customHeight="1">
      <c r="B32" s="46" t="s">
        <v>529</v>
      </c>
      <c r="C32" s="395">
        <f>LN(C31)</f>
        <v>0.10671929229603024</v>
      </c>
      <c r="D32" s="395">
        <f t="shared" ref="D32:F32" si="11">LN(D31)</f>
        <v>4.44915064460433E-2</v>
      </c>
      <c r="E32" s="395">
        <f t="shared" si="11"/>
        <v>-3.7984206965594167E-2</v>
      </c>
      <c r="F32" s="395">
        <f t="shared" si="11"/>
        <v>0.27691664959990236</v>
      </c>
      <c r="G32" s="395"/>
      <c r="H32" s="395">
        <f t="shared" ref="H32:N32" si="12">LN(H31)</f>
        <v>0.23700315707402439</v>
      </c>
      <c r="I32" s="395">
        <f t="shared" si="12"/>
        <v>3.2215951074082427E-2</v>
      </c>
      <c r="J32" s="395">
        <f t="shared" si="12"/>
        <v>-1.8559757476797112E-2</v>
      </c>
      <c r="K32" s="395">
        <f t="shared" si="12"/>
        <v>5.9480461064144292E-2</v>
      </c>
      <c r="L32" s="395">
        <f t="shared" si="12"/>
        <v>5.3358673757638725E-2</v>
      </c>
      <c r="M32" s="395">
        <f t="shared" si="12"/>
        <v>1.2733543885211937E-3</v>
      </c>
      <c r="N32" s="395">
        <f t="shared" si="12"/>
        <v>3.6756826629991066E-2</v>
      </c>
      <c r="R32" s="301"/>
    </row>
    <row r="33" spans="1:18" ht="12.75" customHeight="1">
      <c r="A33" s="294"/>
      <c r="B33" s="312" t="s">
        <v>527</v>
      </c>
      <c r="C33" s="330"/>
      <c r="D33" s="330"/>
      <c r="E33" s="330"/>
      <c r="F33" s="330"/>
      <c r="G33" s="330"/>
      <c r="H33" s="330"/>
      <c r="I33" s="330"/>
      <c r="J33" s="330"/>
      <c r="K33" s="330"/>
      <c r="L33" s="330"/>
      <c r="M33" s="330"/>
      <c r="N33" s="330">
        <f>AVERAGE(C32:N32)</f>
        <v>7.197017344436242E-2</v>
      </c>
      <c r="P33" s="393"/>
      <c r="Q33" s="397"/>
      <c r="R33" s="301"/>
    </row>
    <row r="34" spans="1:18" ht="18.75" customHeight="1">
      <c r="B34" s="295"/>
      <c r="C34" s="296"/>
      <c r="D34" s="296"/>
      <c r="E34" s="296"/>
      <c r="F34" s="296"/>
      <c r="G34" s="296"/>
      <c r="H34" s="91"/>
      <c r="I34" s="91"/>
      <c r="J34" s="91"/>
      <c r="K34" s="91"/>
      <c r="P34" s="393"/>
      <c r="Q34" s="301"/>
    </row>
    <row r="35" spans="1:18" s="288" customFormat="1" ht="16.5" customHeight="1" thickBot="1">
      <c r="B35" s="42" t="s">
        <v>364</v>
      </c>
      <c r="C35" s="42">
        <v>2002</v>
      </c>
      <c r="D35" s="42">
        <f t="shared" ref="D35:I35" si="13">+C35+1</f>
        <v>2003</v>
      </c>
      <c r="E35" s="42">
        <f t="shared" si="13"/>
        <v>2004</v>
      </c>
      <c r="F35" s="49" t="s">
        <v>469</v>
      </c>
      <c r="G35" s="88">
        <v>2005</v>
      </c>
      <c r="H35" s="42">
        <f t="shared" si="13"/>
        <v>2006</v>
      </c>
      <c r="I35" s="42">
        <f t="shared" si="13"/>
        <v>2007</v>
      </c>
      <c r="J35" s="42">
        <f>+I35+1</f>
        <v>2008</v>
      </c>
      <c r="K35" s="42">
        <f>+J35+1</f>
        <v>2009</v>
      </c>
      <c r="L35" s="42">
        <f>+K35+1</f>
        <v>2010</v>
      </c>
      <c r="M35" s="42">
        <f>+L35+1</f>
        <v>2011</v>
      </c>
      <c r="N35" s="42">
        <f>+M35+1</f>
        <v>2012</v>
      </c>
      <c r="O35" s="177"/>
    </row>
    <row r="36" spans="1:18" ht="14.25" customHeight="1" thickTop="1">
      <c r="B36" s="312" t="s">
        <v>365</v>
      </c>
      <c r="C36" s="314">
        <f>+IndiceCantidadesServicios!D14</f>
        <v>1.0314017551079231</v>
      </c>
      <c r="D36" s="314">
        <f>+IndiceCantidadesServicios!E14</f>
        <v>1.0302851282519596</v>
      </c>
      <c r="E36" s="314">
        <f>+IndiceCantidadesServicios!F14</f>
        <v>1.0923451796827859</v>
      </c>
      <c r="F36" s="314">
        <f>+IndiceCantidadesServicios!G14</f>
        <v>1.096821293620869</v>
      </c>
      <c r="G36" s="314"/>
      <c r="H36" s="314">
        <f>+IndiceCantidadesServicios!I14</f>
        <v>1.0592325831664544</v>
      </c>
      <c r="I36" s="314">
        <f>+IndiceCantidadesServicios!J14</f>
        <v>1.2010569242422615</v>
      </c>
      <c r="J36" s="314">
        <f>+IndiceCantidadesServicios!K14</f>
        <v>1.0916468753229018</v>
      </c>
      <c r="K36" s="314">
        <f>+IndiceCantidadesServicios!L14</f>
        <v>1.0724969299079892</v>
      </c>
      <c r="L36" s="314">
        <f>+IndiceCantidadesServicios!M14</f>
        <v>1.1136121034905857</v>
      </c>
      <c r="M36" s="314">
        <f>+IndiceCantidadesServicios!N14</f>
        <v>1.1167857471138953</v>
      </c>
      <c r="N36" s="314">
        <f>+IndiceCantidadesServicios!O14</f>
        <v>1.1051043427033724</v>
      </c>
      <c r="Q36" s="301"/>
    </row>
    <row r="37" spans="1:18" ht="14.25" customHeight="1">
      <c r="B37" s="46" t="s">
        <v>366</v>
      </c>
      <c r="C37" s="315">
        <f>(C29*C30)^0.5</f>
        <v>1.1126218891038162</v>
      </c>
      <c r="D37" s="315">
        <f>(D29*D30)^0.5</f>
        <v>1.0454960966952354</v>
      </c>
      <c r="E37" s="315">
        <f>(E29*E30)^0.5</f>
        <v>0.9627281451698585</v>
      </c>
      <c r="F37" s="315">
        <f>(F29*F30)^0.5</f>
        <v>1.3190564225723256</v>
      </c>
      <c r="G37" s="315"/>
      <c r="H37" s="315">
        <f t="shared" ref="H37:N37" si="14">(H29*H30)^0.5</f>
        <v>1.2674451191870304</v>
      </c>
      <c r="I37" s="315">
        <f t="shared" si="14"/>
        <v>1.0327405026467891</v>
      </c>
      <c r="J37" s="315">
        <f t="shared" si="14"/>
        <v>0.98161141421780207</v>
      </c>
      <c r="K37" s="315">
        <f t="shared" si="14"/>
        <v>1.0612850243969354</v>
      </c>
      <c r="L37" s="315">
        <f t="shared" si="14"/>
        <v>1.05480790919498</v>
      </c>
      <c r="M37" s="315">
        <f t="shared" si="14"/>
        <v>1.0012741654484396</v>
      </c>
      <c r="N37" s="315">
        <f t="shared" si="14"/>
        <v>1.0374407122078584</v>
      </c>
    </row>
    <row r="38" spans="1:18" ht="14.25" customHeight="1">
      <c r="B38" s="44" t="s">
        <v>367</v>
      </c>
      <c r="C38" s="316">
        <f>C36/C37</f>
        <v>0.92700113597323386</v>
      </c>
      <c r="D38" s="316">
        <f t="shared" ref="D38:I38" si="15">D36/D37</f>
        <v>0.98545095625764945</v>
      </c>
      <c r="E38" s="316">
        <f t="shared" si="15"/>
        <v>1.1346351357475464</v>
      </c>
      <c r="F38" s="316">
        <f t="shared" si="15"/>
        <v>0.83151961876045444</v>
      </c>
      <c r="G38" s="316"/>
      <c r="H38" s="316">
        <f t="shared" si="15"/>
        <v>0.83572264166031229</v>
      </c>
      <c r="I38" s="316">
        <f t="shared" si="15"/>
        <v>1.1629803626023167</v>
      </c>
      <c r="J38" s="316">
        <f>J36/J37</f>
        <v>1.1120967620295874</v>
      </c>
      <c r="K38" s="316">
        <f>K36/K37</f>
        <v>1.0105644621881147</v>
      </c>
      <c r="L38" s="316">
        <f>L36/L37</f>
        <v>1.0557487233296199</v>
      </c>
      <c r="M38" s="316">
        <f>M36/M37</f>
        <v>1.1153645880933338</v>
      </c>
      <c r="N38" s="316">
        <f>N36/N37</f>
        <v>1.065221684188115</v>
      </c>
    </row>
    <row r="39" spans="1:18" ht="14.25" customHeight="1">
      <c r="B39" s="46" t="s">
        <v>528</v>
      </c>
      <c r="C39" s="329">
        <f>LN(C38)</f>
        <v>-7.5800487987438506E-2</v>
      </c>
      <c r="D39" s="329">
        <f t="shared" ref="D39:I39" si="16">LN(D38)</f>
        <v>-1.4655918967475088E-2</v>
      </c>
      <c r="E39" s="329">
        <f t="shared" si="16"/>
        <v>0.12631113295027699</v>
      </c>
      <c r="F39" s="329">
        <f>LN(F38)</f>
        <v>-0.18450038620722872</v>
      </c>
      <c r="G39" s="329"/>
      <c r="H39" s="329">
        <f t="shared" si="16"/>
        <v>-0.17945848929363847</v>
      </c>
      <c r="I39" s="329">
        <f t="shared" si="16"/>
        <v>0.15098598827128656</v>
      </c>
      <c r="J39" s="329">
        <f>LN(J38)</f>
        <v>0.10624720825635726</v>
      </c>
      <c r="K39" s="329">
        <f>LN(K38)</f>
        <v>1.0509048195140137E-2</v>
      </c>
      <c r="L39" s="329">
        <f>LN(L38)</f>
        <v>5.4250205576739943E-2</v>
      </c>
      <c r="M39" s="329">
        <f>LN(M38)</f>
        <v>0.10918133630126173</v>
      </c>
      <c r="N39" s="329">
        <f>LN(N38)</f>
        <v>6.3182931667559769E-2</v>
      </c>
      <c r="Q39" s="301"/>
    </row>
    <row r="40" spans="1:18" ht="14.25" customHeight="1">
      <c r="B40" s="312" t="s">
        <v>363</v>
      </c>
      <c r="C40" s="330"/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30">
        <f>AVERAGE(C39:N39)</f>
        <v>1.5113869887531052E-2</v>
      </c>
    </row>
    <row r="41" spans="1:18" s="91" customFormat="1" ht="18.75" customHeight="1">
      <c r="C41" s="299"/>
      <c r="D41" s="299"/>
      <c r="E41" s="299"/>
      <c r="F41" s="299"/>
      <c r="G41" s="299"/>
      <c r="H41" s="299"/>
      <c r="I41" s="299"/>
      <c r="J41" s="299"/>
      <c r="K41" s="299"/>
      <c r="L41" s="299"/>
      <c r="M41" s="299"/>
      <c r="N41" s="299"/>
    </row>
  </sheetData>
  <mergeCells count="1">
    <mergeCell ref="C2:F2"/>
  </mergeCells>
  <hyperlinks>
    <hyperlink ref="C2:F2" location="Indice!D3" display="ÍNDICE"/>
    <hyperlink ref="Q5:T5" location="Factor_de_Productividad!D3" display="Back to Factor X"/>
  </hyperlink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26">
    <tabColor rgb="FFFFC000"/>
  </sheetPr>
  <dimension ref="A1:S32"/>
  <sheetViews>
    <sheetView showGridLines="0" workbookViewId="0">
      <selection activeCell="E1" sqref="E1:H1"/>
    </sheetView>
  </sheetViews>
  <sheetFormatPr baseColWidth="10" defaultRowHeight="9" outlineLevelRow="2"/>
  <cols>
    <col min="1" max="1" width="21.140625" style="7" customWidth="1"/>
    <col min="2" max="15" width="9.42578125" style="2" customWidth="1"/>
    <col min="16" max="16" width="9" style="3" customWidth="1"/>
    <col min="17" max="17" width="4.28515625" style="2" customWidth="1"/>
    <col min="18" max="19" width="4.28515625" style="3" customWidth="1"/>
    <col min="20" max="20" width="4.28515625" style="2" customWidth="1"/>
    <col min="21" max="254" width="11.42578125" style="2"/>
    <col min="255" max="255" width="3.28515625" style="2" customWidth="1"/>
    <col min="256" max="256" width="12.7109375" style="2" customWidth="1"/>
    <col min="257" max="257" width="28.140625" style="2" customWidth="1"/>
    <col min="258" max="270" width="8.5703125" style="2" bestFit="1" customWidth="1"/>
    <col min="271" max="271" width="10.42578125" style="2" bestFit="1" customWidth="1"/>
    <col min="272" max="275" width="9" style="2" customWidth="1"/>
    <col min="276" max="510" width="11.42578125" style="2"/>
    <col min="511" max="511" width="3.28515625" style="2" customWidth="1"/>
    <col min="512" max="512" width="12.7109375" style="2" customWidth="1"/>
    <col min="513" max="513" width="28.140625" style="2" customWidth="1"/>
    <col min="514" max="526" width="8.5703125" style="2" bestFit="1" customWidth="1"/>
    <col min="527" max="527" width="10.42578125" style="2" bestFit="1" customWidth="1"/>
    <col min="528" max="531" width="9" style="2" customWidth="1"/>
    <col min="532" max="766" width="11.42578125" style="2"/>
    <col min="767" max="767" width="3.28515625" style="2" customWidth="1"/>
    <col min="768" max="768" width="12.7109375" style="2" customWidth="1"/>
    <col min="769" max="769" width="28.140625" style="2" customWidth="1"/>
    <col min="770" max="782" width="8.5703125" style="2" bestFit="1" customWidth="1"/>
    <col min="783" max="783" width="10.42578125" style="2" bestFit="1" customWidth="1"/>
    <col min="784" max="787" width="9" style="2" customWidth="1"/>
    <col min="788" max="1022" width="11.42578125" style="2"/>
    <col min="1023" max="1023" width="3.28515625" style="2" customWidth="1"/>
    <col min="1024" max="1024" width="12.7109375" style="2" customWidth="1"/>
    <col min="1025" max="1025" width="28.140625" style="2" customWidth="1"/>
    <col min="1026" max="1038" width="8.5703125" style="2" bestFit="1" customWidth="1"/>
    <col min="1039" max="1039" width="10.42578125" style="2" bestFit="1" customWidth="1"/>
    <col min="1040" max="1043" width="9" style="2" customWidth="1"/>
    <col min="1044" max="1278" width="11.42578125" style="2"/>
    <col min="1279" max="1279" width="3.28515625" style="2" customWidth="1"/>
    <col min="1280" max="1280" width="12.7109375" style="2" customWidth="1"/>
    <col min="1281" max="1281" width="28.140625" style="2" customWidth="1"/>
    <col min="1282" max="1294" width="8.5703125" style="2" bestFit="1" customWidth="1"/>
    <col min="1295" max="1295" width="10.42578125" style="2" bestFit="1" customWidth="1"/>
    <col min="1296" max="1299" width="9" style="2" customWidth="1"/>
    <col min="1300" max="1534" width="11.42578125" style="2"/>
    <col min="1535" max="1535" width="3.28515625" style="2" customWidth="1"/>
    <col min="1536" max="1536" width="12.7109375" style="2" customWidth="1"/>
    <col min="1537" max="1537" width="28.140625" style="2" customWidth="1"/>
    <col min="1538" max="1550" width="8.5703125" style="2" bestFit="1" customWidth="1"/>
    <col min="1551" max="1551" width="10.42578125" style="2" bestFit="1" customWidth="1"/>
    <col min="1552" max="1555" width="9" style="2" customWidth="1"/>
    <col min="1556" max="1790" width="11.42578125" style="2"/>
    <col min="1791" max="1791" width="3.28515625" style="2" customWidth="1"/>
    <col min="1792" max="1792" width="12.7109375" style="2" customWidth="1"/>
    <col min="1793" max="1793" width="28.140625" style="2" customWidth="1"/>
    <col min="1794" max="1806" width="8.5703125" style="2" bestFit="1" customWidth="1"/>
    <col min="1807" max="1807" width="10.42578125" style="2" bestFit="1" customWidth="1"/>
    <col min="1808" max="1811" width="9" style="2" customWidth="1"/>
    <col min="1812" max="2046" width="11.42578125" style="2"/>
    <col min="2047" max="2047" width="3.28515625" style="2" customWidth="1"/>
    <col min="2048" max="2048" width="12.7109375" style="2" customWidth="1"/>
    <col min="2049" max="2049" width="28.140625" style="2" customWidth="1"/>
    <col min="2050" max="2062" width="8.5703125" style="2" bestFit="1" customWidth="1"/>
    <col min="2063" max="2063" width="10.42578125" style="2" bestFit="1" customWidth="1"/>
    <col min="2064" max="2067" width="9" style="2" customWidth="1"/>
    <col min="2068" max="2302" width="11.42578125" style="2"/>
    <col min="2303" max="2303" width="3.28515625" style="2" customWidth="1"/>
    <col min="2304" max="2304" width="12.7109375" style="2" customWidth="1"/>
    <col min="2305" max="2305" width="28.140625" style="2" customWidth="1"/>
    <col min="2306" max="2318" width="8.5703125" style="2" bestFit="1" customWidth="1"/>
    <col min="2319" max="2319" width="10.42578125" style="2" bestFit="1" customWidth="1"/>
    <col min="2320" max="2323" width="9" style="2" customWidth="1"/>
    <col min="2324" max="2558" width="11.42578125" style="2"/>
    <col min="2559" max="2559" width="3.28515625" style="2" customWidth="1"/>
    <col min="2560" max="2560" width="12.7109375" style="2" customWidth="1"/>
    <col min="2561" max="2561" width="28.140625" style="2" customWidth="1"/>
    <col min="2562" max="2574" width="8.5703125" style="2" bestFit="1" customWidth="1"/>
    <col min="2575" max="2575" width="10.42578125" style="2" bestFit="1" customWidth="1"/>
    <col min="2576" max="2579" width="9" style="2" customWidth="1"/>
    <col min="2580" max="2814" width="11.42578125" style="2"/>
    <col min="2815" max="2815" width="3.28515625" style="2" customWidth="1"/>
    <col min="2816" max="2816" width="12.7109375" style="2" customWidth="1"/>
    <col min="2817" max="2817" width="28.140625" style="2" customWidth="1"/>
    <col min="2818" max="2830" width="8.5703125" style="2" bestFit="1" customWidth="1"/>
    <col min="2831" max="2831" width="10.42578125" style="2" bestFit="1" customWidth="1"/>
    <col min="2832" max="2835" width="9" style="2" customWidth="1"/>
    <col min="2836" max="3070" width="11.42578125" style="2"/>
    <col min="3071" max="3071" width="3.28515625" style="2" customWidth="1"/>
    <col min="3072" max="3072" width="12.7109375" style="2" customWidth="1"/>
    <col min="3073" max="3073" width="28.140625" style="2" customWidth="1"/>
    <col min="3074" max="3086" width="8.5703125" style="2" bestFit="1" customWidth="1"/>
    <col min="3087" max="3087" width="10.42578125" style="2" bestFit="1" customWidth="1"/>
    <col min="3088" max="3091" width="9" style="2" customWidth="1"/>
    <col min="3092" max="3326" width="11.42578125" style="2"/>
    <col min="3327" max="3327" width="3.28515625" style="2" customWidth="1"/>
    <col min="3328" max="3328" width="12.7109375" style="2" customWidth="1"/>
    <col min="3329" max="3329" width="28.140625" style="2" customWidth="1"/>
    <col min="3330" max="3342" width="8.5703125" style="2" bestFit="1" customWidth="1"/>
    <col min="3343" max="3343" width="10.42578125" style="2" bestFit="1" customWidth="1"/>
    <col min="3344" max="3347" width="9" style="2" customWidth="1"/>
    <col min="3348" max="3582" width="11.42578125" style="2"/>
    <col min="3583" max="3583" width="3.28515625" style="2" customWidth="1"/>
    <col min="3584" max="3584" width="12.7109375" style="2" customWidth="1"/>
    <col min="3585" max="3585" width="28.140625" style="2" customWidth="1"/>
    <col min="3586" max="3598" width="8.5703125" style="2" bestFit="1" customWidth="1"/>
    <col min="3599" max="3599" width="10.42578125" style="2" bestFit="1" customWidth="1"/>
    <col min="3600" max="3603" width="9" style="2" customWidth="1"/>
    <col min="3604" max="3838" width="11.42578125" style="2"/>
    <col min="3839" max="3839" width="3.28515625" style="2" customWidth="1"/>
    <col min="3840" max="3840" width="12.7109375" style="2" customWidth="1"/>
    <col min="3841" max="3841" width="28.140625" style="2" customWidth="1"/>
    <col min="3842" max="3854" width="8.5703125" style="2" bestFit="1" customWidth="1"/>
    <col min="3855" max="3855" width="10.42578125" style="2" bestFit="1" customWidth="1"/>
    <col min="3856" max="3859" width="9" style="2" customWidth="1"/>
    <col min="3860" max="4094" width="11.42578125" style="2"/>
    <col min="4095" max="4095" width="3.28515625" style="2" customWidth="1"/>
    <col min="4096" max="4096" width="12.7109375" style="2" customWidth="1"/>
    <col min="4097" max="4097" width="28.140625" style="2" customWidth="1"/>
    <col min="4098" max="4110" width="8.5703125" style="2" bestFit="1" customWidth="1"/>
    <col min="4111" max="4111" width="10.42578125" style="2" bestFit="1" customWidth="1"/>
    <col min="4112" max="4115" width="9" style="2" customWidth="1"/>
    <col min="4116" max="4350" width="11.42578125" style="2"/>
    <col min="4351" max="4351" width="3.28515625" style="2" customWidth="1"/>
    <col min="4352" max="4352" width="12.7109375" style="2" customWidth="1"/>
    <col min="4353" max="4353" width="28.140625" style="2" customWidth="1"/>
    <col min="4354" max="4366" width="8.5703125" style="2" bestFit="1" customWidth="1"/>
    <col min="4367" max="4367" width="10.42578125" style="2" bestFit="1" customWidth="1"/>
    <col min="4368" max="4371" width="9" style="2" customWidth="1"/>
    <col min="4372" max="4606" width="11.42578125" style="2"/>
    <col min="4607" max="4607" width="3.28515625" style="2" customWidth="1"/>
    <col min="4608" max="4608" width="12.7109375" style="2" customWidth="1"/>
    <col min="4609" max="4609" width="28.140625" style="2" customWidth="1"/>
    <col min="4610" max="4622" width="8.5703125" style="2" bestFit="1" customWidth="1"/>
    <col min="4623" max="4623" width="10.42578125" style="2" bestFit="1" customWidth="1"/>
    <col min="4624" max="4627" width="9" style="2" customWidth="1"/>
    <col min="4628" max="4862" width="11.42578125" style="2"/>
    <col min="4863" max="4863" width="3.28515625" style="2" customWidth="1"/>
    <col min="4864" max="4864" width="12.7109375" style="2" customWidth="1"/>
    <col min="4865" max="4865" width="28.140625" style="2" customWidth="1"/>
    <col min="4866" max="4878" width="8.5703125" style="2" bestFit="1" customWidth="1"/>
    <col min="4879" max="4879" width="10.42578125" style="2" bestFit="1" customWidth="1"/>
    <col min="4880" max="4883" width="9" style="2" customWidth="1"/>
    <col min="4884" max="5118" width="11.42578125" style="2"/>
    <col min="5119" max="5119" width="3.28515625" style="2" customWidth="1"/>
    <col min="5120" max="5120" width="12.7109375" style="2" customWidth="1"/>
    <col min="5121" max="5121" width="28.140625" style="2" customWidth="1"/>
    <col min="5122" max="5134" width="8.5703125" style="2" bestFit="1" customWidth="1"/>
    <col min="5135" max="5135" width="10.42578125" style="2" bestFit="1" customWidth="1"/>
    <col min="5136" max="5139" width="9" style="2" customWidth="1"/>
    <col min="5140" max="5374" width="11.42578125" style="2"/>
    <col min="5375" max="5375" width="3.28515625" style="2" customWidth="1"/>
    <col min="5376" max="5376" width="12.7109375" style="2" customWidth="1"/>
    <col min="5377" max="5377" width="28.140625" style="2" customWidth="1"/>
    <col min="5378" max="5390" width="8.5703125" style="2" bestFit="1" customWidth="1"/>
    <col min="5391" max="5391" width="10.42578125" style="2" bestFit="1" customWidth="1"/>
    <col min="5392" max="5395" width="9" style="2" customWidth="1"/>
    <col min="5396" max="5630" width="11.42578125" style="2"/>
    <col min="5631" max="5631" width="3.28515625" style="2" customWidth="1"/>
    <col min="5632" max="5632" width="12.7109375" style="2" customWidth="1"/>
    <col min="5633" max="5633" width="28.140625" style="2" customWidth="1"/>
    <col min="5634" max="5646" width="8.5703125" style="2" bestFit="1" customWidth="1"/>
    <col min="5647" max="5647" width="10.42578125" style="2" bestFit="1" customWidth="1"/>
    <col min="5648" max="5651" width="9" style="2" customWidth="1"/>
    <col min="5652" max="5886" width="11.42578125" style="2"/>
    <col min="5887" max="5887" width="3.28515625" style="2" customWidth="1"/>
    <col min="5888" max="5888" width="12.7109375" style="2" customWidth="1"/>
    <col min="5889" max="5889" width="28.140625" style="2" customWidth="1"/>
    <col min="5890" max="5902" width="8.5703125" style="2" bestFit="1" customWidth="1"/>
    <col min="5903" max="5903" width="10.42578125" style="2" bestFit="1" customWidth="1"/>
    <col min="5904" max="5907" width="9" style="2" customWidth="1"/>
    <col min="5908" max="6142" width="11.42578125" style="2"/>
    <col min="6143" max="6143" width="3.28515625" style="2" customWidth="1"/>
    <col min="6144" max="6144" width="12.7109375" style="2" customWidth="1"/>
    <col min="6145" max="6145" width="28.140625" style="2" customWidth="1"/>
    <col min="6146" max="6158" width="8.5703125" style="2" bestFit="1" customWidth="1"/>
    <col min="6159" max="6159" width="10.42578125" style="2" bestFit="1" customWidth="1"/>
    <col min="6160" max="6163" width="9" style="2" customWidth="1"/>
    <col min="6164" max="6398" width="11.42578125" style="2"/>
    <col min="6399" max="6399" width="3.28515625" style="2" customWidth="1"/>
    <col min="6400" max="6400" width="12.7109375" style="2" customWidth="1"/>
    <col min="6401" max="6401" width="28.140625" style="2" customWidth="1"/>
    <col min="6402" max="6414" width="8.5703125" style="2" bestFit="1" customWidth="1"/>
    <col min="6415" max="6415" width="10.42578125" style="2" bestFit="1" customWidth="1"/>
    <col min="6416" max="6419" width="9" style="2" customWidth="1"/>
    <col min="6420" max="6654" width="11.42578125" style="2"/>
    <col min="6655" max="6655" width="3.28515625" style="2" customWidth="1"/>
    <col min="6656" max="6656" width="12.7109375" style="2" customWidth="1"/>
    <col min="6657" max="6657" width="28.140625" style="2" customWidth="1"/>
    <col min="6658" max="6670" width="8.5703125" style="2" bestFit="1" customWidth="1"/>
    <col min="6671" max="6671" width="10.42578125" style="2" bestFit="1" customWidth="1"/>
    <col min="6672" max="6675" width="9" style="2" customWidth="1"/>
    <col min="6676" max="6910" width="11.42578125" style="2"/>
    <col min="6911" max="6911" width="3.28515625" style="2" customWidth="1"/>
    <col min="6912" max="6912" width="12.7109375" style="2" customWidth="1"/>
    <col min="6913" max="6913" width="28.140625" style="2" customWidth="1"/>
    <col min="6914" max="6926" width="8.5703125" style="2" bestFit="1" customWidth="1"/>
    <col min="6927" max="6927" width="10.42578125" style="2" bestFit="1" customWidth="1"/>
    <col min="6928" max="6931" width="9" style="2" customWidth="1"/>
    <col min="6932" max="7166" width="11.42578125" style="2"/>
    <col min="7167" max="7167" width="3.28515625" style="2" customWidth="1"/>
    <col min="7168" max="7168" width="12.7109375" style="2" customWidth="1"/>
    <col min="7169" max="7169" width="28.140625" style="2" customWidth="1"/>
    <col min="7170" max="7182" width="8.5703125" style="2" bestFit="1" customWidth="1"/>
    <col min="7183" max="7183" width="10.42578125" style="2" bestFit="1" customWidth="1"/>
    <col min="7184" max="7187" width="9" style="2" customWidth="1"/>
    <col min="7188" max="7422" width="11.42578125" style="2"/>
    <col min="7423" max="7423" width="3.28515625" style="2" customWidth="1"/>
    <col min="7424" max="7424" width="12.7109375" style="2" customWidth="1"/>
    <col min="7425" max="7425" width="28.140625" style="2" customWidth="1"/>
    <col min="7426" max="7438" width="8.5703125" style="2" bestFit="1" customWidth="1"/>
    <col min="7439" max="7439" width="10.42578125" style="2" bestFit="1" customWidth="1"/>
    <col min="7440" max="7443" width="9" style="2" customWidth="1"/>
    <col min="7444" max="7678" width="11.42578125" style="2"/>
    <col min="7679" max="7679" width="3.28515625" style="2" customWidth="1"/>
    <col min="7680" max="7680" width="12.7109375" style="2" customWidth="1"/>
    <col min="7681" max="7681" width="28.140625" style="2" customWidth="1"/>
    <col min="7682" max="7694" width="8.5703125" style="2" bestFit="1" customWidth="1"/>
    <col min="7695" max="7695" width="10.42578125" style="2" bestFit="1" customWidth="1"/>
    <col min="7696" max="7699" width="9" style="2" customWidth="1"/>
    <col min="7700" max="7934" width="11.42578125" style="2"/>
    <col min="7935" max="7935" width="3.28515625" style="2" customWidth="1"/>
    <col min="7936" max="7936" width="12.7109375" style="2" customWidth="1"/>
    <col min="7937" max="7937" width="28.140625" style="2" customWidth="1"/>
    <col min="7938" max="7950" width="8.5703125" style="2" bestFit="1" customWidth="1"/>
    <col min="7951" max="7951" width="10.42578125" style="2" bestFit="1" customWidth="1"/>
    <col min="7952" max="7955" width="9" style="2" customWidth="1"/>
    <col min="7956" max="8190" width="11.42578125" style="2"/>
    <col min="8191" max="8191" width="3.28515625" style="2" customWidth="1"/>
    <col min="8192" max="8192" width="12.7109375" style="2" customWidth="1"/>
    <col min="8193" max="8193" width="28.140625" style="2" customWidth="1"/>
    <col min="8194" max="8206" width="8.5703125" style="2" bestFit="1" customWidth="1"/>
    <col min="8207" max="8207" width="10.42578125" style="2" bestFit="1" customWidth="1"/>
    <col min="8208" max="8211" width="9" style="2" customWidth="1"/>
    <col min="8212" max="8446" width="11.42578125" style="2"/>
    <col min="8447" max="8447" width="3.28515625" style="2" customWidth="1"/>
    <col min="8448" max="8448" width="12.7109375" style="2" customWidth="1"/>
    <col min="8449" max="8449" width="28.140625" style="2" customWidth="1"/>
    <col min="8450" max="8462" width="8.5703125" style="2" bestFit="1" customWidth="1"/>
    <col min="8463" max="8463" width="10.42578125" style="2" bestFit="1" customWidth="1"/>
    <col min="8464" max="8467" width="9" style="2" customWidth="1"/>
    <col min="8468" max="8702" width="11.42578125" style="2"/>
    <col min="8703" max="8703" width="3.28515625" style="2" customWidth="1"/>
    <col min="8704" max="8704" width="12.7109375" style="2" customWidth="1"/>
    <col min="8705" max="8705" width="28.140625" style="2" customWidth="1"/>
    <col min="8706" max="8718" width="8.5703125" style="2" bestFit="1" customWidth="1"/>
    <col min="8719" max="8719" width="10.42578125" style="2" bestFit="1" customWidth="1"/>
    <col min="8720" max="8723" width="9" style="2" customWidth="1"/>
    <col min="8724" max="8958" width="11.42578125" style="2"/>
    <col min="8959" max="8959" width="3.28515625" style="2" customWidth="1"/>
    <col min="8960" max="8960" width="12.7109375" style="2" customWidth="1"/>
    <col min="8961" max="8961" width="28.140625" style="2" customWidth="1"/>
    <col min="8962" max="8974" width="8.5703125" style="2" bestFit="1" customWidth="1"/>
    <col min="8975" max="8975" width="10.42578125" style="2" bestFit="1" customWidth="1"/>
    <col min="8976" max="8979" width="9" style="2" customWidth="1"/>
    <col min="8980" max="9214" width="11.42578125" style="2"/>
    <col min="9215" max="9215" width="3.28515625" style="2" customWidth="1"/>
    <col min="9216" max="9216" width="12.7109375" style="2" customWidth="1"/>
    <col min="9217" max="9217" width="28.140625" style="2" customWidth="1"/>
    <col min="9218" max="9230" width="8.5703125" style="2" bestFit="1" customWidth="1"/>
    <col min="9231" max="9231" width="10.42578125" style="2" bestFit="1" customWidth="1"/>
    <col min="9232" max="9235" width="9" style="2" customWidth="1"/>
    <col min="9236" max="9470" width="11.42578125" style="2"/>
    <col min="9471" max="9471" width="3.28515625" style="2" customWidth="1"/>
    <col min="9472" max="9472" width="12.7109375" style="2" customWidth="1"/>
    <col min="9473" max="9473" width="28.140625" style="2" customWidth="1"/>
    <col min="9474" max="9486" width="8.5703125" style="2" bestFit="1" customWidth="1"/>
    <col min="9487" max="9487" width="10.42578125" style="2" bestFit="1" customWidth="1"/>
    <col min="9488" max="9491" width="9" style="2" customWidth="1"/>
    <col min="9492" max="9726" width="11.42578125" style="2"/>
    <col min="9727" max="9727" width="3.28515625" style="2" customWidth="1"/>
    <col min="9728" max="9728" width="12.7109375" style="2" customWidth="1"/>
    <col min="9729" max="9729" width="28.140625" style="2" customWidth="1"/>
    <col min="9730" max="9742" width="8.5703125" style="2" bestFit="1" customWidth="1"/>
    <col min="9743" max="9743" width="10.42578125" style="2" bestFit="1" customWidth="1"/>
    <col min="9744" max="9747" width="9" style="2" customWidth="1"/>
    <col min="9748" max="9982" width="11.42578125" style="2"/>
    <col min="9983" max="9983" width="3.28515625" style="2" customWidth="1"/>
    <col min="9984" max="9984" width="12.7109375" style="2" customWidth="1"/>
    <col min="9985" max="9985" width="28.140625" style="2" customWidth="1"/>
    <col min="9986" max="9998" width="8.5703125" style="2" bestFit="1" customWidth="1"/>
    <col min="9999" max="9999" width="10.42578125" style="2" bestFit="1" customWidth="1"/>
    <col min="10000" max="10003" width="9" style="2" customWidth="1"/>
    <col min="10004" max="10238" width="11.42578125" style="2"/>
    <col min="10239" max="10239" width="3.28515625" style="2" customWidth="1"/>
    <col min="10240" max="10240" width="12.7109375" style="2" customWidth="1"/>
    <col min="10241" max="10241" width="28.140625" style="2" customWidth="1"/>
    <col min="10242" max="10254" width="8.5703125" style="2" bestFit="1" customWidth="1"/>
    <col min="10255" max="10255" width="10.42578125" style="2" bestFit="1" customWidth="1"/>
    <col min="10256" max="10259" width="9" style="2" customWidth="1"/>
    <col min="10260" max="10494" width="11.42578125" style="2"/>
    <col min="10495" max="10495" width="3.28515625" style="2" customWidth="1"/>
    <col min="10496" max="10496" width="12.7109375" style="2" customWidth="1"/>
    <col min="10497" max="10497" width="28.140625" style="2" customWidth="1"/>
    <col min="10498" max="10510" width="8.5703125" style="2" bestFit="1" customWidth="1"/>
    <col min="10511" max="10511" width="10.42578125" style="2" bestFit="1" customWidth="1"/>
    <col min="10512" max="10515" width="9" style="2" customWidth="1"/>
    <col min="10516" max="10750" width="11.42578125" style="2"/>
    <col min="10751" max="10751" width="3.28515625" style="2" customWidth="1"/>
    <col min="10752" max="10752" width="12.7109375" style="2" customWidth="1"/>
    <col min="10753" max="10753" width="28.140625" style="2" customWidth="1"/>
    <col min="10754" max="10766" width="8.5703125" style="2" bestFit="1" customWidth="1"/>
    <col min="10767" max="10767" width="10.42578125" style="2" bestFit="1" customWidth="1"/>
    <col min="10768" max="10771" width="9" style="2" customWidth="1"/>
    <col min="10772" max="11006" width="11.42578125" style="2"/>
    <col min="11007" max="11007" width="3.28515625" style="2" customWidth="1"/>
    <col min="11008" max="11008" width="12.7109375" style="2" customWidth="1"/>
    <col min="11009" max="11009" width="28.140625" style="2" customWidth="1"/>
    <col min="11010" max="11022" width="8.5703125" style="2" bestFit="1" customWidth="1"/>
    <col min="11023" max="11023" width="10.42578125" style="2" bestFit="1" customWidth="1"/>
    <col min="11024" max="11027" width="9" style="2" customWidth="1"/>
    <col min="11028" max="11262" width="11.42578125" style="2"/>
    <col min="11263" max="11263" width="3.28515625" style="2" customWidth="1"/>
    <col min="11264" max="11264" width="12.7109375" style="2" customWidth="1"/>
    <col min="11265" max="11265" width="28.140625" style="2" customWidth="1"/>
    <col min="11266" max="11278" width="8.5703125" style="2" bestFit="1" customWidth="1"/>
    <col min="11279" max="11279" width="10.42578125" style="2" bestFit="1" customWidth="1"/>
    <col min="11280" max="11283" width="9" style="2" customWidth="1"/>
    <col min="11284" max="11518" width="11.42578125" style="2"/>
    <col min="11519" max="11519" width="3.28515625" style="2" customWidth="1"/>
    <col min="11520" max="11520" width="12.7109375" style="2" customWidth="1"/>
    <col min="11521" max="11521" width="28.140625" style="2" customWidth="1"/>
    <col min="11522" max="11534" width="8.5703125" style="2" bestFit="1" customWidth="1"/>
    <col min="11535" max="11535" width="10.42578125" style="2" bestFit="1" customWidth="1"/>
    <col min="11536" max="11539" width="9" style="2" customWidth="1"/>
    <col min="11540" max="11774" width="11.42578125" style="2"/>
    <col min="11775" max="11775" width="3.28515625" style="2" customWidth="1"/>
    <col min="11776" max="11776" width="12.7109375" style="2" customWidth="1"/>
    <col min="11777" max="11777" width="28.140625" style="2" customWidth="1"/>
    <col min="11778" max="11790" width="8.5703125" style="2" bestFit="1" customWidth="1"/>
    <col min="11791" max="11791" width="10.42578125" style="2" bestFit="1" customWidth="1"/>
    <col min="11792" max="11795" width="9" style="2" customWidth="1"/>
    <col min="11796" max="12030" width="11.42578125" style="2"/>
    <col min="12031" max="12031" width="3.28515625" style="2" customWidth="1"/>
    <col min="12032" max="12032" width="12.7109375" style="2" customWidth="1"/>
    <col min="12033" max="12033" width="28.140625" style="2" customWidth="1"/>
    <col min="12034" max="12046" width="8.5703125" style="2" bestFit="1" customWidth="1"/>
    <col min="12047" max="12047" width="10.42578125" style="2" bestFit="1" customWidth="1"/>
    <col min="12048" max="12051" width="9" style="2" customWidth="1"/>
    <col min="12052" max="12286" width="11.42578125" style="2"/>
    <col min="12287" max="12287" width="3.28515625" style="2" customWidth="1"/>
    <col min="12288" max="12288" width="12.7109375" style="2" customWidth="1"/>
    <col min="12289" max="12289" width="28.140625" style="2" customWidth="1"/>
    <col min="12290" max="12302" width="8.5703125" style="2" bestFit="1" customWidth="1"/>
    <col min="12303" max="12303" width="10.42578125" style="2" bestFit="1" customWidth="1"/>
    <col min="12304" max="12307" width="9" style="2" customWidth="1"/>
    <col min="12308" max="12542" width="11.42578125" style="2"/>
    <col min="12543" max="12543" width="3.28515625" style="2" customWidth="1"/>
    <col min="12544" max="12544" width="12.7109375" style="2" customWidth="1"/>
    <col min="12545" max="12545" width="28.140625" style="2" customWidth="1"/>
    <col min="12546" max="12558" width="8.5703125" style="2" bestFit="1" customWidth="1"/>
    <col min="12559" max="12559" width="10.42578125" style="2" bestFit="1" customWidth="1"/>
    <col min="12560" max="12563" width="9" style="2" customWidth="1"/>
    <col min="12564" max="12798" width="11.42578125" style="2"/>
    <col min="12799" max="12799" width="3.28515625" style="2" customWidth="1"/>
    <col min="12800" max="12800" width="12.7109375" style="2" customWidth="1"/>
    <col min="12801" max="12801" width="28.140625" style="2" customWidth="1"/>
    <col min="12802" max="12814" width="8.5703125" style="2" bestFit="1" customWidth="1"/>
    <col min="12815" max="12815" width="10.42578125" style="2" bestFit="1" customWidth="1"/>
    <col min="12816" max="12819" width="9" style="2" customWidth="1"/>
    <col min="12820" max="13054" width="11.42578125" style="2"/>
    <col min="13055" max="13055" width="3.28515625" style="2" customWidth="1"/>
    <col min="13056" max="13056" width="12.7109375" style="2" customWidth="1"/>
    <col min="13057" max="13057" width="28.140625" style="2" customWidth="1"/>
    <col min="13058" max="13070" width="8.5703125" style="2" bestFit="1" customWidth="1"/>
    <col min="13071" max="13071" width="10.42578125" style="2" bestFit="1" customWidth="1"/>
    <col min="13072" max="13075" width="9" style="2" customWidth="1"/>
    <col min="13076" max="13310" width="11.42578125" style="2"/>
    <col min="13311" max="13311" width="3.28515625" style="2" customWidth="1"/>
    <col min="13312" max="13312" width="12.7109375" style="2" customWidth="1"/>
    <col min="13313" max="13313" width="28.140625" style="2" customWidth="1"/>
    <col min="13314" max="13326" width="8.5703125" style="2" bestFit="1" customWidth="1"/>
    <col min="13327" max="13327" width="10.42578125" style="2" bestFit="1" customWidth="1"/>
    <col min="13328" max="13331" width="9" style="2" customWidth="1"/>
    <col min="13332" max="13566" width="11.42578125" style="2"/>
    <col min="13567" max="13567" width="3.28515625" style="2" customWidth="1"/>
    <col min="13568" max="13568" width="12.7109375" style="2" customWidth="1"/>
    <col min="13569" max="13569" width="28.140625" style="2" customWidth="1"/>
    <col min="13570" max="13582" width="8.5703125" style="2" bestFit="1" customWidth="1"/>
    <col min="13583" max="13583" width="10.42578125" style="2" bestFit="1" customWidth="1"/>
    <col min="13584" max="13587" width="9" style="2" customWidth="1"/>
    <col min="13588" max="13822" width="11.42578125" style="2"/>
    <col min="13823" max="13823" width="3.28515625" style="2" customWidth="1"/>
    <col min="13824" max="13824" width="12.7109375" style="2" customWidth="1"/>
    <col min="13825" max="13825" width="28.140625" style="2" customWidth="1"/>
    <col min="13826" max="13838" width="8.5703125" style="2" bestFit="1" customWidth="1"/>
    <col min="13839" max="13839" width="10.42578125" style="2" bestFit="1" customWidth="1"/>
    <col min="13840" max="13843" width="9" style="2" customWidth="1"/>
    <col min="13844" max="14078" width="11.42578125" style="2"/>
    <col min="14079" max="14079" width="3.28515625" style="2" customWidth="1"/>
    <col min="14080" max="14080" width="12.7109375" style="2" customWidth="1"/>
    <col min="14081" max="14081" width="28.140625" style="2" customWidth="1"/>
    <col min="14082" max="14094" width="8.5703125" style="2" bestFit="1" customWidth="1"/>
    <col min="14095" max="14095" width="10.42578125" style="2" bestFit="1" customWidth="1"/>
    <col min="14096" max="14099" width="9" style="2" customWidth="1"/>
    <col min="14100" max="14334" width="11.42578125" style="2"/>
    <col min="14335" max="14335" width="3.28515625" style="2" customWidth="1"/>
    <col min="14336" max="14336" width="12.7109375" style="2" customWidth="1"/>
    <col min="14337" max="14337" width="28.140625" style="2" customWidth="1"/>
    <col min="14338" max="14350" width="8.5703125" style="2" bestFit="1" customWidth="1"/>
    <col min="14351" max="14351" width="10.42578125" style="2" bestFit="1" customWidth="1"/>
    <col min="14352" max="14355" width="9" style="2" customWidth="1"/>
    <col min="14356" max="14590" width="11.42578125" style="2"/>
    <col min="14591" max="14591" width="3.28515625" style="2" customWidth="1"/>
    <col min="14592" max="14592" width="12.7109375" style="2" customWidth="1"/>
    <col min="14593" max="14593" width="28.140625" style="2" customWidth="1"/>
    <col min="14594" max="14606" width="8.5703125" style="2" bestFit="1" customWidth="1"/>
    <col min="14607" max="14607" width="10.42578125" style="2" bestFit="1" customWidth="1"/>
    <col min="14608" max="14611" width="9" style="2" customWidth="1"/>
    <col min="14612" max="14846" width="11.42578125" style="2"/>
    <col min="14847" max="14847" width="3.28515625" style="2" customWidth="1"/>
    <col min="14848" max="14848" width="12.7109375" style="2" customWidth="1"/>
    <col min="14849" max="14849" width="28.140625" style="2" customWidth="1"/>
    <col min="14850" max="14862" width="8.5703125" style="2" bestFit="1" customWidth="1"/>
    <col min="14863" max="14863" width="10.42578125" style="2" bestFit="1" customWidth="1"/>
    <col min="14864" max="14867" width="9" style="2" customWidth="1"/>
    <col min="14868" max="15102" width="11.42578125" style="2"/>
    <col min="15103" max="15103" width="3.28515625" style="2" customWidth="1"/>
    <col min="15104" max="15104" width="12.7109375" style="2" customWidth="1"/>
    <col min="15105" max="15105" width="28.140625" style="2" customWidth="1"/>
    <col min="15106" max="15118" width="8.5703125" style="2" bestFit="1" customWidth="1"/>
    <col min="15119" max="15119" width="10.42578125" style="2" bestFit="1" customWidth="1"/>
    <col min="15120" max="15123" width="9" style="2" customWidth="1"/>
    <col min="15124" max="15358" width="11.42578125" style="2"/>
    <col min="15359" max="15359" width="3.28515625" style="2" customWidth="1"/>
    <col min="15360" max="15360" width="12.7109375" style="2" customWidth="1"/>
    <col min="15361" max="15361" width="28.140625" style="2" customWidth="1"/>
    <col min="15362" max="15374" width="8.5703125" style="2" bestFit="1" customWidth="1"/>
    <col min="15375" max="15375" width="10.42578125" style="2" bestFit="1" customWidth="1"/>
    <col min="15376" max="15379" width="9" style="2" customWidth="1"/>
    <col min="15380" max="15614" width="11.42578125" style="2"/>
    <col min="15615" max="15615" width="3.28515625" style="2" customWidth="1"/>
    <col min="15616" max="15616" width="12.7109375" style="2" customWidth="1"/>
    <col min="15617" max="15617" width="28.140625" style="2" customWidth="1"/>
    <col min="15618" max="15630" width="8.5703125" style="2" bestFit="1" customWidth="1"/>
    <col min="15631" max="15631" width="10.42578125" style="2" bestFit="1" customWidth="1"/>
    <col min="15632" max="15635" width="9" style="2" customWidth="1"/>
    <col min="15636" max="15870" width="11.42578125" style="2"/>
    <col min="15871" max="15871" width="3.28515625" style="2" customWidth="1"/>
    <col min="15872" max="15872" width="12.7109375" style="2" customWidth="1"/>
    <col min="15873" max="15873" width="28.140625" style="2" customWidth="1"/>
    <col min="15874" max="15886" width="8.5703125" style="2" bestFit="1" customWidth="1"/>
    <col min="15887" max="15887" width="10.42578125" style="2" bestFit="1" customWidth="1"/>
    <col min="15888" max="15891" width="9" style="2" customWidth="1"/>
    <col min="15892" max="16126" width="11.42578125" style="2"/>
    <col min="16127" max="16127" width="3.28515625" style="2" customWidth="1"/>
    <col min="16128" max="16128" width="12.7109375" style="2" customWidth="1"/>
    <col min="16129" max="16129" width="28.140625" style="2" customWidth="1"/>
    <col min="16130" max="16142" width="8.5703125" style="2" bestFit="1" customWidth="1"/>
    <col min="16143" max="16143" width="10.42578125" style="2" bestFit="1" customWidth="1"/>
    <col min="16144" max="16147" width="9" style="2" customWidth="1"/>
    <col min="16148" max="16384" width="11.42578125" style="2"/>
  </cols>
  <sheetData>
    <row r="1" spans="1:19" ht="17.25" customHeight="1">
      <c r="A1" s="324"/>
      <c r="E1" s="444" t="s">
        <v>555</v>
      </c>
      <c r="F1" s="444"/>
      <c r="G1" s="444"/>
      <c r="H1" s="444"/>
      <c r="R1" s="2"/>
      <c r="S1" s="2"/>
    </row>
    <row r="2" spans="1:19">
      <c r="R2" s="2"/>
      <c r="S2" s="2"/>
    </row>
    <row r="3" spans="1:19" ht="15" customHeight="1" thickBot="1">
      <c r="A3" s="42" t="s">
        <v>321</v>
      </c>
      <c r="B3" s="42" t="s">
        <v>317</v>
      </c>
      <c r="C3" s="42">
        <v>2001</v>
      </c>
      <c r="D3" s="42">
        <v>2002</v>
      </c>
      <c r="E3" s="42">
        <v>2003</v>
      </c>
      <c r="F3" s="42">
        <v>2004</v>
      </c>
      <c r="G3" s="49" t="s">
        <v>469</v>
      </c>
      <c r="H3" s="88">
        <v>2005</v>
      </c>
      <c r="I3" s="42">
        <v>2006</v>
      </c>
      <c r="J3" s="42">
        <v>2007</v>
      </c>
      <c r="K3" s="42">
        <v>2008</v>
      </c>
      <c r="L3" s="42">
        <v>2009</v>
      </c>
      <c r="M3" s="42">
        <v>2010</v>
      </c>
      <c r="N3" s="42">
        <v>2011</v>
      </c>
      <c r="O3" s="42">
        <v>2012</v>
      </c>
      <c r="R3" s="2"/>
      <c r="S3" s="2"/>
    </row>
    <row r="4" spans="1:19" ht="15" customHeight="1" thickTop="1">
      <c r="A4" s="234" t="s">
        <v>333</v>
      </c>
      <c r="B4" s="225">
        <f t="shared" ref="B4:O4" si="0">+B5+B6</f>
        <v>3663448.155599996</v>
      </c>
      <c r="C4" s="225">
        <f t="shared" si="0"/>
        <v>4186797.8921142812</v>
      </c>
      <c r="D4" s="225">
        <f>+D5+D6</f>
        <v>4971466.47</v>
      </c>
      <c r="E4" s="225">
        <f t="shared" si="0"/>
        <v>5403890.0484114802</v>
      </c>
      <c r="F4" s="225">
        <f t="shared" si="0"/>
        <v>5404905.89575262</v>
      </c>
      <c r="G4" s="225">
        <f t="shared" si="0"/>
        <v>6023492.5899999905</v>
      </c>
      <c r="H4" s="225">
        <f t="shared" si="0"/>
        <v>6023492.5899999905</v>
      </c>
      <c r="I4" s="225">
        <f t="shared" si="0"/>
        <v>5952094.488307775</v>
      </c>
      <c r="J4" s="225">
        <f t="shared" si="0"/>
        <v>7707236.6023884993</v>
      </c>
      <c r="K4" s="225">
        <f t="shared" si="0"/>
        <v>8752072.4540408272</v>
      </c>
      <c r="L4" s="225">
        <f t="shared" si="0"/>
        <v>9114354.9087506179</v>
      </c>
      <c r="M4" s="225">
        <f t="shared" si="0"/>
        <v>10208373.206701221</v>
      </c>
      <c r="N4" s="225">
        <f t="shared" si="0"/>
        <v>14748731.339264428</v>
      </c>
      <c r="O4" s="225">
        <f t="shared" si="0"/>
        <v>15638298.79663155</v>
      </c>
      <c r="R4" s="2"/>
      <c r="S4" s="2"/>
    </row>
    <row r="5" spans="1:19" ht="15" customHeight="1">
      <c r="A5" s="220" t="s">
        <v>319</v>
      </c>
      <c r="B5" s="220">
        <f t="shared" ref="B5:O5" si="1">+B13+B29+B24</f>
        <v>1023278.4767392454</v>
      </c>
      <c r="C5" s="220">
        <f t="shared" si="1"/>
        <v>1169461.1162734232</v>
      </c>
      <c r="D5" s="220">
        <f t="shared" si="1"/>
        <v>1129917.9478467025</v>
      </c>
      <c r="E5" s="220">
        <f t="shared" si="1"/>
        <v>1313736.499999379</v>
      </c>
      <c r="F5" s="220">
        <f t="shared" si="1"/>
        <v>1348942.9307424871</v>
      </c>
      <c r="G5" s="220">
        <f t="shared" si="1"/>
        <v>1292145.2548615504</v>
      </c>
      <c r="H5" s="220">
        <f t="shared" si="1"/>
        <v>1292145.2548615504</v>
      </c>
      <c r="I5" s="220">
        <f t="shared" si="1"/>
        <v>1041378.5725395307</v>
      </c>
      <c r="J5" s="220">
        <f t="shared" si="1"/>
        <v>1259586.0579094975</v>
      </c>
      <c r="K5" s="220">
        <f t="shared" si="1"/>
        <v>1409914.3899734973</v>
      </c>
      <c r="L5" s="220">
        <f t="shared" si="1"/>
        <v>1339532.2628629936</v>
      </c>
      <c r="M5" s="220">
        <f t="shared" si="1"/>
        <v>1488856.0918055121</v>
      </c>
      <c r="N5" s="220">
        <f t="shared" si="1"/>
        <v>1521276.2412530079</v>
      </c>
      <c r="O5" s="220">
        <f t="shared" si="1"/>
        <v>1775232.4985468592</v>
      </c>
      <c r="R5" s="2"/>
      <c r="S5" s="2"/>
    </row>
    <row r="6" spans="1:19" ht="15" customHeight="1">
      <c r="A6" s="221" t="s">
        <v>320</v>
      </c>
      <c r="B6" s="221">
        <f t="shared" ref="B6:O6" si="2">+B14+B30+B25</f>
        <v>2640169.6788607505</v>
      </c>
      <c r="C6" s="221">
        <f t="shared" si="2"/>
        <v>3017336.775840858</v>
      </c>
      <c r="D6" s="221">
        <f t="shared" si="2"/>
        <v>3841548.5221532974</v>
      </c>
      <c r="E6" s="221">
        <f t="shared" si="2"/>
        <v>4090153.5484121009</v>
      </c>
      <c r="F6" s="221">
        <f t="shared" si="2"/>
        <v>4055962.9650101326</v>
      </c>
      <c r="G6" s="221">
        <f t="shared" si="2"/>
        <v>4731347.3351384401</v>
      </c>
      <c r="H6" s="221">
        <f t="shared" si="2"/>
        <v>4731347.3351384401</v>
      </c>
      <c r="I6" s="221">
        <f t="shared" si="2"/>
        <v>4910715.9157682443</v>
      </c>
      <c r="J6" s="221">
        <f t="shared" si="2"/>
        <v>6447650.5444790022</v>
      </c>
      <c r="K6" s="221">
        <f t="shared" si="2"/>
        <v>7342158.0640673293</v>
      </c>
      <c r="L6" s="221">
        <f t="shared" si="2"/>
        <v>7774822.6458876245</v>
      </c>
      <c r="M6" s="221">
        <f t="shared" si="2"/>
        <v>8719517.1148957089</v>
      </c>
      <c r="N6" s="221">
        <f t="shared" si="2"/>
        <v>13227455.098011421</v>
      </c>
      <c r="O6" s="221">
        <f t="shared" si="2"/>
        <v>13863066.298084691</v>
      </c>
      <c r="R6" s="2"/>
      <c r="S6" s="2"/>
    </row>
    <row r="8" spans="1:19">
      <c r="A8" s="3"/>
      <c r="B8" s="3"/>
      <c r="C8" s="3"/>
    </row>
    <row r="11" spans="1:19" ht="15" customHeight="1" outlineLevel="1" thickBot="1">
      <c r="A11" s="2"/>
      <c r="B11" s="42" t="s">
        <v>317</v>
      </c>
      <c r="C11" s="42">
        <v>2001</v>
      </c>
      <c r="D11" s="42">
        <v>2002</v>
      </c>
      <c r="E11" s="42">
        <v>2003</v>
      </c>
      <c r="F11" s="42">
        <v>2004</v>
      </c>
      <c r="G11" s="49" t="s">
        <v>469</v>
      </c>
      <c r="H11" s="88">
        <v>2005</v>
      </c>
      <c r="I11" s="42">
        <v>2006</v>
      </c>
      <c r="J11" s="42">
        <v>2007</v>
      </c>
      <c r="K11" s="42">
        <v>2008</v>
      </c>
      <c r="L11" s="42">
        <v>2009</v>
      </c>
      <c r="M11" s="42">
        <v>2010</v>
      </c>
      <c r="N11" s="42">
        <v>2011</v>
      </c>
      <c r="O11" s="42">
        <v>2012</v>
      </c>
      <c r="R11" s="2"/>
      <c r="S11" s="2"/>
    </row>
    <row r="12" spans="1:19" ht="15" customHeight="1" outlineLevel="1" thickTop="1">
      <c r="A12" s="234" t="s">
        <v>318</v>
      </c>
      <c r="B12" s="225">
        <f t="shared" ref="B12:G12" si="3">+B13+B14</f>
        <v>3349784.8655999959</v>
      </c>
      <c r="C12" s="225">
        <f t="shared" si="3"/>
        <v>3828325.5606857101</v>
      </c>
      <c r="D12" s="225">
        <f t="shared" si="3"/>
        <v>4599834.42</v>
      </c>
      <c r="E12" s="225">
        <f t="shared" si="3"/>
        <v>4991985.7184114801</v>
      </c>
      <c r="F12" s="225">
        <f t="shared" si="3"/>
        <v>5011125.0357526196</v>
      </c>
      <c r="G12" s="225">
        <f t="shared" si="3"/>
        <v>5608713.6399999904</v>
      </c>
      <c r="H12" s="225">
        <f t="shared" ref="H12:O12" si="4">+H13+H14</f>
        <v>5608713.6399999904</v>
      </c>
      <c r="I12" s="225">
        <f t="shared" si="4"/>
        <v>5662806.1083077751</v>
      </c>
      <c r="J12" s="225">
        <f t="shared" si="4"/>
        <v>7290907.1623884998</v>
      </c>
      <c r="K12" s="225">
        <f t="shared" si="4"/>
        <v>8236149.2217589095</v>
      </c>
      <c r="L12" s="225">
        <f t="shared" si="4"/>
        <v>8487075.8234686106</v>
      </c>
      <c r="M12" s="225">
        <f t="shared" si="4"/>
        <v>9646994.286701221</v>
      </c>
      <c r="N12" s="225">
        <f t="shared" si="4"/>
        <v>10924968.93926443</v>
      </c>
      <c r="O12" s="225">
        <f t="shared" si="4"/>
        <v>12427399.88663155</v>
      </c>
    </row>
    <row r="13" spans="1:19" ht="15" customHeight="1" outlineLevel="2">
      <c r="A13" s="220" t="s">
        <v>520</v>
      </c>
      <c r="B13" s="220">
        <v>935665.69228927605</v>
      </c>
      <c r="C13" s="220">
        <f>+B13*12/10.5</f>
        <v>1069332.2197591725</v>
      </c>
      <c r="D13" s="220">
        <v>1045453.1876348</v>
      </c>
      <c r="E13" s="220">
        <v>1213598.6829859</v>
      </c>
      <c r="F13" s="220">
        <v>1250664.08600328</v>
      </c>
      <c r="G13" s="220">
        <f>+H13</f>
        <v>1203167.8644105799</v>
      </c>
      <c r="H13" s="220">
        <v>1203167.8644105799</v>
      </c>
      <c r="I13" s="220">
        <v>990764.671700345</v>
      </c>
      <c r="J13" s="220">
        <v>1191545.74914841</v>
      </c>
      <c r="K13" s="220">
        <v>1326801.7794306001</v>
      </c>
      <c r="L13" s="220">
        <v>1247341.36389463</v>
      </c>
      <c r="M13" s="220">
        <v>1406980.90876415</v>
      </c>
      <c r="N13" s="220">
        <v>1126869.51178534</v>
      </c>
      <c r="O13" s="220">
        <v>1410736.83513055</v>
      </c>
    </row>
    <row r="14" spans="1:19" ht="15" customHeight="1" outlineLevel="2">
      <c r="A14" s="221" t="s">
        <v>320</v>
      </c>
      <c r="B14" s="221">
        <v>2414119.1733107199</v>
      </c>
      <c r="C14" s="221">
        <f>+B14*12/10.5</f>
        <v>2758993.3409265373</v>
      </c>
      <c r="D14" s="221">
        <v>3554381.2323651998</v>
      </c>
      <c r="E14" s="221">
        <v>3778387.0354255801</v>
      </c>
      <c r="F14" s="221">
        <v>3760460.9497493398</v>
      </c>
      <c r="G14" s="221">
        <f>+H14</f>
        <v>4405545.7755894102</v>
      </c>
      <c r="H14" s="221">
        <v>4405545.7755894102</v>
      </c>
      <c r="I14" s="221">
        <v>4672041.4366074298</v>
      </c>
      <c r="J14" s="221">
        <v>6099361.41324009</v>
      </c>
      <c r="K14" s="221">
        <v>6909347.4423283096</v>
      </c>
      <c r="L14" s="221">
        <v>7239734.4595739804</v>
      </c>
      <c r="M14" s="221">
        <v>8240013.3779370701</v>
      </c>
      <c r="N14" s="221">
        <v>9798099.4274790902</v>
      </c>
      <c r="O14" s="221">
        <v>11016663.051501</v>
      </c>
    </row>
    <row r="15" spans="1:19" ht="15" customHeight="1" outlineLevel="2">
      <c r="A15" s="2"/>
      <c r="P15" s="2"/>
    </row>
    <row r="16" spans="1:19" ht="15" customHeight="1" outlineLevel="2">
      <c r="A16" s="2"/>
    </row>
    <row r="17" spans="1:19" ht="15" customHeight="1" outlineLevel="2">
      <c r="A17" s="2"/>
    </row>
    <row r="18" spans="1:19" outlineLevel="2"/>
    <row r="19" spans="1:19" ht="15" customHeight="1" outlineLevel="2">
      <c r="A19" s="243" t="s">
        <v>330</v>
      </c>
      <c r="B19" s="5">
        <v>0.5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Q19" s="3"/>
      <c r="R19" s="2"/>
      <c r="S19" s="2"/>
    </row>
    <row r="20" spans="1:19" ht="15" customHeight="1" outlineLevel="2">
      <c r="A20" s="326" t="s">
        <v>319</v>
      </c>
      <c r="B20" s="326">
        <f t="shared" ref="B20:O20" si="5">+B13/B$12</f>
        <v>0.27932112951429328</v>
      </c>
      <c r="C20" s="326">
        <f t="shared" si="5"/>
        <v>0.27932112951429322</v>
      </c>
      <c r="D20" s="326">
        <f t="shared" si="5"/>
        <v>0.22728061320842066</v>
      </c>
      <c r="E20" s="326">
        <f t="shared" si="5"/>
        <v>0.24310940604455178</v>
      </c>
      <c r="F20" s="326">
        <f t="shared" si="5"/>
        <v>0.24957750546638338</v>
      </c>
      <c r="G20" s="326">
        <f t="shared" si="5"/>
        <v>0.21451761342028186</v>
      </c>
      <c r="H20" s="326">
        <f t="shared" si="5"/>
        <v>0.21451761342028186</v>
      </c>
      <c r="I20" s="326">
        <f t="shared" si="5"/>
        <v>0.17496002030633126</v>
      </c>
      <c r="J20" s="326">
        <f t="shared" si="5"/>
        <v>0.16342901131634488</v>
      </c>
      <c r="K20" s="326">
        <f t="shared" si="5"/>
        <v>0.16109491750408678</v>
      </c>
      <c r="L20" s="326">
        <f t="shared" si="5"/>
        <v>0.14696950867876776</v>
      </c>
      <c r="M20" s="326">
        <f t="shared" si="5"/>
        <v>0.14584655768934487</v>
      </c>
      <c r="N20" s="326">
        <f t="shared" si="5"/>
        <v>0.10314624398934093</v>
      </c>
      <c r="O20" s="326">
        <f t="shared" si="5"/>
        <v>0.11351826190514019</v>
      </c>
    </row>
    <row r="21" spans="1:19" ht="15" customHeight="1" outlineLevel="2">
      <c r="A21" s="326" t="s">
        <v>320</v>
      </c>
      <c r="B21" s="326">
        <f t="shared" ref="B21:O21" si="6">+B14/B$12</f>
        <v>0.72067887048570667</v>
      </c>
      <c r="C21" s="326">
        <f t="shared" si="6"/>
        <v>0.72067887048570667</v>
      </c>
      <c r="D21" s="326">
        <f t="shared" si="6"/>
        <v>0.77271938679157937</v>
      </c>
      <c r="E21" s="326">
        <f t="shared" si="6"/>
        <v>0.75689059395544822</v>
      </c>
      <c r="F21" s="326">
        <f t="shared" si="6"/>
        <v>0.75042249453361665</v>
      </c>
      <c r="G21" s="326">
        <f t="shared" si="6"/>
        <v>0.78548238657971814</v>
      </c>
      <c r="H21" s="326">
        <f t="shared" si="6"/>
        <v>0.78548238657971814</v>
      </c>
      <c r="I21" s="326">
        <f t="shared" si="6"/>
        <v>0.82503997969366871</v>
      </c>
      <c r="J21" s="326">
        <f t="shared" si="6"/>
        <v>0.8365709886836552</v>
      </c>
      <c r="K21" s="326">
        <f t="shared" si="6"/>
        <v>0.83890508249591322</v>
      </c>
      <c r="L21" s="326">
        <f t="shared" si="6"/>
        <v>0.85303049132123221</v>
      </c>
      <c r="M21" s="326">
        <f t="shared" si="6"/>
        <v>0.85415344231065504</v>
      </c>
      <c r="N21" s="326">
        <f t="shared" si="6"/>
        <v>0.89685375601065909</v>
      </c>
      <c r="O21" s="326">
        <f t="shared" si="6"/>
        <v>0.88648173809485975</v>
      </c>
    </row>
    <row r="22" spans="1:19" ht="15" customHeight="1" outlineLevel="1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9" ht="15.75" customHeight="1" outlineLevel="1">
      <c r="A23" s="234" t="s">
        <v>331</v>
      </c>
      <c r="B23" s="328">
        <v>0</v>
      </c>
      <c r="C23" s="328">
        <v>0</v>
      </c>
      <c r="D23" s="328">
        <v>0</v>
      </c>
      <c r="E23" s="328">
        <v>0</v>
      </c>
      <c r="F23" s="328">
        <v>0</v>
      </c>
      <c r="G23" s="328">
        <v>0</v>
      </c>
      <c r="H23" s="328">
        <v>0</v>
      </c>
      <c r="I23" s="328">
        <v>0</v>
      </c>
      <c r="J23" s="328">
        <v>0</v>
      </c>
      <c r="K23" s="328">
        <v>0</v>
      </c>
      <c r="L23" s="328">
        <v>0</v>
      </c>
      <c r="M23" s="328">
        <v>0</v>
      </c>
      <c r="N23" s="328">
        <v>2959000</v>
      </c>
      <c r="O23" s="328">
        <v>2278696.58</v>
      </c>
    </row>
    <row r="24" spans="1:19" ht="15" customHeight="1" outlineLevel="2">
      <c r="A24" s="326" t="s">
        <v>319</v>
      </c>
      <c r="B24" s="220">
        <v>0</v>
      </c>
      <c r="C24" s="220">
        <v>0</v>
      </c>
      <c r="D24" s="220">
        <v>0</v>
      </c>
      <c r="E24" s="220">
        <v>0</v>
      </c>
      <c r="F24" s="220">
        <v>0</v>
      </c>
      <c r="G24" s="220">
        <v>0</v>
      </c>
      <c r="H24" s="220">
        <v>0</v>
      </c>
      <c r="I24" s="220">
        <v>0</v>
      </c>
      <c r="J24" s="220">
        <v>0</v>
      </c>
      <c r="K24" s="220">
        <v>0</v>
      </c>
      <c r="L24" s="220">
        <v>0</v>
      </c>
      <c r="M24" s="220">
        <v>0</v>
      </c>
      <c r="N24" s="220">
        <f>N20*N$23</f>
        <v>305209.73596445977</v>
      </c>
      <c r="O24" s="220">
        <f>O20*O$23</f>
        <v>258673.67517078726</v>
      </c>
    </row>
    <row r="25" spans="1:19" ht="15" customHeight="1" outlineLevel="2">
      <c r="A25" s="326" t="s">
        <v>320</v>
      </c>
      <c r="B25" s="220">
        <v>0</v>
      </c>
      <c r="C25" s="220">
        <v>0</v>
      </c>
      <c r="D25" s="220">
        <v>0</v>
      </c>
      <c r="E25" s="220">
        <v>0</v>
      </c>
      <c r="F25" s="220">
        <v>0</v>
      </c>
      <c r="G25" s="220">
        <v>0</v>
      </c>
      <c r="H25" s="220">
        <v>0</v>
      </c>
      <c r="I25" s="220">
        <v>0</v>
      </c>
      <c r="J25" s="220">
        <v>0</v>
      </c>
      <c r="K25" s="220">
        <v>0</v>
      </c>
      <c r="L25" s="220">
        <v>0</v>
      </c>
      <c r="M25" s="220">
        <v>0</v>
      </c>
      <c r="N25" s="220">
        <f>N21*N$23</f>
        <v>2653790.2640355402</v>
      </c>
      <c r="O25" s="220">
        <f>O21*O$23</f>
        <v>2020022.9048292127</v>
      </c>
    </row>
    <row r="26" spans="1:19" ht="15" customHeight="1" outlineLevel="2">
      <c r="A26" s="328"/>
      <c r="B26" s="328">
        <v>0</v>
      </c>
      <c r="C26" s="328">
        <v>0</v>
      </c>
      <c r="D26" s="328">
        <v>0</v>
      </c>
      <c r="E26" s="328">
        <v>0</v>
      </c>
      <c r="F26" s="328">
        <v>0</v>
      </c>
      <c r="G26" s="328">
        <v>0</v>
      </c>
      <c r="H26" s="328">
        <v>0</v>
      </c>
      <c r="I26" s="328">
        <v>0</v>
      </c>
      <c r="J26" s="328">
        <v>0</v>
      </c>
      <c r="K26" s="328">
        <v>0</v>
      </c>
      <c r="L26" s="328">
        <v>0</v>
      </c>
      <c r="M26" s="328">
        <v>0</v>
      </c>
      <c r="N26" s="327">
        <f t="shared" ref="N26:O26" si="7">+N24+N25</f>
        <v>2959000</v>
      </c>
      <c r="O26" s="327">
        <f t="shared" si="7"/>
        <v>2278696.58</v>
      </c>
    </row>
    <row r="27" spans="1:19" ht="15" customHeight="1" outlineLevel="1">
      <c r="A27" s="8"/>
      <c r="B27" s="10"/>
      <c r="C27" s="10"/>
      <c r="D27" s="10"/>
      <c r="E27" s="10"/>
      <c r="F27" s="10"/>
      <c r="G27" s="3"/>
      <c r="H27" s="10"/>
      <c r="I27" s="10"/>
      <c r="J27" s="10"/>
      <c r="K27" s="10"/>
      <c r="L27" s="10"/>
      <c r="M27" s="10"/>
      <c r="N27" s="10"/>
      <c r="O27" s="10"/>
    </row>
    <row r="28" spans="1:19" ht="15" customHeight="1" outlineLevel="1">
      <c r="A28" s="234" t="s">
        <v>329</v>
      </c>
      <c r="B28" s="225">
        <v>313663.28999999998</v>
      </c>
      <c r="C28" s="225">
        <f>+B28*12/10.5</f>
        <v>358472.33142857137</v>
      </c>
      <c r="D28" s="225">
        <v>371632.05</v>
      </c>
      <c r="E28" s="225">
        <v>411904.33</v>
      </c>
      <c r="F28" s="225">
        <v>393780.86</v>
      </c>
      <c r="G28" s="225">
        <f>+H28</f>
        <v>414778.95</v>
      </c>
      <c r="H28" s="225">
        <v>414778.95</v>
      </c>
      <c r="I28" s="225">
        <v>289288.38</v>
      </c>
      <c r="J28" s="225">
        <v>416329.44</v>
      </c>
      <c r="K28" s="225">
        <v>515923.23228191701</v>
      </c>
      <c r="L28" s="225">
        <v>627279.08528200805</v>
      </c>
      <c r="M28" s="225">
        <v>561378.92000000004</v>
      </c>
      <c r="N28" s="225">
        <v>864762.4</v>
      </c>
      <c r="O28" s="225">
        <v>932202.33</v>
      </c>
    </row>
    <row r="29" spans="1:19" outlineLevel="2">
      <c r="A29" s="326" t="s">
        <v>319</v>
      </c>
      <c r="B29" s="220">
        <f t="shared" ref="B29:O29" si="8">+B$28*(B13/B$12)</f>
        <v>87612.784449969331</v>
      </c>
      <c r="C29" s="220">
        <f t="shared" si="8"/>
        <v>100128.89651425063</v>
      </c>
      <c r="D29" s="220">
        <f t="shared" si="8"/>
        <v>84464.760211902452</v>
      </c>
      <c r="E29" s="220">
        <f t="shared" si="8"/>
        <v>100137.81701347906</v>
      </c>
      <c r="F29" s="220">
        <f t="shared" si="8"/>
        <v>98278.844739207139</v>
      </c>
      <c r="G29" s="220">
        <f t="shared" si="8"/>
        <v>88977.390450970415</v>
      </c>
      <c r="H29" s="220">
        <f t="shared" si="8"/>
        <v>88977.390450970415</v>
      </c>
      <c r="I29" s="220">
        <f t="shared" si="8"/>
        <v>50613.900839185677</v>
      </c>
      <c r="J29" s="220">
        <f t="shared" si="8"/>
        <v>68040.308761087523</v>
      </c>
      <c r="K29" s="220">
        <f t="shared" si="8"/>
        <v>83112.610542897222</v>
      </c>
      <c r="L29" s="220">
        <f t="shared" si="8"/>
        <v>92190.898968363588</v>
      </c>
      <c r="M29" s="220">
        <f t="shared" si="8"/>
        <v>81875.183041362121</v>
      </c>
      <c r="N29" s="220">
        <f t="shared" si="8"/>
        <v>89196.993503208039</v>
      </c>
      <c r="O29" s="220">
        <f t="shared" si="8"/>
        <v>105821.98824552192</v>
      </c>
    </row>
    <row r="30" spans="1:19" outlineLevel="2">
      <c r="A30" s="221" t="s">
        <v>320</v>
      </c>
      <c r="B30" s="221">
        <f t="shared" ref="B30:O30" si="9">+B$28*(B14/B$12)</f>
        <v>226050.50555003065</v>
      </c>
      <c r="C30" s="221">
        <f t="shared" si="9"/>
        <v>258343.43491432071</v>
      </c>
      <c r="D30" s="221">
        <f t="shared" si="9"/>
        <v>287167.28978809755</v>
      </c>
      <c r="E30" s="221">
        <f t="shared" si="9"/>
        <v>311766.51298652095</v>
      </c>
      <c r="F30" s="221">
        <f t="shared" si="9"/>
        <v>295502.01526079286</v>
      </c>
      <c r="G30" s="221">
        <f t="shared" si="9"/>
        <v>325801.55954902957</v>
      </c>
      <c r="H30" s="221">
        <f t="shared" si="9"/>
        <v>325801.55954902957</v>
      </c>
      <c r="I30" s="221">
        <f t="shared" si="9"/>
        <v>238674.47916081431</v>
      </c>
      <c r="J30" s="221">
        <f t="shared" si="9"/>
        <v>348289.13123891252</v>
      </c>
      <c r="K30" s="221">
        <f t="shared" si="9"/>
        <v>432810.62173901981</v>
      </c>
      <c r="L30" s="221">
        <f t="shared" si="9"/>
        <v>535088.1863136444</v>
      </c>
      <c r="M30" s="221">
        <f t="shared" si="9"/>
        <v>479503.73695863789</v>
      </c>
      <c r="N30" s="221">
        <f t="shared" si="9"/>
        <v>775565.40649679198</v>
      </c>
      <c r="O30" s="221">
        <f t="shared" si="9"/>
        <v>826380.34175447794</v>
      </c>
    </row>
    <row r="31" spans="1:19" outlineLevel="1"/>
    <row r="32" spans="1:19" outlineLevel="1"/>
  </sheetData>
  <mergeCells count="1">
    <mergeCell ref="E1:H1"/>
  </mergeCells>
  <hyperlinks>
    <hyperlink ref="E1:H1" location="Indice!D3" display="ÍNDICE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27">
    <tabColor rgb="FFFFC000"/>
  </sheetPr>
  <dimension ref="B1:U16"/>
  <sheetViews>
    <sheetView showGridLines="0" workbookViewId="0">
      <selection activeCell="K10" sqref="K10"/>
    </sheetView>
  </sheetViews>
  <sheetFormatPr baseColWidth="10" defaultRowHeight="9"/>
  <cols>
    <col min="1" max="1" width="4.7109375" style="177" customWidth="1"/>
    <col min="2" max="2" width="19.7109375" style="177" customWidth="1"/>
    <col min="3" max="15" width="8.85546875" style="177" customWidth="1"/>
    <col min="16" max="16" width="11.42578125" style="177"/>
    <col min="17" max="20" width="5" style="177" customWidth="1"/>
    <col min="21" max="255" width="11.42578125" style="177"/>
    <col min="256" max="256" width="4.7109375" style="177" customWidth="1"/>
    <col min="257" max="257" width="25.7109375" style="177" customWidth="1"/>
    <col min="258" max="266" width="10.42578125" style="177" bestFit="1" customWidth="1"/>
    <col min="267" max="270" width="11.5703125" style="177" bestFit="1" customWidth="1"/>
    <col min="271" max="511" width="11.42578125" style="177"/>
    <col min="512" max="512" width="4.7109375" style="177" customWidth="1"/>
    <col min="513" max="513" width="25.7109375" style="177" customWidth="1"/>
    <col min="514" max="522" width="10.42578125" style="177" bestFit="1" customWidth="1"/>
    <col min="523" max="526" width="11.5703125" style="177" bestFit="1" customWidth="1"/>
    <col min="527" max="767" width="11.42578125" style="177"/>
    <col min="768" max="768" width="4.7109375" style="177" customWidth="1"/>
    <col min="769" max="769" width="25.7109375" style="177" customWidth="1"/>
    <col min="770" max="778" width="10.42578125" style="177" bestFit="1" customWidth="1"/>
    <col min="779" max="782" width="11.5703125" style="177" bestFit="1" customWidth="1"/>
    <col min="783" max="1023" width="11.42578125" style="177"/>
    <col min="1024" max="1024" width="4.7109375" style="177" customWidth="1"/>
    <col min="1025" max="1025" width="25.7109375" style="177" customWidth="1"/>
    <col min="1026" max="1034" width="10.42578125" style="177" bestFit="1" customWidth="1"/>
    <col min="1035" max="1038" width="11.5703125" style="177" bestFit="1" customWidth="1"/>
    <col min="1039" max="1279" width="11.42578125" style="177"/>
    <col min="1280" max="1280" width="4.7109375" style="177" customWidth="1"/>
    <col min="1281" max="1281" width="25.7109375" style="177" customWidth="1"/>
    <col min="1282" max="1290" width="10.42578125" style="177" bestFit="1" customWidth="1"/>
    <col min="1291" max="1294" width="11.5703125" style="177" bestFit="1" customWidth="1"/>
    <col min="1295" max="1535" width="11.42578125" style="177"/>
    <col min="1536" max="1536" width="4.7109375" style="177" customWidth="1"/>
    <col min="1537" max="1537" width="25.7109375" style="177" customWidth="1"/>
    <col min="1538" max="1546" width="10.42578125" style="177" bestFit="1" customWidth="1"/>
    <col min="1547" max="1550" width="11.5703125" style="177" bestFit="1" customWidth="1"/>
    <col min="1551" max="1791" width="11.42578125" style="177"/>
    <col min="1792" max="1792" width="4.7109375" style="177" customWidth="1"/>
    <col min="1793" max="1793" width="25.7109375" style="177" customWidth="1"/>
    <col min="1794" max="1802" width="10.42578125" style="177" bestFit="1" customWidth="1"/>
    <col min="1803" max="1806" width="11.5703125" style="177" bestFit="1" customWidth="1"/>
    <col min="1807" max="2047" width="11.42578125" style="177"/>
    <col min="2048" max="2048" width="4.7109375" style="177" customWidth="1"/>
    <col min="2049" max="2049" width="25.7109375" style="177" customWidth="1"/>
    <col min="2050" max="2058" width="10.42578125" style="177" bestFit="1" customWidth="1"/>
    <col min="2059" max="2062" width="11.5703125" style="177" bestFit="1" customWidth="1"/>
    <col min="2063" max="2303" width="11.42578125" style="177"/>
    <col min="2304" max="2304" width="4.7109375" style="177" customWidth="1"/>
    <col min="2305" max="2305" width="25.7109375" style="177" customWidth="1"/>
    <col min="2306" max="2314" width="10.42578125" style="177" bestFit="1" customWidth="1"/>
    <col min="2315" max="2318" width="11.5703125" style="177" bestFit="1" customWidth="1"/>
    <col min="2319" max="2559" width="11.42578125" style="177"/>
    <col min="2560" max="2560" width="4.7109375" style="177" customWidth="1"/>
    <col min="2561" max="2561" width="25.7109375" style="177" customWidth="1"/>
    <col min="2562" max="2570" width="10.42578125" style="177" bestFit="1" customWidth="1"/>
    <col min="2571" max="2574" width="11.5703125" style="177" bestFit="1" customWidth="1"/>
    <col min="2575" max="2815" width="11.42578125" style="177"/>
    <col min="2816" max="2816" width="4.7109375" style="177" customWidth="1"/>
    <col min="2817" max="2817" width="25.7109375" style="177" customWidth="1"/>
    <col min="2818" max="2826" width="10.42578125" style="177" bestFit="1" customWidth="1"/>
    <col min="2827" max="2830" width="11.5703125" style="177" bestFit="1" customWidth="1"/>
    <col min="2831" max="3071" width="11.42578125" style="177"/>
    <col min="3072" max="3072" width="4.7109375" style="177" customWidth="1"/>
    <col min="3073" max="3073" width="25.7109375" style="177" customWidth="1"/>
    <col min="3074" max="3082" width="10.42578125" style="177" bestFit="1" customWidth="1"/>
    <col min="3083" max="3086" width="11.5703125" style="177" bestFit="1" customWidth="1"/>
    <col min="3087" max="3327" width="11.42578125" style="177"/>
    <col min="3328" max="3328" width="4.7109375" style="177" customWidth="1"/>
    <col min="3329" max="3329" width="25.7109375" style="177" customWidth="1"/>
    <col min="3330" max="3338" width="10.42578125" style="177" bestFit="1" customWidth="1"/>
    <col min="3339" max="3342" width="11.5703125" style="177" bestFit="1" customWidth="1"/>
    <col min="3343" max="3583" width="11.42578125" style="177"/>
    <col min="3584" max="3584" width="4.7109375" style="177" customWidth="1"/>
    <col min="3585" max="3585" width="25.7109375" style="177" customWidth="1"/>
    <col min="3586" max="3594" width="10.42578125" style="177" bestFit="1" customWidth="1"/>
    <col min="3595" max="3598" width="11.5703125" style="177" bestFit="1" customWidth="1"/>
    <col min="3599" max="3839" width="11.42578125" style="177"/>
    <col min="3840" max="3840" width="4.7109375" style="177" customWidth="1"/>
    <col min="3841" max="3841" width="25.7109375" style="177" customWidth="1"/>
    <col min="3842" max="3850" width="10.42578125" style="177" bestFit="1" customWidth="1"/>
    <col min="3851" max="3854" width="11.5703125" style="177" bestFit="1" customWidth="1"/>
    <col min="3855" max="4095" width="11.42578125" style="177"/>
    <col min="4096" max="4096" width="4.7109375" style="177" customWidth="1"/>
    <col min="4097" max="4097" width="25.7109375" style="177" customWidth="1"/>
    <col min="4098" max="4106" width="10.42578125" style="177" bestFit="1" customWidth="1"/>
    <col min="4107" max="4110" width="11.5703125" style="177" bestFit="1" customWidth="1"/>
    <col min="4111" max="4351" width="11.42578125" style="177"/>
    <col min="4352" max="4352" width="4.7109375" style="177" customWidth="1"/>
    <col min="4353" max="4353" width="25.7109375" style="177" customWidth="1"/>
    <col min="4354" max="4362" width="10.42578125" style="177" bestFit="1" customWidth="1"/>
    <col min="4363" max="4366" width="11.5703125" style="177" bestFit="1" customWidth="1"/>
    <col min="4367" max="4607" width="11.42578125" style="177"/>
    <col min="4608" max="4608" width="4.7109375" style="177" customWidth="1"/>
    <col min="4609" max="4609" width="25.7109375" style="177" customWidth="1"/>
    <col min="4610" max="4618" width="10.42578125" style="177" bestFit="1" customWidth="1"/>
    <col min="4619" max="4622" width="11.5703125" style="177" bestFit="1" customWidth="1"/>
    <col min="4623" max="4863" width="11.42578125" style="177"/>
    <col min="4864" max="4864" width="4.7109375" style="177" customWidth="1"/>
    <col min="4865" max="4865" width="25.7109375" style="177" customWidth="1"/>
    <col min="4866" max="4874" width="10.42578125" style="177" bestFit="1" customWidth="1"/>
    <col min="4875" max="4878" width="11.5703125" style="177" bestFit="1" customWidth="1"/>
    <col min="4879" max="5119" width="11.42578125" style="177"/>
    <col min="5120" max="5120" width="4.7109375" style="177" customWidth="1"/>
    <col min="5121" max="5121" width="25.7109375" style="177" customWidth="1"/>
    <col min="5122" max="5130" width="10.42578125" style="177" bestFit="1" customWidth="1"/>
    <col min="5131" max="5134" width="11.5703125" style="177" bestFit="1" customWidth="1"/>
    <col min="5135" max="5375" width="11.42578125" style="177"/>
    <col min="5376" max="5376" width="4.7109375" style="177" customWidth="1"/>
    <col min="5377" max="5377" width="25.7109375" style="177" customWidth="1"/>
    <col min="5378" max="5386" width="10.42578125" style="177" bestFit="1" customWidth="1"/>
    <col min="5387" max="5390" width="11.5703125" style="177" bestFit="1" customWidth="1"/>
    <col min="5391" max="5631" width="11.42578125" style="177"/>
    <col min="5632" max="5632" width="4.7109375" style="177" customWidth="1"/>
    <col min="5633" max="5633" width="25.7109375" style="177" customWidth="1"/>
    <col min="5634" max="5642" width="10.42578125" style="177" bestFit="1" customWidth="1"/>
    <col min="5643" max="5646" width="11.5703125" style="177" bestFit="1" customWidth="1"/>
    <col min="5647" max="5887" width="11.42578125" style="177"/>
    <col min="5888" max="5888" width="4.7109375" style="177" customWidth="1"/>
    <col min="5889" max="5889" width="25.7109375" style="177" customWidth="1"/>
    <col min="5890" max="5898" width="10.42578125" style="177" bestFit="1" customWidth="1"/>
    <col min="5899" max="5902" width="11.5703125" style="177" bestFit="1" customWidth="1"/>
    <col min="5903" max="6143" width="11.42578125" style="177"/>
    <col min="6144" max="6144" width="4.7109375" style="177" customWidth="1"/>
    <col min="6145" max="6145" width="25.7109375" style="177" customWidth="1"/>
    <col min="6146" max="6154" width="10.42578125" style="177" bestFit="1" customWidth="1"/>
    <col min="6155" max="6158" width="11.5703125" style="177" bestFit="1" customWidth="1"/>
    <col min="6159" max="6399" width="11.42578125" style="177"/>
    <col min="6400" max="6400" width="4.7109375" style="177" customWidth="1"/>
    <col min="6401" max="6401" width="25.7109375" style="177" customWidth="1"/>
    <col min="6402" max="6410" width="10.42578125" style="177" bestFit="1" customWidth="1"/>
    <col min="6411" max="6414" width="11.5703125" style="177" bestFit="1" customWidth="1"/>
    <col min="6415" max="6655" width="11.42578125" style="177"/>
    <col min="6656" max="6656" width="4.7109375" style="177" customWidth="1"/>
    <col min="6657" max="6657" width="25.7109375" style="177" customWidth="1"/>
    <col min="6658" max="6666" width="10.42578125" style="177" bestFit="1" customWidth="1"/>
    <col min="6667" max="6670" width="11.5703125" style="177" bestFit="1" customWidth="1"/>
    <col min="6671" max="6911" width="11.42578125" style="177"/>
    <col min="6912" max="6912" width="4.7109375" style="177" customWidth="1"/>
    <col min="6913" max="6913" width="25.7109375" style="177" customWidth="1"/>
    <col min="6914" max="6922" width="10.42578125" style="177" bestFit="1" customWidth="1"/>
    <col min="6923" max="6926" width="11.5703125" style="177" bestFit="1" customWidth="1"/>
    <col min="6927" max="7167" width="11.42578125" style="177"/>
    <col min="7168" max="7168" width="4.7109375" style="177" customWidth="1"/>
    <col min="7169" max="7169" width="25.7109375" style="177" customWidth="1"/>
    <col min="7170" max="7178" width="10.42578125" style="177" bestFit="1" customWidth="1"/>
    <col min="7179" max="7182" width="11.5703125" style="177" bestFit="1" customWidth="1"/>
    <col min="7183" max="7423" width="11.42578125" style="177"/>
    <col min="7424" max="7424" width="4.7109375" style="177" customWidth="1"/>
    <col min="7425" max="7425" width="25.7109375" style="177" customWidth="1"/>
    <col min="7426" max="7434" width="10.42578125" style="177" bestFit="1" customWidth="1"/>
    <col min="7435" max="7438" width="11.5703125" style="177" bestFit="1" customWidth="1"/>
    <col min="7439" max="7679" width="11.42578125" style="177"/>
    <col min="7680" max="7680" width="4.7109375" style="177" customWidth="1"/>
    <col min="7681" max="7681" width="25.7109375" style="177" customWidth="1"/>
    <col min="7682" max="7690" width="10.42578125" style="177" bestFit="1" customWidth="1"/>
    <col min="7691" max="7694" width="11.5703125" style="177" bestFit="1" customWidth="1"/>
    <col min="7695" max="7935" width="11.42578125" style="177"/>
    <col min="7936" max="7936" width="4.7109375" style="177" customWidth="1"/>
    <col min="7937" max="7937" width="25.7109375" style="177" customWidth="1"/>
    <col min="7938" max="7946" width="10.42578125" style="177" bestFit="1" customWidth="1"/>
    <col min="7947" max="7950" width="11.5703125" style="177" bestFit="1" customWidth="1"/>
    <col min="7951" max="8191" width="11.42578125" style="177"/>
    <col min="8192" max="8192" width="4.7109375" style="177" customWidth="1"/>
    <col min="8193" max="8193" width="25.7109375" style="177" customWidth="1"/>
    <col min="8194" max="8202" width="10.42578125" style="177" bestFit="1" customWidth="1"/>
    <col min="8203" max="8206" width="11.5703125" style="177" bestFit="1" customWidth="1"/>
    <col min="8207" max="8447" width="11.42578125" style="177"/>
    <col min="8448" max="8448" width="4.7109375" style="177" customWidth="1"/>
    <col min="8449" max="8449" width="25.7109375" style="177" customWidth="1"/>
    <col min="8450" max="8458" width="10.42578125" style="177" bestFit="1" customWidth="1"/>
    <col min="8459" max="8462" width="11.5703125" style="177" bestFit="1" customWidth="1"/>
    <col min="8463" max="8703" width="11.42578125" style="177"/>
    <col min="8704" max="8704" width="4.7109375" style="177" customWidth="1"/>
    <col min="8705" max="8705" width="25.7109375" style="177" customWidth="1"/>
    <col min="8706" max="8714" width="10.42578125" style="177" bestFit="1" customWidth="1"/>
    <col min="8715" max="8718" width="11.5703125" style="177" bestFit="1" customWidth="1"/>
    <col min="8719" max="8959" width="11.42578125" style="177"/>
    <col min="8960" max="8960" width="4.7109375" style="177" customWidth="1"/>
    <col min="8961" max="8961" width="25.7109375" style="177" customWidth="1"/>
    <col min="8962" max="8970" width="10.42578125" style="177" bestFit="1" customWidth="1"/>
    <col min="8971" max="8974" width="11.5703125" style="177" bestFit="1" customWidth="1"/>
    <col min="8975" max="9215" width="11.42578125" style="177"/>
    <col min="9216" max="9216" width="4.7109375" style="177" customWidth="1"/>
    <col min="9217" max="9217" width="25.7109375" style="177" customWidth="1"/>
    <col min="9218" max="9226" width="10.42578125" style="177" bestFit="1" customWidth="1"/>
    <col min="9227" max="9230" width="11.5703125" style="177" bestFit="1" customWidth="1"/>
    <col min="9231" max="9471" width="11.42578125" style="177"/>
    <col min="9472" max="9472" width="4.7109375" style="177" customWidth="1"/>
    <col min="9473" max="9473" width="25.7109375" style="177" customWidth="1"/>
    <col min="9474" max="9482" width="10.42578125" style="177" bestFit="1" customWidth="1"/>
    <col min="9483" max="9486" width="11.5703125" style="177" bestFit="1" customWidth="1"/>
    <col min="9487" max="9727" width="11.42578125" style="177"/>
    <col min="9728" max="9728" width="4.7109375" style="177" customWidth="1"/>
    <col min="9729" max="9729" width="25.7109375" style="177" customWidth="1"/>
    <col min="9730" max="9738" width="10.42578125" style="177" bestFit="1" customWidth="1"/>
    <col min="9739" max="9742" width="11.5703125" style="177" bestFit="1" customWidth="1"/>
    <col min="9743" max="9983" width="11.42578125" style="177"/>
    <col min="9984" max="9984" width="4.7109375" style="177" customWidth="1"/>
    <col min="9985" max="9985" width="25.7109375" style="177" customWidth="1"/>
    <col min="9986" max="9994" width="10.42578125" style="177" bestFit="1" customWidth="1"/>
    <col min="9995" max="9998" width="11.5703125" style="177" bestFit="1" customWidth="1"/>
    <col min="9999" max="10239" width="11.42578125" style="177"/>
    <col min="10240" max="10240" width="4.7109375" style="177" customWidth="1"/>
    <col min="10241" max="10241" width="25.7109375" style="177" customWidth="1"/>
    <col min="10242" max="10250" width="10.42578125" style="177" bestFit="1" customWidth="1"/>
    <col min="10251" max="10254" width="11.5703125" style="177" bestFit="1" customWidth="1"/>
    <col min="10255" max="10495" width="11.42578125" style="177"/>
    <col min="10496" max="10496" width="4.7109375" style="177" customWidth="1"/>
    <col min="10497" max="10497" width="25.7109375" style="177" customWidth="1"/>
    <col min="10498" max="10506" width="10.42578125" style="177" bestFit="1" customWidth="1"/>
    <col min="10507" max="10510" width="11.5703125" style="177" bestFit="1" customWidth="1"/>
    <col min="10511" max="10751" width="11.42578125" style="177"/>
    <col min="10752" max="10752" width="4.7109375" style="177" customWidth="1"/>
    <col min="10753" max="10753" width="25.7109375" style="177" customWidth="1"/>
    <col min="10754" max="10762" width="10.42578125" style="177" bestFit="1" customWidth="1"/>
    <col min="10763" max="10766" width="11.5703125" style="177" bestFit="1" customWidth="1"/>
    <col min="10767" max="11007" width="11.42578125" style="177"/>
    <col min="11008" max="11008" width="4.7109375" style="177" customWidth="1"/>
    <col min="11009" max="11009" width="25.7109375" style="177" customWidth="1"/>
    <col min="11010" max="11018" width="10.42578125" style="177" bestFit="1" customWidth="1"/>
    <col min="11019" max="11022" width="11.5703125" style="177" bestFit="1" customWidth="1"/>
    <col min="11023" max="11263" width="11.42578125" style="177"/>
    <col min="11264" max="11264" width="4.7109375" style="177" customWidth="1"/>
    <col min="11265" max="11265" width="25.7109375" style="177" customWidth="1"/>
    <col min="11266" max="11274" width="10.42578125" style="177" bestFit="1" customWidth="1"/>
    <col min="11275" max="11278" width="11.5703125" style="177" bestFit="1" customWidth="1"/>
    <col min="11279" max="11519" width="11.42578125" style="177"/>
    <col min="11520" max="11520" width="4.7109375" style="177" customWidth="1"/>
    <col min="11521" max="11521" width="25.7109375" style="177" customWidth="1"/>
    <col min="11522" max="11530" width="10.42578125" style="177" bestFit="1" customWidth="1"/>
    <col min="11531" max="11534" width="11.5703125" style="177" bestFit="1" customWidth="1"/>
    <col min="11535" max="11775" width="11.42578125" style="177"/>
    <col min="11776" max="11776" width="4.7109375" style="177" customWidth="1"/>
    <col min="11777" max="11777" width="25.7109375" style="177" customWidth="1"/>
    <col min="11778" max="11786" width="10.42578125" style="177" bestFit="1" customWidth="1"/>
    <col min="11787" max="11790" width="11.5703125" style="177" bestFit="1" customWidth="1"/>
    <col min="11791" max="12031" width="11.42578125" style="177"/>
    <col min="12032" max="12032" width="4.7109375" style="177" customWidth="1"/>
    <col min="12033" max="12033" width="25.7109375" style="177" customWidth="1"/>
    <col min="12034" max="12042" width="10.42578125" style="177" bestFit="1" customWidth="1"/>
    <col min="12043" max="12046" width="11.5703125" style="177" bestFit="1" customWidth="1"/>
    <col min="12047" max="12287" width="11.42578125" style="177"/>
    <col min="12288" max="12288" width="4.7109375" style="177" customWidth="1"/>
    <col min="12289" max="12289" width="25.7109375" style="177" customWidth="1"/>
    <col min="12290" max="12298" width="10.42578125" style="177" bestFit="1" customWidth="1"/>
    <col min="12299" max="12302" width="11.5703125" style="177" bestFit="1" customWidth="1"/>
    <col min="12303" max="12543" width="11.42578125" style="177"/>
    <col min="12544" max="12544" width="4.7109375" style="177" customWidth="1"/>
    <col min="12545" max="12545" width="25.7109375" style="177" customWidth="1"/>
    <col min="12546" max="12554" width="10.42578125" style="177" bestFit="1" customWidth="1"/>
    <col min="12555" max="12558" width="11.5703125" style="177" bestFit="1" customWidth="1"/>
    <col min="12559" max="12799" width="11.42578125" style="177"/>
    <col min="12800" max="12800" width="4.7109375" style="177" customWidth="1"/>
    <col min="12801" max="12801" width="25.7109375" style="177" customWidth="1"/>
    <col min="12802" max="12810" width="10.42578125" style="177" bestFit="1" customWidth="1"/>
    <col min="12811" max="12814" width="11.5703125" style="177" bestFit="1" customWidth="1"/>
    <col min="12815" max="13055" width="11.42578125" style="177"/>
    <col min="13056" max="13056" width="4.7109375" style="177" customWidth="1"/>
    <col min="13057" max="13057" width="25.7109375" style="177" customWidth="1"/>
    <col min="13058" max="13066" width="10.42578125" style="177" bestFit="1" customWidth="1"/>
    <col min="13067" max="13070" width="11.5703125" style="177" bestFit="1" customWidth="1"/>
    <col min="13071" max="13311" width="11.42578125" style="177"/>
    <col min="13312" max="13312" width="4.7109375" style="177" customWidth="1"/>
    <col min="13313" max="13313" width="25.7109375" style="177" customWidth="1"/>
    <col min="13314" max="13322" width="10.42578125" style="177" bestFit="1" customWidth="1"/>
    <col min="13323" max="13326" width="11.5703125" style="177" bestFit="1" customWidth="1"/>
    <col min="13327" max="13567" width="11.42578125" style="177"/>
    <col min="13568" max="13568" width="4.7109375" style="177" customWidth="1"/>
    <col min="13569" max="13569" width="25.7109375" style="177" customWidth="1"/>
    <col min="13570" max="13578" width="10.42578125" style="177" bestFit="1" customWidth="1"/>
    <col min="13579" max="13582" width="11.5703125" style="177" bestFit="1" customWidth="1"/>
    <col min="13583" max="13823" width="11.42578125" style="177"/>
    <col min="13824" max="13824" width="4.7109375" style="177" customWidth="1"/>
    <col min="13825" max="13825" width="25.7109375" style="177" customWidth="1"/>
    <col min="13826" max="13834" width="10.42578125" style="177" bestFit="1" customWidth="1"/>
    <col min="13835" max="13838" width="11.5703125" style="177" bestFit="1" customWidth="1"/>
    <col min="13839" max="14079" width="11.42578125" style="177"/>
    <col min="14080" max="14080" width="4.7109375" style="177" customWidth="1"/>
    <col min="14081" max="14081" width="25.7109375" style="177" customWidth="1"/>
    <col min="14082" max="14090" width="10.42578125" style="177" bestFit="1" customWidth="1"/>
    <col min="14091" max="14094" width="11.5703125" style="177" bestFit="1" customWidth="1"/>
    <col min="14095" max="14335" width="11.42578125" style="177"/>
    <col min="14336" max="14336" width="4.7109375" style="177" customWidth="1"/>
    <col min="14337" max="14337" width="25.7109375" style="177" customWidth="1"/>
    <col min="14338" max="14346" width="10.42578125" style="177" bestFit="1" customWidth="1"/>
    <col min="14347" max="14350" width="11.5703125" style="177" bestFit="1" customWidth="1"/>
    <col min="14351" max="14591" width="11.42578125" style="177"/>
    <col min="14592" max="14592" width="4.7109375" style="177" customWidth="1"/>
    <col min="14593" max="14593" width="25.7109375" style="177" customWidth="1"/>
    <col min="14594" max="14602" width="10.42578125" style="177" bestFit="1" customWidth="1"/>
    <col min="14603" max="14606" width="11.5703125" style="177" bestFit="1" customWidth="1"/>
    <col min="14607" max="14847" width="11.42578125" style="177"/>
    <col min="14848" max="14848" width="4.7109375" style="177" customWidth="1"/>
    <col min="14849" max="14849" width="25.7109375" style="177" customWidth="1"/>
    <col min="14850" max="14858" width="10.42578125" style="177" bestFit="1" customWidth="1"/>
    <col min="14859" max="14862" width="11.5703125" style="177" bestFit="1" customWidth="1"/>
    <col min="14863" max="15103" width="11.42578125" style="177"/>
    <col min="15104" max="15104" width="4.7109375" style="177" customWidth="1"/>
    <col min="15105" max="15105" width="25.7109375" style="177" customWidth="1"/>
    <col min="15106" max="15114" width="10.42578125" style="177" bestFit="1" customWidth="1"/>
    <col min="15115" max="15118" width="11.5703125" style="177" bestFit="1" customWidth="1"/>
    <col min="15119" max="15359" width="11.42578125" style="177"/>
    <col min="15360" max="15360" width="4.7109375" style="177" customWidth="1"/>
    <col min="15361" max="15361" width="25.7109375" style="177" customWidth="1"/>
    <col min="15362" max="15370" width="10.42578125" style="177" bestFit="1" customWidth="1"/>
    <col min="15371" max="15374" width="11.5703125" style="177" bestFit="1" customWidth="1"/>
    <col min="15375" max="15615" width="11.42578125" style="177"/>
    <col min="15616" max="15616" width="4.7109375" style="177" customWidth="1"/>
    <col min="15617" max="15617" width="25.7109375" style="177" customWidth="1"/>
    <col min="15618" max="15626" width="10.42578125" style="177" bestFit="1" customWidth="1"/>
    <col min="15627" max="15630" width="11.5703125" style="177" bestFit="1" customWidth="1"/>
    <col min="15631" max="15871" width="11.42578125" style="177"/>
    <col min="15872" max="15872" width="4.7109375" style="177" customWidth="1"/>
    <col min="15873" max="15873" width="25.7109375" style="177" customWidth="1"/>
    <col min="15874" max="15882" width="10.42578125" style="177" bestFit="1" customWidth="1"/>
    <col min="15883" max="15886" width="11.5703125" style="177" bestFit="1" customWidth="1"/>
    <col min="15887" max="16127" width="11.42578125" style="177"/>
    <col min="16128" max="16128" width="4.7109375" style="177" customWidth="1"/>
    <col min="16129" max="16129" width="25.7109375" style="177" customWidth="1"/>
    <col min="16130" max="16138" width="10.42578125" style="177" bestFit="1" customWidth="1"/>
    <col min="16139" max="16142" width="11.5703125" style="177" bestFit="1" customWidth="1"/>
    <col min="16143" max="16384" width="11.42578125" style="177"/>
  </cols>
  <sheetData>
    <row r="1" spans="2:21" s="291" customFormat="1" ht="15" customHeight="1">
      <c r="B1" s="335"/>
      <c r="C1" s="180"/>
      <c r="D1" s="180"/>
      <c r="E1" s="444" t="s">
        <v>555</v>
      </c>
      <c r="F1" s="444"/>
      <c r="G1" s="444"/>
      <c r="H1" s="444"/>
      <c r="P1" s="177"/>
      <c r="Q1" s="177"/>
      <c r="R1" s="177"/>
      <c r="S1" s="177"/>
      <c r="T1" s="177"/>
      <c r="U1" s="177"/>
    </row>
    <row r="2" spans="2:21" s="291" customFormat="1" ht="15" customHeight="1">
      <c r="B2" s="335"/>
      <c r="C2" s="180"/>
      <c r="D2" s="180"/>
      <c r="P2" s="177"/>
      <c r="Q2" s="177"/>
      <c r="R2" s="177"/>
      <c r="S2" s="177"/>
      <c r="T2" s="177"/>
      <c r="U2" s="177"/>
    </row>
    <row r="3" spans="2:21" ht="15" customHeight="1" thickBot="1">
      <c r="B3" s="42" t="s">
        <v>325</v>
      </c>
      <c r="C3" s="42">
        <v>2001</v>
      </c>
      <c r="D3" s="42">
        <v>2002</v>
      </c>
      <c r="E3" s="42">
        <v>2003</v>
      </c>
      <c r="F3" s="42">
        <v>2004</v>
      </c>
      <c r="G3" s="49" t="s">
        <v>469</v>
      </c>
      <c r="H3" s="88">
        <v>2005</v>
      </c>
      <c r="I3" s="42">
        <v>2006</v>
      </c>
      <c r="J3" s="42">
        <v>2007</v>
      </c>
      <c r="K3" s="42">
        <v>2008</v>
      </c>
      <c r="L3" s="42">
        <v>2009</v>
      </c>
      <c r="M3" s="42">
        <v>2010</v>
      </c>
      <c r="N3" s="42">
        <v>2011</v>
      </c>
      <c r="O3" s="42">
        <v>2012</v>
      </c>
    </row>
    <row r="4" spans="2:21" ht="15" customHeight="1" thickTop="1">
      <c r="B4" s="227" t="s">
        <v>324</v>
      </c>
      <c r="C4" s="219">
        <f>+GastoEnSalarios!$C$5*CantidadDeTrabajo!C4/CantidadDeTrabajo!$C$4</f>
        <v>1169461.1162734232</v>
      </c>
      <c r="D4" s="219">
        <f>+GastoEnSalarios!$C$5*CantidadDeTrabajo!D4/CantidadDeTrabajo!$C$4</f>
        <v>1378284.8539186618</v>
      </c>
      <c r="E4" s="219">
        <f>+GastoEnSalarios!$C$5*CantidadDeTrabajo!E4/CantidadDeTrabajo!$C$4</f>
        <v>1516577.1243638503</v>
      </c>
      <c r="F4" s="219">
        <f>+GastoEnSalarios!$C$5*CantidadDeTrabajo!F4/CantidadDeTrabajo!$C$4</f>
        <v>1643063.9570881079</v>
      </c>
      <c r="G4" s="219">
        <f>+GastoEnSalarios!$C$5*CantidadDeTrabajo!G4/CantidadDeTrabajo!$C$4</f>
        <v>1419182.2631661715</v>
      </c>
      <c r="H4" s="219">
        <f>+GastoEnSalarios!$C$5*CantidadDeTrabajo!H4/CantidadDeTrabajo!$C$4</f>
        <v>1419182.2631661715</v>
      </c>
      <c r="I4" s="219">
        <f>+GastoEnSalarios!$C$5*CantidadDeTrabajo!I4/CantidadDeTrabajo!$C$4</f>
        <v>1302626.2931898651</v>
      </c>
      <c r="J4" s="219">
        <f>+GastoEnSalarios!$C$5*CantidadDeTrabajo!J4/CantidadDeTrabajo!$C$4</f>
        <v>1285045.9886533518</v>
      </c>
      <c r="K4" s="219">
        <f>+GastoEnSalarios!$C$5*CantidadDeTrabajo!K4/CantidadDeTrabajo!$C$4</f>
        <v>1533502.6238879678</v>
      </c>
      <c r="L4" s="219">
        <f>+GastoEnSalarios!$C$5*CantidadDeTrabajo!L4/CantidadDeTrabajo!$C$4</f>
        <v>1544645.6075054251</v>
      </c>
      <c r="M4" s="219">
        <f>+GastoEnSalarios!$C$5*CantidadDeTrabajo!M4/CantidadDeTrabajo!$C$4</f>
        <v>1333082.1468412445</v>
      </c>
      <c r="N4" s="219">
        <f>+GastoEnSalarios!$C$5*CantidadDeTrabajo!N4/CantidadDeTrabajo!$C$4</f>
        <v>1079881.3343833506</v>
      </c>
      <c r="O4" s="219">
        <f>+GastoEnSalarios!$C$5*CantidadDeTrabajo!O4/CantidadDeTrabajo!$C$4</f>
        <v>1356571.2809676642</v>
      </c>
    </row>
    <row r="5" spans="2:21" ht="15" customHeight="1">
      <c r="B5" s="220" t="s">
        <v>320</v>
      </c>
      <c r="C5" s="220">
        <f>+GastoEnSalarios!$C$6*CantidadDeTrabajo!C5/CantidadDeTrabajo!$C$5</f>
        <v>3017336.775840858</v>
      </c>
      <c r="D5" s="220">
        <f>+GastoEnSalarios!$C$6*CantidadDeTrabajo!D5/CantidadDeTrabajo!$C$5</f>
        <v>3932010.9610439893</v>
      </c>
      <c r="E5" s="220">
        <f>+GastoEnSalarios!$C$6*CantidadDeTrabajo!E5/CantidadDeTrabajo!$C$5</f>
        <v>4187001.571837564</v>
      </c>
      <c r="F5" s="220">
        <f>+GastoEnSalarios!$C$6*CantidadDeTrabajo!F5/CantidadDeTrabajo!$C$5</f>
        <v>4058061.7947735242</v>
      </c>
      <c r="G5" s="220">
        <f>+GastoEnSalarios!$C$6*CantidadDeTrabajo!G5/CantidadDeTrabajo!$C$5</f>
        <v>4586846.6012801928</v>
      </c>
      <c r="H5" s="220">
        <f>+GastoEnSalarios!$C$6*CantidadDeTrabajo!H5/CantidadDeTrabajo!$C$5</f>
        <v>4586846.6012801928</v>
      </c>
      <c r="I5" s="220">
        <f>+GastoEnSalarios!$C$6*CantidadDeTrabajo!I5/CantidadDeTrabajo!$C$5</f>
        <v>4682815.668216222</v>
      </c>
      <c r="J5" s="220">
        <f>+GastoEnSalarios!$C$6*CantidadDeTrabajo!J5/CantidadDeTrabajo!$C$5</f>
        <v>5991729.4574966729</v>
      </c>
      <c r="K5" s="220">
        <f>+GastoEnSalarios!$C$6*CantidadDeTrabajo!K5/CantidadDeTrabajo!$C$5</f>
        <v>6474852.6799640721</v>
      </c>
      <c r="L5" s="220">
        <f>+GastoEnSalarios!$C$6*CantidadDeTrabajo!L5/CantidadDeTrabajo!$C$5</f>
        <v>6567223.335604026</v>
      </c>
      <c r="M5" s="220">
        <f>+GastoEnSalarios!$C$6*CantidadDeTrabajo!M5/CantidadDeTrabajo!$C$5</f>
        <v>7071684.1656368719</v>
      </c>
      <c r="N5" s="220">
        <f>+GastoEnSalarios!$C$6*CantidadDeTrabajo!N5/CantidadDeTrabajo!$C$5</f>
        <v>7488336.7948596254</v>
      </c>
      <c r="O5" s="220">
        <f>+GastoEnSalarios!$C$6*CantidadDeTrabajo!O5/CantidadDeTrabajo!$C$5</f>
        <v>8300422.5841757562</v>
      </c>
    </row>
    <row r="6" spans="2:21" ht="15" customHeight="1">
      <c r="B6" s="33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2:21" ht="15" customHeight="1"/>
    <row r="8" spans="2:21" ht="15" customHeight="1"/>
    <row r="9" spans="2:21" ht="15" customHeight="1">
      <c r="P9" s="334"/>
    </row>
    <row r="10" spans="2:21" ht="15" customHeight="1">
      <c r="P10" s="334"/>
    </row>
    <row r="11" spans="2:21" ht="15" customHeight="1"/>
    <row r="12" spans="2:21" ht="15" customHeight="1"/>
    <row r="13" spans="2:21" ht="3.75" customHeight="1"/>
    <row r="14" spans="2:21" ht="15" customHeight="1"/>
    <row r="15" spans="2:21" ht="15" customHeight="1"/>
    <row r="16" spans="2:21" ht="17.25" customHeight="1"/>
  </sheetData>
  <mergeCells count="1">
    <mergeCell ref="E1:H1"/>
  </mergeCells>
  <hyperlinks>
    <hyperlink ref="E1:H1" location="Indice!D3" display="ÍNDICE"/>
  </hyperlink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41">
    <tabColor rgb="FFFFC000"/>
  </sheetPr>
  <dimension ref="B1:V55"/>
  <sheetViews>
    <sheetView showGridLines="0" workbookViewId="0">
      <selection activeCell="E1" sqref="E1:H1"/>
    </sheetView>
  </sheetViews>
  <sheetFormatPr baseColWidth="10" defaultRowHeight="9"/>
  <cols>
    <col min="1" max="1" width="4.7109375" style="177" customWidth="1"/>
    <col min="2" max="2" width="17.28515625" style="177" customWidth="1"/>
    <col min="3" max="15" width="6.140625" style="177" customWidth="1"/>
    <col min="16" max="17" width="11.42578125" style="177"/>
    <col min="18" max="21" width="7.5703125" style="177" customWidth="1"/>
    <col min="22" max="255" width="11.42578125" style="177"/>
    <col min="256" max="256" width="4.7109375" style="177" customWidth="1"/>
    <col min="257" max="257" width="25.7109375" style="177" customWidth="1"/>
    <col min="258" max="266" width="10.42578125" style="177" bestFit="1" customWidth="1"/>
    <col min="267" max="270" width="11.5703125" style="177" bestFit="1" customWidth="1"/>
    <col min="271" max="511" width="11.42578125" style="177"/>
    <col min="512" max="512" width="4.7109375" style="177" customWidth="1"/>
    <col min="513" max="513" width="25.7109375" style="177" customWidth="1"/>
    <col min="514" max="522" width="10.42578125" style="177" bestFit="1" customWidth="1"/>
    <col min="523" max="526" width="11.5703125" style="177" bestFit="1" customWidth="1"/>
    <col min="527" max="767" width="11.42578125" style="177"/>
    <col min="768" max="768" width="4.7109375" style="177" customWidth="1"/>
    <col min="769" max="769" width="25.7109375" style="177" customWidth="1"/>
    <col min="770" max="778" width="10.42578125" style="177" bestFit="1" customWidth="1"/>
    <col min="779" max="782" width="11.5703125" style="177" bestFit="1" customWidth="1"/>
    <col min="783" max="1023" width="11.42578125" style="177"/>
    <col min="1024" max="1024" width="4.7109375" style="177" customWidth="1"/>
    <col min="1025" max="1025" width="25.7109375" style="177" customWidth="1"/>
    <col min="1026" max="1034" width="10.42578125" style="177" bestFit="1" customWidth="1"/>
    <col min="1035" max="1038" width="11.5703125" style="177" bestFit="1" customWidth="1"/>
    <col min="1039" max="1279" width="11.42578125" style="177"/>
    <col min="1280" max="1280" width="4.7109375" style="177" customWidth="1"/>
    <col min="1281" max="1281" width="25.7109375" style="177" customWidth="1"/>
    <col min="1282" max="1290" width="10.42578125" style="177" bestFit="1" customWidth="1"/>
    <col min="1291" max="1294" width="11.5703125" style="177" bestFit="1" customWidth="1"/>
    <col min="1295" max="1535" width="11.42578125" style="177"/>
    <col min="1536" max="1536" width="4.7109375" style="177" customWidth="1"/>
    <col min="1537" max="1537" width="25.7109375" style="177" customWidth="1"/>
    <col min="1538" max="1546" width="10.42578125" style="177" bestFit="1" customWidth="1"/>
    <col min="1547" max="1550" width="11.5703125" style="177" bestFit="1" customWidth="1"/>
    <col min="1551" max="1791" width="11.42578125" style="177"/>
    <col min="1792" max="1792" width="4.7109375" style="177" customWidth="1"/>
    <col min="1793" max="1793" width="25.7109375" style="177" customWidth="1"/>
    <col min="1794" max="1802" width="10.42578125" style="177" bestFit="1" customWidth="1"/>
    <col min="1803" max="1806" width="11.5703125" style="177" bestFit="1" customWidth="1"/>
    <col min="1807" max="2047" width="11.42578125" style="177"/>
    <col min="2048" max="2048" width="4.7109375" style="177" customWidth="1"/>
    <col min="2049" max="2049" width="25.7109375" style="177" customWidth="1"/>
    <col min="2050" max="2058" width="10.42578125" style="177" bestFit="1" customWidth="1"/>
    <col min="2059" max="2062" width="11.5703125" style="177" bestFit="1" customWidth="1"/>
    <col min="2063" max="2303" width="11.42578125" style="177"/>
    <col min="2304" max="2304" width="4.7109375" style="177" customWidth="1"/>
    <col min="2305" max="2305" width="25.7109375" style="177" customWidth="1"/>
    <col min="2306" max="2314" width="10.42578125" style="177" bestFit="1" customWidth="1"/>
    <col min="2315" max="2318" width="11.5703125" style="177" bestFit="1" customWidth="1"/>
    <col min="2319" max="2559" width="11.42578125" style="177"/>
    <col min="2560" max="2560" width="4.7109375" style="177" customWidth="1"/>
    <col min="2561" max="2561" width="25.7109375" style="177" customWidth="1"/>
    <col min="2562" max="2570" width="10.42578125" style="177" bestFit="1" customWidth="1"/>
    <col min="2571" max="2574" width="11.5703125" style="177" bestFit="1" customWidth="1"/>
    <col min="2575" max="2815" width="11.42578125" style="177"/>
    <col min="2816" max="2816" width="4.7109375" style="177" customWidth="1"/>
    <col min="2817" max="2817" width="25.7109375" style="177" customWidth="1"/>
    <col min="2818" max="2826" width="10.42578125" style="177" bestFit="1" customWidth="1"/>
    <col min="2827" max="2830" width="11.5703125" style="177" bestFit="1" customWidth="1"/>
    <col min="2831" max="3071" width="11.42578125" style="177"/>
    <col min="3072" max="3072" width="4.7109375" style="177" customWidth="1"/>
    <col min="3073" max="3073" width="25.7109375" style="177" customWidth="1"/>
    <col min="3074" max="3082" width="10.42578125" style="177" bestFit="1" customWidth="1"/>
    <col min="3083" max="3086" width="11.5703125" style="177" bestFit="1" customWidth="1"/>
    <col min="3087" max="3327" width="11.42578125" style="177"/>
    <col min="3328" max="3328" width="4.7109375" style="177" customWidth="1"/>
    <col min="3329" max="3329" width="25.7109375" style="177" customWidth="1"/>
    <col min="3330" max="3338" width="10.42578125" style="177" bestFit="1" customWidth="1"/>
    <col min="3339" max="3342" width="11.5703125" style="177" bestFit="1" customWidth="1"/>
    <col min="3343" max="3583" width="11.42578125" style="177"/>
    <col min="3584" max="3584" width="4.7109375" style="177" customWidth="1"/>
    <col min="3585" max="3585" width="25.7109375" style="177" customWidth="1"/>
    <col min="3586" max="3594" width="10.42578125" style="177" bestFit="1" customWidth="1"/>
    <col min="3595" max="3598" width="11.5703125" style="177" bestFit="1" customWidth="1"/>
    <col min="3599" max="3839" width="11.42578125" style="177"/>
    <col min="3840" max="3840" width="4.7109375" style="177" customWidth="1"/>
    <col min="3841" max="3841" width="25.7109375" style="177" customWidth="1"/>
    <col min="3842" max="3850" width="10.42578125" style="177" bestFit="1" customWidth="1"/>
    <col min="3851" max="3854" width="11.5703125" style="177" bestFit="1" customWidth="1"/>
    <col min="3855" max="4095" width="11.42578125" style="177"/>
    <col min="4096" max="4096" width="4.7109375" style="177" customWidth="1"/>
    <col min="4097" max="4097" width="25.7109375" style="177" customWidth="1"/>
    <col min="4098" max="4106" width="10.42578125" style="177" bestFit="1" customWidth="1"/>
    <col min="4107" max="4110" width="11.5703125" style="177" bestFit="1" customWidth="1"/>
    <col min="4111" max="4351" width="11.42578125" style="177"/>
    <col min="4352" max="4352" width="4.7109375" style="177" customWidth="1"/>
    <col min="4353" max="4353" width="25.7109375" style="177" customWidth="1"/>
    <col min="4354" max="4362" width="10.42578125" style="177" bestFit="1" customWidth="1"/>
    <col min="4363" max="4366" width="11.5703125" style="177" bestFit="1" customWidth="1"/>
    <col min="4367" max="4607" width="11.42578125" style="177"/>
    <col min="4608" max="4608" width="4.7109375" style="177" customWidth="1"/>
    <col min="4609" max="4609" width="25.7109375" style="177" customWidth="1"/>
    <col min="4610" max="4618" width="10.42578125" style="177" bestFit="1" customWidth="1"/>
    <col min="4619" max="4622" width="11.5703125" style="177" bestFit="1" customWidth="1"/>
    <col min="4623" max="4863" width="11.42578125" style="177"/>
    <col min="4864" max="4864" width="4.7109375" style="177" customWidth="1"/>
    <col min="4865" max="4865" width="25.7109375" style="177" customWidth="1"/>
    <col min="4866" max="4874" width="10.42578125" style="177" bestFit="1" customWidth="1"/>
    <col min="4875" max="4878" width="11.5703125" style="177" bestFit="1" customWidth="1"/>
    <col min="4879" max="5119" width="11.42578125" style="177"/>
    <col min="5120" max="5120" width="4.7109375" style="177" customWidth="1"/>
    <col min="5121" max="5121" width="25.7109375" style="177" customWidth="1"/>
    <col min="5122" max="5130" width="10.42578125" style="177" bestFit="1" customWidth="1"/>
    <col min="5131" max="5134" width="11.5703125" style="177" bestFit="1" customWidth="1"/>
    <col min="5135" max="5375" width="11.42578125" style="177"/>
    <col min="5376" max="5376" width="4.7109375" style="177" customWidth="1"/>
    <col min="5377" max="5377" width="25.7109375" style="177" customWidth="1"/>
    <col min="5378" max="5386" width="10.42578125" style="177" bestFit="1" customWidth="1"/>
    <col min="5387" max="5390" width="11.5703125" style="177" bestFit="1" customWidth="1"/>
    <col min="5391" max="5631" width="11.42578125" style="177"/>
    <col min="5632" max="5632" width="4.7109375" style="177" customWidth="1"/>
    <col min="5633" max="5633" width="25.7109375" style="177" customWidth="1"/>
    <col min="5634" max="5642" width="10.42578125" style="177" bestFit="1" customWidth="1"/>
    <col min="5643" max="5646" width="11.5703125" style="177" bestFit="1" customWidth="1"/>
    <col min="5647" max="5887" width="11.42578125" style="177"/>
    <col min="5888" max="5888" width="4.7109375" style="177" customWidth="1"/>
    <col min="5889" max="5889" width="25.7109375" style="177" customWidth="1"/>
    <col min="5890" max="5898" width="10.42578125" style="177" bestFit="1" customWidth="1"/>
    <col min="5899" max="5902" width="11.5703125" style="177" bestFit="1" customWidth="1"/>
    <col min="5903" max="6143" width="11.42578125" style="177"/>
    <col min="6144" max="6144" width="4.7109375" style="177" customWidth="1"/>
    <col min="6145" max="6145" width="25.7109375" style="177" customWidth="1"/>
    <col min="6146" max="6154" width="10.42578125" style="177" bestFit="1" customWidth="1"/>
    <col min="6155" max="6158" width="11.5703125" style="177" bestFit="1" customWidth="1"/>
    <col min="6159" max="6399" width="11.42578125" style="177"/>
    <col min="6400" max="6400" width="4.7109375" style="177" customWidth="1"/>
    <col min="6401" max="6401" width="25.7109375" style="177" customWidth="1"/>
    <col min="6402" max="6410" width="10.42578125" style="177" bestFit="1" customWidth="1"/>
    <col min="6411" max="6414" width="11.5703125" style="177" bestFit="1" customWidth="1"/>
    <col min="6415" max="6655" width="11.42578125" style="177"/>
    <col min="6656" max="6656" width="4.7109375" style="177" customWidth="1"/>
    <col min="6657" max="6657" width="25.7109375" style="177" customWidth="1"/>
    <col min="6658" max="6666" width="10.42578125" style="177" bestFit="1" customWidth="1"/>
    <col min="6667" max="6670" width="11.5703125" style="177" bestFit="1" customWidth="1"/>
    <col min="6671" max="6911" width="11.42578125" style="177"/>
    <col min="6912" max="6912" width="4.7109375" style="177" customWidth="1"/>
    <col min="6913" max="6913" width="25.7109375" style="177" customWidth="1"/>
    <col min="6914" max="6922" width="10.42578125" style="177" bestFit="1" customWidth="1"/>
    <col min="6923" max="6926" width="11.5703125" style="177" bestFit="1" customWidth="1"/>
    <col min="6927" max="7167" width="11.42578125" style="177"/>
    <col min="7168" max="7168" width="4.7109375" style="177" customWidth="1"/>
    <col min="7169" max="7169" width="25.7109375" style="177" customWidth="1"/>
    <col min="7170" max="7178" width="10.42578125" style="177" bestFit="1" customWidth="1"/>
    <col min="7179" max="7182" width="11.5703125" style="177" bestFit="1" customWidth="1"/>
    <col min="7183" max="7423" width="11.42578125" style="177"/>
    <col min="7424" max="7424" width="4.7109375" style="177" customWidth="1"/>
    <col min="7425" max="7425" width="25.7109375" style="177" customWidth="1"/>
    <col min="7426" max="7434" width="10.42578125" style="177" bestFit="1" customWidth="1"/>
    <col min="7435" max="7438" width="11.5703125" style="177" bestFit="1" customWidth="1"/>
    <col min="7439" max="7679" width="11.42578125" style="177"/>
    <col min="7680" max="7680" width="4.7109375" style="177" customWidth="1"/>
    <col min="7681" max="7681" width="25.7109375" style="177" customWidth="1"/>
    <col min="7682" max="7690" width="10.42578125" style="177" bestFit="1" customWidth="1"/>
    <col min="7691" max="7694" width="11.5703125" style="177" bestFit="1" customWidth="1"/>
    <col min="7695" max="7935" width="11.42578125" style="177"/>
    <col min="7936" max="7936" width="4.7109375" style="177" customWidth="1"/>
    <col min="7937" max="7937" width="25.7109375" style="177" customWidth="1"/>
    <col min="7938" max="7946" width="10.42578125" style="177" bestFit="1" customWidth="1"/>
    <col min="7947" max="7950" width="11.5703125" style="177" bestFit="1" customWidth="1"/>
    <col min="7951" max="8191" width="11.42578125" style="177"/>
    <col min="8192" max="8192" width="4.7109375" style="177" customWidth="1"/>
    <col min="8193" max="8193" width="25.7109375" style="177" customWidth="1"/>
    <col min="8194" max="8202" width="10.42578125" style="177" bestFit="1" customWidth="1"/>
    <col min="8203" max="8206" width="11.5703125" style="177" bestFit="1" customWidth="1"/>
    <col min="8207" max="8447" width="11.42578125" style="177"/>
    <col min="8448" max="8448" width="4.7109375" style="177" customWidth="1"/>
    <col min="8449" max="8449" width="25.7109375" style="177" customWidth="1"/>
    <col min="8450" max="8458" width="10.42578125" style="177" bestFit="1" customWidth="1"/>
    <col min="8459" max="8462" width="11.5703125" style="177" bestFit="1" customWidth="1"/>
    <col min="8463" max="8703" width="11.42578125" style="177"/>
    <col min="8704" max="8704" width="4.7109375" style="177" customWidth="1"/>
    <col min="8705" max="8705" width="25.7109375" style="177" customWidth="1"/>
    <col min="8706" max="8714" width="10.42578125" style="177" bestFit="1" customWidth="1"/>
    <col min="8715" max="8718" width="11.5703125" style="177" bestFit="1" customWidth="1"/>
    <col min="8719" max="8959" width="11.42578125" style="177"/>
    <col min="8960" max="8960" width="4.7109375" style="177" customWidth="1"/>
    <col min="8961" max="8961" width="25.7109375" style="177" customWidth="1"/>
    <col min="8962" max="8970" width="10.42578125" style="177" bestFit="1" customWidth="1"/>
    <col min="8971" max="8974" width="11.5703125" style="177" bestFit="1" customWidth="1"/>
    <col min="8975" max="9215" width="11.42578125" style="177"/>
    <col min="9216" max="9216" width="4.7109375" style="177" customWidth="1"/>
    <col min="9217" max="9217" width="25.7109375" style="177" customWidth="1"/>
    <col min="9218" max="9226" width="10.42578125" style="177" bestFit="1" customWidth="1"/>
    <col min="9227" max="9230" width="11.5703125" style="177" bestFit="1" customWidth="1"/>
    <col min="9231" max="9471" width="11.42578125" style="177"/>
    <col min="9472" max="9472" width="4.7109375" style="177" customWidth="1"/>
    <col min="9473" max="9473" width="25.7109375" style="177" customWidth="1"/>
    <col min="9474" max="9482" width="10.42578125" style="177" bestFit="1" customWidth="1"/>
    <col min="9483" max="9486" width="11.5703125" style="177" bestFit="1" customWidth="1"/>
    <col min="9487" max="9727" width="11.42578125" style="177"/>
    <col min="9728" max="9728" width="4.7109375" style="177" customWidth="1"/>
    <col min="9729" max="9729" width="25.7109375" style="177" customWidth="1"/>
    <col min="9730" max="9738" width="10.42578125" style="177" bestFit="1" customWidth="1"/>
    <col min="9739" max="9742" width="11.5703125" style="177" bestFit="1" customWidth="1"/>
    <col min="9743" max="9983" width="11.42578125" style="177"/>
    <col min="9984" max="9984" width="4.7109375" style="177" customWidth="1"/>
    <col min="9985" max="9985" width="25.7109375" style="177" customWidth="1"/>
    <col min="9986" max="9994" width="10.42578125" style="177" bestFit="1" customWidth="1"/>
    <col min="9995" max="9998" width="11.5703125" style="177" bestFit="1" customWidth="1"/>
    <col min="9999" max="10239" width="11.42578125" style="177"/>
    <col min="10240" max="10240" width="4.7109375" style="177" customWidth="1"/>
    <col min="10241" max="10241" width="25.7109375" style="177" customWidth="1"/>
    <col min="10242" max="10250" width="10.42578125" style="177" bestFit="1" customWidth="1"/>
    <col min="10251" max="10254" width="11.5703125" style="177" bestFit="1" customWidth="1"/>
    <col min="10255" max="10495" width="11.42578125" style="177"/>
    <col min="10496" max="10496" width="4.7109375" style="177" customWidth="1"/>
    <col min="10497" max="10497" width="25.7109375" style="177" customWidth="1"/>
    <col min="10498" max="10506" width="10.42578125" style="177" bestFit="1" customWidth="1"/>
    <col min="10507" max="10510" width="11.5703125" style="177" bestFit="1" customWidth="1"/>
    <col min="10511" max="10751" width="11.42578125" style="177"/>
    <col min="10752" max="10752" width="4.7109375" style="177" customWidth="1"/>
    <col min="10753" max="10753" width="25.7109375" style="177" customWidth="1"/>
    <col min="10754" max="10762" width="10.42578125" style="177" bestFit="1" customWidth="1"/>
    <col min="10763" max="10766" width="11.5703125" style="177" bestFit="1" customWidth="1"/>
    <col min="10767" max="11007" width="11.42578125" style="177"/>
    <col min="11008" max="11008" width="4.7109375" style="177" customWidth="1"/>
    <col min="11009" max="11009" width="25.7109375" style="177" customWidth="1"/>
    <col min="11010" max="11018" width="10.42578125" style="177" bestFit="1" customWidth="1"/>
    <col min="11019" max="11022" width="11.5703125" style="177" bestFit="1" customWidth="1"/>
    <col min="11023" max="11263" width="11.42578125" style="177"/>
    <col min="11264" max="11264" width="4.7109375" style="177" customWidth="1"/>
    <col min="11265" max="11265" width="25.7109375" style="177" customWidth="1"/>
    <col min="11266" max="11274" width="10.42578125" style="177" bestFit="1" customWidth="1"/>
    <col min="11275" max="11278" width="11.5703125" style="177" bestFit="1" customWidth="1"/>
    <col min="11279" max="11519" width="11.42578125" style="177"/>
    <col min="11520" max="11520" width="4.7109375" style="177" customWidth="1"/>
    <col min="11521" max="11521" width="25.7109375" style="177" customWidth="1"/>
    <col min="11522" max="11530" width="10.42578125" style="177" bestFit="1" customWidth="1"/>
    <col min="11531" max="11534" width="11.5703125" style="177" bestFit="1" customWidth="1"/>
    <col min="11535" max="11775" width="11.42578125" style="177"/>
    <col min="11776" max="11776" width="4.7109375" style="177" customWidth="1"/>
    <col min="11777" max="11777" width="25.7109375" style="177" customWidth="1"/>
    <col min="11778" max="11786" width="10.42578125" style="177" bestFit="1" customWidth="1"/>
    <col min="11787" max="11790" width="11.5703125" style="177" bestFit="1" customWidth="1"/>
    <col min="11791" max="12031" width="11.42578125" style="177"/>
    <col min="12032" max="12032" width="4.7109375" style="177" customWidth="1"/>
    <col min="12033" max="12033" width="25.7109375" style="177" customWidth="1"/>
    <col min="12034" max="12042" width="10.42578125" style="177" bestFit="1" customWidth="1"/>
    <col min="12043" max="12046" width="11.5703125" style="177" bestFit="1" customWidth="1"/>
    <col min="12047" max="12287" width="11.42578125" style="177"/>
    <col min="12288" max="12288" width="4.7109375" style="177" customWidth="1"/>
    <col min="12289" max="12289" width="25.7109375" style="177" customWidth="1"/>
    <col min="12290" max="12298" width="10.42578125" style="177" bestFit="1" customWidth="1"/>
    <col min="12299" max="12302" width="11.5703125" style="177" bestFit="1" customWidth="1"/>
    <col min="12303" max="12543" width="11.42578125" style="177"/>
    <col min="12544" max="12544" width="4.7109375" style="177" customWidth="1"/>
    <col min="12545" max="12545" width="25.7109375" style="177" customWidth="1"/>
    <col min="12546" max="12554" width="10.42578125" style="177" bestFit="1" customWidth="1"/>
    <col min="12555" max="12558" width="11.5703125" style="177" bestFit="1" customWidth="1"/>
    <col min="12559" max="12799" width="11.42578125" style="177"/>
    <col min="12800" max="12800" width="4.7109375" style="177" customWidth="1"/>
    <col min="12801" max="12801" width="25.7109375" style="177" customWidth="1"/>
    <col min="12802" max="12810" width="10.42578125" style="177" bestFit="1" customWidth="1"/>
    <col min="12811" max="12814" width="11.5703125" style="177" bestFit="1" customWidth="1"/>
    <col min="12815" max="13055" width="11.42578125" style="177"/>
    <col min="13056" max="13056" width="4.7109375" style="177" customWidth="1"/>
    <col min="13057" max="13057" width="25.7109375" style="177" customWidth="1"/>
    <col min="13058" max="13066" width="10.42578125" style="177" bestFit="1" customWidth="1"/>
    <col min="13067" max="13070" width="11.5703125" style="177" bestFit="1" customWidth="1"/>
    <col min="13071" max="13311" width="11.42578125" style="177"/>
    <col min="13312" max="13312" width="4.7109375" style="177" customWidth="1"/>
    <col min="13313" max="13313" width="25.7109375" style="177" customWidth="1"/>
    <col min="13314" max="13322" width="10.42578125" style="177" bestFit="1" customWidth="1"/>
    <col min="13323" max="13326" width="11.5703125" style="177" bestFit="1" customWidth="1"/>
    <col min="13327" max="13567" width="11.42578125" style="177"/>
    <col min="13568" max="13568" width="4.7109375" style="177" customWidth="1"/>
    <col min="13569" max="13569" width="25.7109375" style="177" customWidth="1"/>
    <col min="13570" max="13578" width="10.42578125" style="177" bestFit="1" customWidth="1"/>
    <col min="13579" max="13582" width="11.5703125" style="177" bestFit="1" customWidth="1"/>
    <col min="13583" max="13823" width="11.42578125" style="177"/>
    <col min="13824" max="13824" width="4.7109375" style="177" customWidth="1"/>
    <col min="13825" max="13825" width="25.7109375" style="177" customWidth="1"/>
    <col min="13826" max="13834" width="10.42578125" style="177" bestFit="1" customWidth="1"/>
    <col min="13835" max="13838" width="11.5703125" style="177" bestFit="1" customWidth="1"/>
    <col min="13839" max="14079" width="11.42578125" style="177"/>
    <col min="14080" max="14080" width="4.7109375" style="177" customWidth="1"/>
    <col min="14081" max="14081" width="25.7109375" style="177" customWidth="1"/>
    <col min="14082" max="14090" width="10.42578125" style="177" bestFit="1" customWidth="1"/>
    <col min="14091" max="14094" width="11.5703125" style="177" bestFit="1" customWidth="1"/>
    <col min="14095" max="14335" width="11.42578125" style="177"/>
    <col min="14336" max="14336" width="4.7109375" style="177" customWidth="1"/>
    <col min="14337" max="14337" width="25.7109375" style="177" customWidth="1"/>
    <col min="14338" max="14346" width="10.42578125" style="177" bestFit="1" customWidth="1"/>
    <col min="14347" max="14350" width="11.5703125" style="177" bestFit="1" customWidth="1"/>
    <col min="14351" max="14591" width="11.42578125" style="177"/>
    <col min="14592" max="14592" width="4.7109375" style="177" customWidth="1"/>
    <col min="14593" max="14593" width="25.7109375" style="177" customWidth="1"/>
    <col min="14594" max="14602" width="10.42578125" style="177" bestFit="1" customWidth="1"/>
    <col min="14603" max="14606" width="11.5703125" style="177" bestFit="1" customWidth="1"/>
    <col min="14607" max="14847" width="11.42578125" style="177"/>
    <col min="14848" max="14848" width="4.7109375" style="177" customWidth="1"/>
    <col min="14849" max="14849" width="25.7109375" style="177" customWidth="1"/>
    <col min="14850" max="14858" width="10.42578125" style="177" bestFit="1" customWidth="1"/>
    <col min="14859" max="14862" width="11.5703125" style="177" bestFit="1" customWidth="1"/>
    <col min="14863" max="15103" width="11.42578125" style="177"/>
    <col min="15104" max="15104" width="4.7109375" style="177" customWidth="1"/>
    <col min="15105" max="15105" width="25.7109375" style="177" customWidth="1"/>
    <col min="15106" max="15114" width="10.42578125" style="177" bestFit="1" customWidth="1"/>
    <col min="15115" max="15118" width="11.5703125" style="177" bestFit="1" customWidth="1"/>
    <col min="15119" max="15359" width="11.42578125" style="177"/>
    <col min="15360" max="15360" width="4.7109375" style="177" customWidth="1"/>
    <col min="15361" max="15361" width="25.7109375" style="177" customWidth="1"/>
    <col min="15362" max="15370" width="10.42578125" style="177" bestFit="1" customWidth="1"/>
    <col min="15371" max="15374" width="11.5703125" style="177" bestFit="1" customWidth="1"/>
    <col min="15375" max="15615" width="11.42578125" style="177"/>
    <col min="15616" max="15616" width="4.7109375" style="177" customWidth="1"/>
    <col min="15617" max="15617" width="25.7109375" style="177" customWidth="1"/>
    <col min="15618" max="15626" width="10.42578125" style="177" bestFit="1" customWidth="1"/>
    <col min="15627" max="15630" width="11.5703125" style="177" bestFit="1" customWidth="1"/>
    <col min="15631" max="15871" width="11.42578125" style="177"/>
    <col min="15872" max="15872" width="4.7109375" style="177" customWidth="1"/>
    <col min="15873" max="15873" width="25.7109375" style="177" customWidth="1"/>
    <col min="15874" max="15882" width="10.42578125" style="177" bestFit="1" customWidth="1"/>
    <col min="15883" max="15886" width="11.5703125" style="177" bestFit="1" customWidth="1"/>
    <col min="15887" max="16127" width="11.42578125" style="177"/>
    <col min="16128" max="16128" width="4.7109375" style="177" customWidth="1"/>
    <col min="16129" max="16129" width="25.7109375" style="177" customWidth="1"/>
    <col min="16130" max="16138" width="10.42578125" style="177" bestFit="1" customWidth="1"/>
    <col min="16139" max="16142" width="11.5703125" style="177" bestFit="1" customWidth="1"/>
    <col min="16143" max="16384" width="11.42578125" style="177"/>
  </cols>
  <sheetData>
    <row r="1" spans="2:22" s="291" customFormat="1" ht="17.25" customHeight="1">
      <c r="B1" s="335"/>
      <c r="C1" s="180"/>
      <c r="D1" s="180"/>
      <c r="E1" s="444" t="s">
        <v>555</v>
      </c>
      <c r="F1" s="444"/>
      <c r="G1" s="444"/>
      <c r="H1" s="444"/>
      <c r="I1" s="180"/>
      <c r="J1" s="180"/>
      <c r="P1" s="177"/>
      <c r="Q1" s="177"/>
      <c r="R1" s="177"/>
      <c r="S1" s="177"/>
      <c r="T1" s="177"/>
      <c r="U1" s="177"/>
      <c r="V1" s="177"/>
    </row>
    <row r="2" spans="2:22" s="291" customFormat="1" ht="17.25" customHeight="1">
      <c r="B2" s="335"/>
      <c r="C2" s="180"/>
      <c r="D2" s="180"/>
      <c r="I2" s="180"/>
      <c r="J2" s="180"/>
      <c r="P2" s="177"/>
      <c r="Q2" s="177"/>
      <c r="R2" s="177"/>
      <c r="S2" s="177"/>
      <c r="T2" s="177"/>
      <c r="U2" s="177"/>
      <c r="V2" s="177"/>
    </row>
    <row r="3" spans="2:22" ht="17.25" customHeight="1" thickBot="1">
      <c r="B3" s="42" t="s">
        <v>326</v>
      </c>
      <c r="C3" s="42">
        <v>2001</v>
      </c>
      <c r="D3" s="42">
        <v>2002</v>
      </c>
      <c r="E3" s="42">
        <v>2003</v>
      </c>
      <c r="F3" s="42">
        <v>2004</v>
      </c>
      <c r="G3" s="49" t="s">
        <v>469</v>
      </c>
      <c r="H3" s="88">
        <v>2005</v>
      </c>
      <c r="I3" s="42">
        <v>2006</v>
      </c>
      <c r="J3" s="42">
        <v>2007</v>
      </c>
      <c r="K3" s="42">
        <v>2008</v>
      </c>
      <c r="L3" s="42">
        <v>2009</v>
      </c>
      <c r="M3" s="42">
        <v>2010</v>
      </c>
      <c r="N3" s="42">
        <v>2011</v>
      </c>
      <c r="O3" s="42">
        <v>2012</v>
      </c>
    </row>
    <row r="4" spans="2:22" ht="17.25" customHeight="1" thickTop="1">
      <c r="B4" s="227" t="s">
        <v>520</v>
      </c>
      <c r="C4" s="227">
        <v>1</v>
      </c>
      <c r="D4" s="229">
        <f>+GastoEnSalarios!D5/GastoEnSalariosAPrecios2001!D4</f>
        <v>0.81980001785130518</v>
      </c>
      <c r="E4" s="229">
        <f>+GastoEnSalarios!E5/GastoEnSalariosAPrecios2001!E4</f>
        <v>0.86625103260109126</v>
      </c>
      <c r="F4" s="229">
        <f>+GastoEnSalarios!F5/GastoEnSalariosAPrecios2001!F4</f>
        <v>0.82099234477343663</v>
      </c>
      <c r="G4" s="229">
        <f>+GastoEnSalarios!G5/GastoEnSalariosAPrecios2001!G4</f>
        <v>0.91048576944500159</v>
      </c>
      <c r="H4" s="229">
        <f>+GastoEnSalarios!H5/GastoEnSalariosAPrecios2001!H4</f>
        <v>0.91048576944500159</v>
      </c>
      <c r="I4" s="229">
        <f>+GastoEnSalarios!I5/GastoEnSalariosAPrecios2001!I4</f>
        <v>0.79944538044707192</v>
      </c>
      <c r="J4" s="229">
        <f>+GastoEnSalarios!J5/GastoEnSalariosAPrecios2001!J4</f>
        <v>0.98018753338895315</v>
      </c>
      <c r="K4" s="229">
        <f>+GastoEnSalarios!K5/GastoEnSalariosAPrecios2001!K4</f>
        <v>0.91940787580713035</v>
      </c>
      <c r="L4" s="229">
        <f>+GastoEnSalarios!L5/GastoEnSalariosAPrecios2001!L4</f>
        <v>0.86721009424699957</v>
      </c>
      <c r="M4" s="229">
        <f>+GastoEnSalarios!M5/GastoEnSalariosAPrecios2001!M4</f>
        <v>1.1168524725452036</v>
      </c>
      <c r="N4" s="229">
        <f>+GastoEnSalarios!N5/GastoEnSalariosAPrecios2001!N4</f>
        <v>1.4087438988115384</v>
      </c>
      <c r="O4" s="229">
        <f>+GastoEnSalarios!O5/GastoEnSalariosAPrecios2001!O4</f>
        <v>1.3086171905987551</v>
      </c>
    </row>
    <row r="5" spans="2:22" ht="17.25" customHeight="1">
      <c r="B5" s="228" t="s">
        <v>320</v>
      </c>
      <c r="C5" s="228">
        <v>1</v>
      </c>
      <c r="D5" s="230">
        <f>+GastoEnSalarios!D6/GastoEnSalariosAPrecios2001!D5</f>
        <v>0.9769933401033366</v>
      </c>
      <c r="E5" s="230">
        <f>+GastoEnSalarios!E6/GastoEnSalariosAPrecios2001!E5</f>
        <v>0.9768693606238702</v>
      </c>
      <c r="F5" s="230">
        <f>+GastoEnSalarios!F6/GastoEnSalariosAPrecios2001!F5</f>
        <v>0.99948279994994293</v>
      </c>
      <c r="G5" s="230">
        <f>+GastoEnSalarios!G6/GastoEnSalariosAPrecios2001!G5</f>
        <v>1.0315032845916228</v>
      </c>
      <c r="H5" s="230">
        <f>+GastoEnSalarios!H6/GastoEnSalariosAPrecios2001!H5</f>
        <v>1.0315032845916228</v>
      </c>
      <c r="I5" s="230">
        <f>+GastoEnSalarios!I6/GastoEnSalariosAPrecios2001!I5</f>
        <v>1.0486673539381135</v>
      </c>
      <c r="J5" s="230">
        <f>+GastoEnSalarios!J6/GastoEnSalariosAPrecios2001!J5</f>
        <v>1.0760917344844225</v>
      </c>
      <c r="K5" s="230">
        <f>+GastoEnSalarios!K6/GastoEnSalariosAPrecios2001!K5</f>
        <v>1.1339498251113984</v>
      </c>
      <c r="L5" s="230">
        <f>+GastoEnSalarios!L6/GastoEnSalariosAPrecios2001!L5</f>
        <v>1.1838827840278601</v>
      </c>
      <c r="M5" s="230">
        <f>+GastoEnSalarios!M6/GastoEnSalariosAPrecios2001!M5</f>
        <v>1.2330184593460891</v>
      </c>
      <c r="N5" s="230">
        <f>+GastoEnSalarios!N6/GastoEnSalariosAPrecios2001!N5</f>
        <v>1.7664076096432277</v>
      </c>
      <c r="O5" s="230">
        <f>+GastoEnSalarios!O6/GastoEnSalariosAPrecios2001!O5</f>
        <v>1.6701639172581131</v>
      </c>
      <c r="P5" s="334"/>
    </row>
    <row r="6" spans="2:22" ht="17.25" customHeight="1">
      <c r="B6" s="33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</row>
    <row r="7" spans="2:22" ht="17.25" customHeight="1"/>
    <row r="8" spans="2:22" ht="17.25" customHeight="1">
      <c r="B8" s="297"/>
      <c r="C8" s="179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</row>
    <row r="9" spans="2:22" ht="17.25" customHeight="1">
      <c r="B9" s="297"/>
      <c r="C9" s="179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8"/>
      <c r="O9" s="308"/>
    </row>
    <row r="10" spans="2:22" ht="17.25" customHeight="1">
      <c r="B10" s="297"/>
      <c r="C10" s="179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</row>
    <row r="11" spans="2:22" ht="17.25" customHeight="1"/>
    <row r="12" spans="2:22" ht="17.25" customHeight="1"/>
    <row r="13" spans="2:22" ht="17.25" customHeight="1"/>
    <row r="14" spans="2:22" ht="17.25" customHeight="1"/>
    <row r="15" spans="2:22" ht="17.25" customHeight="1"/>
    <row r="16" spans="2:22" ht="17.25" customHeight="1"/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  <row r="23" ht="17.25" customHeight="1"/>
    <row r="24" ht="17.25" customHeight="1"/>
    <row r="25" ht="17.25" customHeight="1"/>
    <row r="26" ht="17.25" customHeight="1"/>
    <row r="27" ht="17.25" customHeight="1"/>
    <row r="28" ht="17.25" customHeight="1"/>
    <row r="29" ht="17.25" customHeight="1"/>
    <row r="30" ht="17.25" customHeight="1"/>
    <row r="31" ht="17.25" customHeight="1"/>
    <row r="32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</sheetData>
  <mergeCells count="1">
    <mergeCell ref="E1:H1"/>
  </mergeCells>
  <hyperlinks>
    <hyperlink ref="E1:H1" location="Indice!D3" display="ÍNDICE"/>
  </hyperlink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28">
    <tabColor rgb="FFFFC000"/>
  </sheetPr>
  <dimension ref="B1:V15"/>
  <sheetViews>
    <sheetView showGridLines="0" workbookViewId="0">
      <selection activeCell="E1" sqref="E1:H1"/>
    </sheetView>
  </sheetViews>
  <sheetFormatPr baseColWidth="10" defaultColWidth="8.5703125" defaultRowHeight="9"/>
  <cols>
    <col min="1" max="2" width="8.5703125" style="2"/>
    <col min="3" max="3" width="19.85546875" style="2" customWidth="1"/>
    <col min="4" max="16384" width="8.5703125" style="2"/>
  </cols>
  <sheetData>
    <row r="1" spans="2:22" s="13" customFormat="1" ht="15" customHeight="1">
      <c r="B1" s="336"/>
      <c r="C1" s="4"/>
      <c r="D1" s="4"/>
      <c r="E1" s="444" t="s">
        <v>555</v>
      </c>
      <c r="F1" s="444"/>
      <c r="G1" s="444"/>
      <c r="H1" s="444"/>
      <c r="I1" s="4"/>
      <c r="J1" s="4"/>
      <c r="Q1" s="2"/>
      <c r="R1" s="2"/>
      <c r="S1" s="2"/>
      <c r="T1" s="2"/>
      <c r="U1" s="2"/>
      <c r="V1" s="2"/>
    </row>
    <row r="2" spans="2:22" ht="15" customHeight="1">
      <c r="B2" s="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2:22" ht="15" customHeight="1" thickBot="1">
      <c r="C3" s="42" t="s">
        <v>332</v>
      </c>
      <c r="D3" s="42">
        <v>2002</v>
      </c>
      <c r="E3" s="42">
        <v>2003</v>
      </c>
      <c r="F3" s="42">
        <v>2004</v>
      </c>
      <c r="G3" s="49" t="s">
        <v>469</v>
      </c>
      <c r="H3" s="88">
        <v>2005</v>
      </c>
      <c r="I3" s="42">
        <v>2006</v>
      </c>
      <c r="J3" s="42">
        <v>2007</v>
      </c>
      <c r="K3" s="42">
        <v>2008</v>
      </c>
      <c r="L3" s="42">
        <v>2009</v>
      </c>
      <c r="M3" s="42">
        <v>2010</v>
      </c>
      <c r="N3" s="42">
        <v>2011</v>
      </c>
      <c r="O3" s="42">
        <v>2012</v>
      </c>
    </row>
    <row r="4" spans="2:22" ht="15" customHeight="1" thickTop="1">
      <c r="C4" s="234" t="s">
        <v>192</v>
      </c>
      <c r="D4" s="234">
        <f>+D5/D6</f>
        <v>1.268343003841778</v>
      </c>
      <c r="E4" s="271">
        <f t="shared" ref="E4:O4" si="0">+E5/E6</f>
        <v>1.0729153332324231</v>
      </c>
      <c r="F4" s="271">
        <f t="shared" si="0"/>
        <v>0.99696737572843086</v>
      </c>
      <c r="G4" s="271">
        <f t="shared" si="0"/>
        <v>1.063776533538602</v>
      </c>
      <c r="H4" s="271">
        <f t="shared" si="0"/>
        <v>1</v>
      </c>
      <c r="I4" s="271">
        <f t="shared" si="0"/>
        <v>0.99881627741097989</v>
      </c>
      <c r="J4" s="271">
        <f t="shared" si="0"/>
        <v>1.2282491767155264</v>
      </c>
      <c r="K4" s="271">
        <f t="shared" si="0"/>
        <v>1.0990522339281497</v>
      </c>
      <c r="L4" s="271">
        <f t="shared" si="0"/>
        <v>1.013138446500536</v>
      </c>
      <c r="M4" s="271">
        <f t="shared" si="0"/>
        <v>1.0453957002303307</v>
      </c>
      <c r="N4" s="271">
        <f t="shared" si="0"/>
        <v>1.0226238230956406</v>
      </c>
      <c r="O4" s="271">
        <f t="shared" si="0"/>
        <v>1.1236892685940854</v>
      </c>
      <c r="P4" s="28"/>
    </row>
    <row r="5" spans="2:22" ht="15" customHeight="1">
      <c r="C5" s="228"/>
      <c r="D5" s="220">
        <f>+SUMPRODUCT(PrecioImplicitoDelTrabajoAl2001!C4:C5,GastoEnSalariosAPrecios2001!D4:D5)</f>
        <v>5310295.8149626516</v>
      </c>
      <c r="E5" s="220">
        <f>+SUMPRODUCT(PrecioImplicitoDelTrabajoAl2001!D4:D5,GastoEnSalariosAPrecios2001!E4:E5)</f>
        <v>5333962.6043138681</v>
      </c>
      <c r="F5" s="220">
        <f>+SUMPRODUCT(PrecioImplicitoDelTrabajoAl2001!E4:E5,GastoEnSalariosAPrecios2001!F4:F5)</f>
        <v>5387502.0802897764</v>
      </c>
      <c r="G5" s="220">
        <f>+SUMPRODUCT(PrecioImplicitoDelTrabajoAl2001!F4:F5,GastoEnSalariosAPrecios2001!G4:G5)</f>
        <v>5749612.0578860743</v>
      </c>
      <c r="H5" s="220">
        <f>+SUMPRODUCT(PrecioImplicitoDelTrabajoAl2001!G4:G5,GastoEnSalariosAPrecios2001!H4:H5)</f>
        <v>6023492.5899999905</v>
      </c>
      <c r="I5" s="220">
        <f>+SUMPRODUCT(PrecioImplicitoDelTrabajoAl2001!H4:H5,GastoEnSalariosAPrecios2001!I4:I5)</f>
        <v>6016362.4457564121</v>
      </c>
      <c r="J5" s="220">
        <f>+SUMPRODUCT(PrecioImplicitoDelTrabajoAl2001!I4:I5,GastoEnSalariosAPrecios2001!J4:J5)</f>
        <v>7310655.154997047</v>
      </c>
      <c r="K5" s="220">
        <f>+SUMPRODUCT(PrecioImplicitoDelTrabajoAl2001!J4:J5,GastoEnSalariosAPrecios2001!K4:K5)</f>
        <v>8470655.6052678842</v>
      </c>
      <c r="L5" s="220">
        <f>+SUMPRODUCT(PrecioImplicitoDelTrabajoAl2001!K4:K5,GastoEnSalariosAPrecios2001!L4:L5)</f>
        <v>8867061.0897470564</v>
      </c>
      <c r="M5" s="220">
        <f>+SUMPRODUCT(PrecioImplicitoDelTrabajoAl2001!L4:L5,GastoEnSalariosAPrecios2001!M4:M5)</f>
        <v>9528107.4319811035</v>
      </c>
      <c r="N5" s="220">
        <f>+SUMPRODUCT(PrecioImplicitoDelTrabajoAl2001!M4:M5,GastoEnSalariosAPrecios2001!N4:N5)</f>
        <v>10439325.636223907</v>
      </c>
      <c r="O5" s="220">
        <f>+SUMPRODUCT(PrecioImplicitoDelTrabajoAl2001!N4:N5,GastoEnSalariosAPrecios2001!O4:O5)</f>
        <v>16572991.13130871</v>
      </c>
      <c r="P5" s="350"/>
    </row>
    <row r="6" spans="2:22" ht="15" customHeight="1">
      <c r="C6" s="234"/>
      <c r="D6" s="219">
        <f>+SUMPRODUCT(PrecioImplicitoDelTrabajoAl2001!C4:C5,GastoEnSalariosAPrecios2001!C4:C5)</f>
        <v>4186797.8921142812</v>
      </c>
      <c r="E6" s="219">
        <f>+SUMPRODUCT(PrecioImplicitoDelTrabajoAl2001!D4:D5,GastoEnSalariosAPrecios2001!D4:D5)</f>
        <v>4971466.47</v>
      </c>
      <c r="F6" s="219">
        <f>+SUMPRODUCT(PrecioImplicitoDelTrabajoAl2001!E4:E5,GastoEnSalariosAPrecios2001!E4:E5)</f>
        <v>5403890.0484114802</v>
      </c>
      <c r="G6" s="219">
        <f>+SUMPRODUCT(PrecioImplicitoDelTrabajoAl2001!F4:F5,GastoEnSalariosAPrecios2001!F4:F5)</f>
        <v>5404905.89575262</v>
      </c>
      <c r="H6" s="219">
        <f>+SUMPRODUCT(PrecioImplicitoDelTrabajoAl2001!G4:G5,GastoEnSalariosAPrecios2001!G4:G5)</f>
        <v>6023492.5899999905</v>
      </c>
      <c r="I6" s="219">
        <f>+SUMPRODUCT(PrecioImplicitoDelTrabajoAl2001!H4:H5,GastoEnSalariosAPrecios2001!H4:H5)</f>
        <v>6023492.5899999905</v>
      </c>
      <c r="J6" s="219">
        <f>+SUMPRODUCT(PrecioImplicitoDelTrabajoAl2001!I4:I5,GastoEnSalariosAPrecios2001!I4:I5)</f>
        <v>5952094.488307775</v>
      </c>
      <c r="K6" s="219">
        <f>+SUMPRODUCT(PrecioImplicitoDelTrabajoAl2001!J4:J5,GastoEnSalariosAPrecios2001!J4:J5)</f>
        <v>7707236.6023885012</v>
      </c>
      <c r="L6" s="219">
        <f>+SUMPRODUCT(PrecioImplicitoDelTrabajoAl2001!K4:K5,GastoEnSalariosAPrecios2001!K4:K5)</f>
        <v>8752072.4540408272</v>
      </c>
      <c r="M6" s="219">
        <f>+SUMPRODUCT(PrecioImplicitoDelTrabajoAl2001!L4:L5,GastoEnSalariosAPrecios2001!L4:L5)</f>
        <v>9114354.9087506179</v>
      </c>
      <c r="N6" s="219">
        <f>+SUMPRODUCT(PrecioImplicitoDelTrabajoAl2001!M4:M5,GastoEnSalariosAPrecios2001!M4:M5)</f>
        <v>10208373.206701221</v>
      </c>
      <c r="O6" s="219">
        <f>+SUMPRODUCT(PrecioImplicitoDelTrabajoAl2001!N4:N5,GastoEnSalariosAPrecios2001!N4:N5)</f>
        <v>14748731.339264428</v>
      </c>
      <c r="P6" s="350"/>
      <c r="Q6" s="350"/>
    </row>
    <row r="7" spans="2:22" ht="15" customHeight="1">
      <c r="C7" s="237" t="s">
        <v>193</v>
      </c>
      <c r="D7" s="237">
        <f>+D8/D9</f>
        <v>1.2725676533479389</v>
      </c>
      <c r="E7" s="237">
        <f t="shared" ref="E7:O7" si="1">+E8/E9</f>
        <v>1.0732647888021971</v>
      </c>
      <c r="F7" s="237">
        <f t="shared" si="1"/>
        <v>0.99539066831976197</v>
      </c>
      <c r="G7" s="237">
        <f t="shared" si="1"/>
        <v>1.0601212172448642</v>
      </c>
      <c r="H7" s="237">
        <f t="shared" si="1"/>
        <v>1</v>
      </c>
      <c r="I7" s="237">
        <f t="shared" si="1"/>
        <v>1.001254828216019</v>
      </c>
      <c r="J7" s="237">
        <f t="shared" si="1"/>
        <v>1.2202800384853882</v>
      </c>
      <c r="K7" s="237">
        <f t="shared" si="1"/>
        <v>1.0973282039179539</v>
      </c>
      <c r="L7" s="237">
        <f t="shared" si="1"/>
        <v>1.0132312281051727</v>
      </c>
      <c r="M7" s="237">
        <f t="shared" si="1"/>
        <v>1.0392688720313898</v>
      </c>
      <c r="N7" s="237">
        <f t="shared" si="1"/>
        <v>1.0263951178513926</v>
      </c>
      <c r="O7" s="237">
        <f t="shared" si="1"/>
        <v>1.1234489799726597</v>
      </c>
      <c r="P7" s="352"/>
      <c r="Q7" s="350"/>
    </row>
    <row r="8" spans="2:22" ht="15" customHeight="1">
      <c r="C8" s="234"/>
      <c r="D8" s="219">
        <f>+SUMPRODUCT(PrecioImplicitoDelTrabajoAl2001!D4:D5,GastoEnSalariosAPrecios2001!D4:D5)</f>
        <v>4971466.47</v>
      </c>
      <c r="E8" s="219">
        <f>+SUMPRODUCT(PrecioImplicitoDelTrabajoAl2001!E4:E5,GastoEnSalariosAPrecios2001!E4:E5)</f>
        <v>5403890.0484114802</v>
      </c>
      <c r="F8" s="219">
        <f>+SUMPRODUCT(PrecioImplicitoDelTrabajoAl2001!F4:F5,GastoEnSalariosAPrecios2001!F4:F5)</f>
        <v>5404905.89575262</v>
      </c>
      <c r="G8" s="219">
        <f>+SUMPRODUCT(PrecioImplicitoDelTrabajoAl2001!G4:G5,GastoEnSalariosAPrecios2001!G4:G5)</f>
        <v>6023492.5899999905</v>
      </c>
      <c r="H8" s="219">
        <f>+SUMPRODUCT(PrecioImplicitoDelTrabajoAl2001!H4:H5,GastoEnSalariosAPrecios2001!H4:H5)</f>
        <v>6023492.5899999905</v>
      </c>
      <c r="I8" s="219">
        <f>+SUMPRODUCT(PrecioImplicitoDelTrabajoAl2001!I4:I5,GastoEnSalariosAPrecios2001!I4:I5)</f>
        <v>5952094.488307775</v>
      </c>
      <c r="J8" s="219">
        <f>+SUMPRODUCT(PrecioImplicitoDelTrabajoAl2001!J4:J5,GastoEnSalariosAPrecios2001!J4:J5)</f>
        <v>7707236.6023885012</v>
      </c>
      <c r="K8" s="219">
        <f>+SUMPRODUCT(PrecioImplicitoDelTrabajoAl2001!K4:K5,GastoEnSalariosAPrecios2001!K4:K5)</f>
        <v>8752072.4540408272</v>
      </c>
      <c r="L8" s="219">
        <f>+SUMPRODUCT(PrecioImplicitoDelTrabajoAl2001!L4:L5,GastoEnSalariosAPrecios2001!L4:L5)</f>
        <v>9114354.9087506179</v>
      </c>
      <c r="M8" s="219">
        <f>+SUMPRODUCT(PrecioImplicitoDelTrabajoAl2001!M4:M5,GastoEnSalariosAPrecios2001!M4:M5)</f>
        <v>10208373.206701221</v>
      </c>
      <c r="N8" s="219">
        <f>+SUMPRODUCT(PrecioImplicitoDelTrabajoAl2001!N4:N5,GastoEnSalariosAPrecios2001!N4:N5)</f>
        <v>14748731.339264428</v>
      </c>
      <c r="O8" s="219">
        <f>+SUMPRODUCT(PrecioImplicitoDelTrabajoAl2001!O4:O5,GastoEnSalariosAPrecios2001!O4:O5)</f>
        <v>15638298.79663155</v>
      </c>
      <c r="P8" s="350"/>
      <c r="Q8" s="350"/>
    </row>
    <row r="9" spans="2:22" ht="15" customHeight="1">
      <c r="C9" s="228"/>
      <c r="D9" s="220">
        <f>+SUMPRODUCT(PrecioImplicitoDelTrabajoAl2001!D4:D5,GastoEnSalariosAPrecios2001!C4:C5)</f>
        <v>3906642.1788427522</v>
      </c>
      <c r="E9" s="220">
        <f>+SUMPRODUCT(PrecioImplicitoDelTrabajoAl2001!E4:E5,GastoEnSalariosAPrecios2001!D4:D5)</f>
        <v>5035001.7114065764</v>
      </c>
      <c r="F9" s="220">
        <f>+SUMPRODUCT(PrecioImplicitoDelTrabajoAl2001!F4:F5,GastoEnSalariosAPrecios2001!E4:E5)</f>
        <v>5429934.2637762539</v>
      </c>
      <c r="G9" s="220">
        <f>+SUMPRODUCT(PrecioImplicitoDelTrabajoAl2001!G4:G5,GastoEnSalariosAPrecios2001!F4:F5)</f>
        <v>5681890.4216013812</v>
      </c>
      <c r="H9" s="220">
        <f>+SUMPRODUCT(PrecioImplicitoDelTrabajoAl2001!H4:H5,GastoEnSalariosAPrecios2001!G4:G5)</f>
        <v>6023492.5899999905</v>
      </c>
      <c r="I9" s="220">
        <f>+SUMPRODUCT(PrecioImplicitoDelTrabajoAl2001!I4:I5,GastoEnSalariosAPrecios2001!H4:H5)</f>
        <v>5944634.9925851449</v>
      </c>
      <c r="J9" s="220">
        <f>+SUMPRODUCT(PrecioImplicitoDelTrabajoAl2001!J4:J5,GastoEnSalariosAPrecios2001!I4:I5)</f>
        <v>6315957.2879309934</v>
      </c>
      <c r="K9" s="220">
        <f>+SUMPRODUCT(PrecioImplicitoDelTrabajoAl2001!K4:K5,GastoEnSalariosAPrecios2001!J4:J5)</f>
        <v>7975801.9731854182</v>
      </c>
      <c r="L9" s="220">
        <f>+SUMPRODUCT(PrecioImplicitoDelTrabajoAl2001!L4:L5,GastoEnSalariosAPrecios2001!K4:K5)</f>
        <v>8995335.5719160233</v>
      </c>
      <c r="M9" s="220">
        <f>+SUMPRODUCT(PrecioImplicitoDelTrabajoAl2001!M4:M5,GastoEnSalariosAPrecios2001!L4:L5)</f>
        <v>9822648.8653966822</v>
      </c>
      <c r="N9" s="220">
        <f>+SUMPRODUCT(PrecioImplicitoDelTrabajoAl2001!N4:N5,GastoEnSalariosAPrecios2001!M4:M5)</f>
        <v>14369448.06415168</v>
      </c>
      <c r="O9" s="220">
        <f>+SUMPRODUCT(PrecioImplicitoDelTrabajoAl2001!O4:O5,GastoEnSalariosAPrecios2001!N4:N5)</f>
        <v>13919901.19303159</v>
      </c>
      <c r="P9" s="350"/>
      <c r="Q9" s="350"/>
    </row>
    <row r="10" spans="2:22" ht="15" customHeight="1">
      <c r="C10" s="237" t="s">
        <v>194</v>
      </c>
      <c r="D10" s="237">
        <f t="shared" ref="D10:N10" si="2">((D8/D9)*(D5/D6))^0.5</f>
        <v>1.2704535725634398</v>
      </c>
      <c r="E10" s="237">
        <f t="shared" si="2"/>
        <v>1.0730900467921298</v>
      </c>
      <c r="F10" s="237">
        <f t="shared" si="2"/>
        <v>0.99617871008133974</v>
      </c>
      <c r="G10" s="237">
        <f t="shared" si="2"/>
        <v>1.0619473026527564</v>
      </c>
      <c r="H10" s="237"/>
      <c r="I10" s="237">
        <f t="shared" si="2"/>
        <v>1.0000348095233957</v>
      </c>
      <c r="J10" s="237">
        <f t="shared" si="2"/>
        <v>1.2242581233678089</v>
      </c>
      <c r="K10" s="237">
        <f t="shared" si="2"/>
        <v>1.0981898806073527</v>
      </c>
      <c r="L10" s="237">
        <f t="shared" si="2"/>
        <v>1.013184836240804</v>
      </c>
      <c r="M10" s="237">
        <f t="shared" si="2"/>
        <v>1.0423277844348393</v>
      </c>
      <c r="N10" s="237">
        <f t="shared" si="2"/>
        <v>1.0245077351703558</v>
      </c>
      <c r="O10" s="237">
        <f>((O8/O9)*(O5/O6))^0.5</f>
        <v>1.1235691178598</v>
      </c>
      <c r="P10" s="350"/>
      <c r="Q10" s="350"/>
    </row>
    <row r="11" spans="2:22" s="14" customFormat="1" ht="15" customHeight="1">
      <c r="C11" s="237" t="s">
        <v>328</v>
      </c>
      <c r="D11" s="237">
        <f>LN(D10)</f>
        <v>0.23937398046059127</v>
      </c>
      <c r="E11" s="237">
        <f>LN(E10)</f>
        <v>7.0542380716549571E-2</v>
      </c>
      <c r="F11" s="237">
        <f>LN(F10)</f>
        <v>-3.8286097002701459E-3</v>
      </c>
      <c r="G11" s="237">
        <f>LN(G10)</f>
        <v>6.0104300734313415E-2</v>
      </c>
      <c r="H11" s="237"/>
      <c r="I11" s="237">
        <f t="shared" ref="I11:O11" si="3">LN(I10)</f>
        <v>3.4808917558339885E-5</v>
      </c>
      <c r="J11" s="237">
        <f t="shared" si="3"/>
        <v>0.20233504696141547</v>
      </c>
      <c r="K11" s="237">
        <f t="shared" si="3"/>
        <v>9.3663261294004416E-2</v>
      </c>
      <c r="L11" s="237">
        <f t="shared" si="3"/>
        <v>1.3098672828102134E-2</v>
      </c>
      <c r="M11" s="237">
        <f t="shared" si="3"/>
        <v>4.1456466257932929E-2</v>
      </c>
      <c r="N11" s="237">
        <f t="shared" si="3"/>
        <v>2.4212238858998848E-2</v>
      </c>
      <c r="O11" s="237">
        <f t="shared" si="3"/>
        <v>0.1165103308753941</v>
      </c>
      <c r="P11" s="351"/>
      <c r="Q11" s="350"/>
    </row>
    <row r="12" spans="2:22" ht="15" customHeight="1"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2:22" ht="15" customHeight="1" thickBot="1">
      <c r="C13" s="29"/>
      <c r="D13" s="18"/>
      <c r="E13" s="18"/>
      <c r="F13" s="18"/>
      <c r="G13" s="18"/>
      <c r="H13" s="18"/>
      <c r="I13" s="18"/>
      <c r="J13" s="18"/>
      <c r="K13" s="19"/>
      <c r="L13" s="19"/>
      <c r="M13" s="19"/>
      <c r="N13" s="42" t="s">
        <v>191</v>
      </c>
      <c r="O13" s="172">
        <f>+AVERAGE(D11:O11)</f>
        <v>7.7954807109508209E-2</v>
      </c>
    </row>
    <row r="14" spans="2:22" ht="15" customHeight="1" thickTop="1"/>
    <row r="15" spans="2:22" ht="15" customHeight="1"/>
  </sheetData>
  <mergeCells count="1">
    <mergeCell ref="E1:H1"/>
  </mergeCells>
  <hyperlinks>
    <hyperlink ref="E1:H1" location="Indice!D3" display="ÍNDICE"/>
  </hyperlinks>
  <pageMargins left="0.7" right="0.7" top="0.75" bottom="0.75" header="0.3" footer="0.3"/>
  <pageSetup orientation="portrait" r:id="rId1"/>
  <ignoredErrors>
    <ignoredError sqref="D5:D6" formulaRange="1"/>
  </ignoredErrors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29">
    <tabColor rgb="FFFFC000"/>
  </sheetPr>
  <dimension ref="B1:Q22"/>
  <sheetViews>
    <sheetView showGridLines="0" workbookViewId="0">
      <selection activeCell="E1" sqref="E1:H1"/>
    </sheetView>
  </sheetViews>
  <sheetFormatPr baseColWidth="10" defaultRowHeight="9"/>
  <cols>
    <col min="1" max="2" width="2.28515625" style="2" customWidth="1"/>
    <col min="3" max="3" width="20.42578125" style="2" customWidth="1"/>
    <col min="4" max="15" width="8.7109375" style="2" customWidth="1"/>
    <col min="16" max="255" width="11.42578125" style="2"/>
    <col min="256" max="256" width="4.7109375" style="2" customWidth="1"/>
    <col min="257" max="257" width="25.7109375" style="2" customWidth="1"/>
    <col min="258" max="266" width="10.42578125" style="2" bestFit="1" customWidth="1"/>
    <col min="267" max="270" width="11.5703125" style="2" bestFit="1" customWidth="1"/>
    <col min="271" max="511" width="11.42578125" style="2"/>
    <col min="512" max="512" width="4.7109375" style="2" customWidth="1"/>
    <col min="513" max="513" width="25.7109375" style="2" customWidth="1"/>
    <col min="514" max="522" width="10.42578125" style="2" bestFit="1" customWidth="1"/>
    <col min="523" max="526" width="11.5703125" style="2" bestFit="1" customWidth="1"/>
    <col min="527" max="767" width="11.42578125" style="2"/>
    <col min="768" max="768" width="4.7109375" style="2" customWidth="1"/>
    <col min="769" max="769" width="25.7109375" style="2" customWidth="1"/>
    <col min="770" max="778" width="10.42578125" style="2" bestFit="1" customWidth="1"/>
    <col min="779" max="782" width="11.5703125" style="2" bestFit="1" customWidth="1"/>
    <col min="783" max="1023" width="11.42578125" style="2"/>
    <col min="1024" max="1024" width="4.7109375" style="2" customWidth="1"/>
    <col min="1025" max="1025" width="25.7109375" style="2" customWidth="1"/>
    <col min="1026" max="1034" width="10.42578125" style="2" bestFit="1" customWidth="1"/>
    <col min="1035" max="1038" width="11.5703125" style="2" bestFit="1" customWidth="1"/>
    <col min="1039" max="1279" width="11.42578125" style="2"/>
    <col min="1280" max="1280" width="4.7109375" style="2" customWidth="1"/>
    <col min="1281" max="1281" width="25.7109375" style="2" customWidth="1"/>
    <col min="1282" max="1290" width="10.42578125" style="2" bestFit="1" customWidth="1"/>
    <col min="1291" max="1294" width="11.5703125" style="2" bestFit="1" customWidth="1"/>
    <col min="1295" max="1535" width="11.42578125" style="2"/>
    <col min="1536" max="1536" width="4.7109375" style="2" customWidth="1"/>
    <col min="1537" max="1537" width="25.7109375" style="2" customWidth="1"/>
    <col min="1538" max="1546" width="10.42578125" style="2" bestFit="1" customWidth="1"/>
    <col min="1547" max="1550" width="11.5703125" style="2" bestFit="1" customWidth="1"/>
    <col min="1551" max="1791" width="11.42578125" style="2"/>
    <col min="1792" max="1792" width="4.7109375" style="2" customWidth="1"/>
    <col min="1793" max="1793" width="25.7109375" style="2" customWidth="1"/>
    <col min="1794" max="1802" width="10.42578125" style="2" bestFit="1" customWidth="1"/>
    <col min="1803" max="1806" width="11.5703125" style="2" bestFit="1" customWidth="1"/>
    <col min="1807" max="2047" width="11.42578125" style="2"/>
    <col min="2048" max="2048" width="4.7109375" style="2" customWidth="1"/>
    <col min="2049" max="2049" width="25.7109375" style="2" customWidth="1"/>
    <col min="2050" max="2058" width="10.42578125" style="2" bestFit="1" customWidth="1"/>
    <col min="2059" max="2062" width="11.5703125" style="2" bestFit="1" customWidth="1"/>
    <col min="2063" max="2303" width="11.42578125" style="2"/>
    <col min="2304" max="2304" width="4.7109375" style="2" customWidth="1"/>
    <col min="2305" max="2305" width="25.7109375" style="2" customWidth="1"/>
    <col min="2306" max="2314" width="10.42578125" style="2" bestFit="1" customWidth="1"/>
    <col min="2315" max="2318" width="11.5703125" style="2" bestFit="1" customWidth="1"/>
    <col min="2319" max="2559" width="11.42578125" style="2"/>
    <col min="2560" max="2560" width="4.7109375" style="2" customWidth="1"/>
    <col min="2561" max="2561" width="25.7109375" style="2" customWidth="1"/>
    <col min="2562" max="2570" width="10.42578125" style="2" bestFit="1" customWidth="1"/>
    <col min="2571" max="2574" width="11.5703125" style="2" bestFit="1" customWidth="1"/>
    <col min="2575" max="2815" width="11.42578125" style="2"/>
    <col min="2816" max="2816" width="4.7109375" style="2" customWidth="1"/>
    <col min="2817" max="2817" width="25.7109375" style="2" customWidth="1"/>
    <col min="2818" max="2826" width="10.42578125" style="2" bestFit="1" customWidth="1"/>
    <col min="2827" max="2830" width="11.5703125" style="2" bestFit="1" customWidth="1"/>
    <col min="2831" max="3071" width="11.42578125" style="2"/>
    <col min="3072" max="3072" width="4.7109375" style="2" customWidth="1"/>
    <col min="3073" max="3073" width="25.7109375" style="2" customWidth="1"/>
    <col min="3074" max="3082" width="10.42578125" style="2" bestFit="1" customWidth="1"/>
    <col min="3083" max="3086" width="11.5703125" style="2" bestFit="1" customWidth="1"/>
    <col min="3087" max="3327" width="11.42578125" style="2"/>
    <col min="3328" max="3328" width="4.7109375" style="2" customWidth="1"/>
    <col min="3329" max="3329" width="25.7109375" style="2" customWidth="1"/>
    <col min="3330" max="3338" width="10.42578125" style="2" bestFit="1" customWidth="1"/>
    <col min="3339" max="3342" width="11.5703125" style="2" bestFit="1" customWidth="1"/>
    <col min="3343" max="3583" width="11.42578125" style="2"/>
    <col min="3584" max="3584" width="4.7109375" style="2" customWidth="1"/>
    <col min="3585" max="3585" width="25.7109375" style="2" customWidth="1"/>
    <col min="3586" max="3594" width="10.42578125" style="2" bestFit="1" customWidth="1"/>
    <col min="3595" max="3598" width="11.5703125" style="2" bestFit="1" customWidth="1"/>
    <col min="3599" max="3839" width="11.42578125" style="2"/>
    <col min="3840" max="3840" width="4.7109375" style="2" customWidth="1"/>
    <col min="3841" max="3841" width="25.7109375" style="2" customWidth="1"/>
    <col min="3842" max="3850" width="10.42578125" style="2" bestFit="1" customWidth="1"/>
    <col min="3851" max="3854" width="11.5703125" style="2" bestFit="1" customWidth="1"/>
    <col min="3855" max="4095" width="11.42578125" style="2"/>
    <col min="4096" max="4096" width="4.7109375" style="2" customWidth="1"/>
    <col min="4097" max="4097" width="25.7109375" style="2" customWidth="1"/>
    <col min="4098" max="4106" width="10.42578125" style="2" bestFit="1" customWidth="1"/>
    <col min="4107" max="4110" width="11.5703125" style="2" bestFit="1" customWidth="1"/>
    <col min="4111" max="4351" width="11.42578125" style="2"/>
    <col min="4352" max="4352" width="4.7109375" style="2" customWidth="1"/>
    <col min="4353" max="4353" width="25.7109375" style="2" customWidth="1"/>
    <col min="4354" max="4362" width="10.42578125" style="2" bestFit="1" customWidth="1"/>
    <col min="4363" max="4366" width="11.5703125" style="2" bestFit="1" customWidth="1"/>
    <col min="4367" max="4607" width="11.42578125" style="2"/>
    <col min="4608" max="4608" width="4.7109375" style="2" customWidth="1"/>
    <col min="4609" max="4609" width="25.7109375" style="2" customWidth="1"/>
    <col min="4610" max="4618" width="10.42578125" style="2" bestFit="1" customWidth="1"/>
    <col min="4619" max="4622" width="11.5703125" style="2" bestFit="1" customWidth="1"/>
    <col min="4623" max="4863" width="11.42578125" style="2"/>
    <col min="4864" max="4864" width="4.7109375" style="2" customWidth="1"/>
    <col min="4865" max="4865" width="25.7109375" style="2" customWidth="1"/>
    <col min="4866" max="4874" width="10.42578125" style="2" bestFit="1" customWidth="1"/>
    <col min="4875" max="4878" width="11.5703125" style="2" bestFit="1" customWidth="1"/>
    <col min="4879" max="5119" width="11.42578125" style="2"/>
    <col min="5120" max="5120" width="4.7109375" style="2" customWidth="1"/>
    <col min="5121" max="5121" width="25.7109375" style="2" customWidth="1"/>
    <col min="5122" max="5130" width="10.42578125" style="2" bestFit="1" customWidth="1"/>
    <col min="5131" max="5134" width="11.5703125" style="2" bestFit="1" customWidth="1"/>
    <col min="5135" max="5375" width="11.42578125" style="2"/>
    <col min="5376" max="5376" width="4.7109375" style="2" customWidth="1"/>
    <col min="5377" max="5377" width="25.7109375" style="2" customWidth="1"/>
    <col min="5378" max="5386" width="10.42578125" style="2" bestFit="1" customWidth="1"/>
    <col min="5387" max="5390" width="11.5703125" style="2" bestFit="1" customWidth="1"/>
    <col min="5391" max="5631" width="11.42578125" style="2"/>
    <col min="5632" max="5632" width="4.7109375" style="2" customWidth="1"/>
    <col min="5633" max="5633" width="25.7109375" style="2" customWidth="1"/>
    <col min="5634" max="5642" width="10.42578125" style="2" bestFit="1" customWidth="1"/>
    <col min="5643" max="5646" width="11.5703125" style="2" bestFit="1" customWidth="1"/>
    <col min="5647" max="5887" width="11.42578125" style="2"/>
    <col min="5888" max="5888" width="4.7109375" style="2" customWidth="1"/>
    <col min="5889" max="5889" width="25.7109375" style="2" customWidth="1"/>
    <col min="5890" max="5898" width="10.42578125" style="2" bestFit="1" customWidth="1"/>
    <col min="5899" max="5902" width="11.5703125" style="2" bestFit="1" customWidth="1"/>
    <col min="5903" max="6143" width="11.42578125" style="2"/>
    <col min="6144" max="6144" width="4.7109375" style="2" customWidth="1"/>
    <col min="6145" max="6145" width="25.7109375" style="2" customWidth="1"/>
    <col min="6146" max="6154" width="10.42578125" style="2" bestFit="1" customWidth="1"/>
    <col min="6155" max="6158" width="11.5703125" style="2" bestFit="1" customWidth="1"/>
    <col min="6159" max="6399" width="11.42578125" style="2"/>
    <col min="6400" max="6400" width="4.7109375" style="2" customWidth="1"/>
    <col min="6401" max="6401" width="25.7109375" style="2" customWidth="1"/>
    <col min="6402" max="6410" width="10.42578125" style="2" bestFit="1" customWidth="1"/>
    <col min="6411" max="6414" width="11.5703125" style="2" bestFit="1" customWidth="1"/>
    <col min="6415" max="6655" width="11.42578125" style="2"/>
    <col min="6656" max="6656" width="4.7109375" style="2" customWidth="1"/>
    <col min="6657" max="6657" width="25.7109375" style="2" customWidth="1"/>
    <col min="6658" max="6666" width="10.42578125" style="2" bestFit="1" customWidth="1"/>
    <col min="6667" max="6670" width="11.5703125" style="2" bestFit="1" customWidth="1"/>
    <col min="6671" max="6911" width="11.42578125" style="2"/>
    <col min="6912" max="6912" width="4.7109375" style="2" customWidth="1"/>
    <col min="6913" max="6913" width="25.7109375" style="2" customWidth="1"/>
    <col min="6914" max="6922" width="10.42578125" style="2" bestFit="1" customWidth="1"/>
    <col min="6923" max="6926" width="11.5703125" style="2" bestFit="1" customWidth="1"/>
    <col min="6927" max="7167" width="11.42578125" style="2"/>
    <col min="7168" max="7168" width="4.7109375" style="2" customWidth="1"/>
    <col min="7169" max="7169" width="25.7109375" style="2" customWidth="1"/>
    <col min="7170" max="7178" width="10.42578125" style="2" bestFit="1" customWidth="1"/>
    <col min="7179" max="7182" width="11.5703125" style="2" bestFit="1" customWidth="1"/>
    <col min="7183" max="7423" width="11.42578125" style="2"/>
    <col min="7424" max="7424" width="4.7109375" style="2" customWidth="1"/>
    <col min="7425" max="7425" width="25.7109375" style="2" customWidth="1"/>
    <col min="7426" max="7434" width="10.42578125" style="2" bestFit="1" customWidth="1"/>
    <col min="7435" max="7438" width="11.5703125" style="2" bestFit="1" customWidth="1"/>
    <col min="7439" max="7679" width="11.42578125" style="2"/>
    <col min="7680" max="7680" width="4.7109375" style="2" customWidth="1"/>
    <col min="7681" max="7681" width="25.7109375" style="2" customWidth="1"/>
    <col min="7682" max="7690" width="10.42578125" style="2" bestFit="1" customWidth="1"/>
    <col min="7691" max="7694" width="11.5703125" style="2" bestFit="1" customWidth="1"/>
    <col min="7695" max="7935" width="11.42578125" style="2"/>
    <col min="7936" max="7936" width="4.7109375" style="2" customWidth="1"/>
    <col min="7937" max="7937" width="25.7109375" style="2" customWidth="1"/>
    <col min="7938" max="7946" width="10.42578125" style="2" bestFit="1" customWidth="1"/>
    <col min="7947" max="7950" width="11.5703125" style="2" bestFit="1" customWidth="1"/>
    <col min="7951" max="8191" width="11.42578125" style="2"/>
    <col min="8192" max="8192" width="4.7109375" style="2" customWidth="1"/>
    <col min="8193" max="8193" width="25.7109375" style="2" customWidth="1"/>
    <col min="8194" max="8202" width="10.42578125" style="2" bestFit="1" customWidth="1"/>
    <col min="8203" max="8206" width="11.5703125" style="2" bestFit="1" customWidth="1"/>
    <col min="8207" max="8447" width="11.42578125" style="2"/>
    <col min="8448" max="8448" width="4.7109375" style="2" customWidth="1"/>
    <col min="8449" max="8449" width="25.7109375" style="2" customWidth="1"/>
    <col min="8450" max="8458" width="10.42578125" style="2" bestFit="1" customWidth="1"/>
    <col min="8459" max="8462" width="11.5703125" style="2" bestFit="1" customWidth="1"/>
    <col min="8463" max="8703" width="11.42578125" style="2"/>
    <col min="8704" max="8704" width="4.7109375" style="2" customWidth="1"/>
    <col min="8705" max="8705" width="25.7109375" style="2" customWidth="1"/>
    <col min="8706" max="8714" width="10.42578125" style="2" bestFit="1" customWidth="1"/>
    <col min="8715" max="8718" width="11.5703125" style="2" bestFit="1" customWidth="1"/>
    <col min="8719" max="8959" width="11.42578125" style="2"/>
    <col min="8960" max="8960" width="4.7109375" style="2" customWidth="1"/>
    <col min="8961" max="8961" width="25.7109375" style="2" customWidth="1"/>
    <col min="8962" max="8970" width="10.42578125" style="2" bestFit="1" customWidth="1"/>
    <col min="8971" max="8974" width="11.5703125" style="2" bestFit="1" customWidth="1"/>
    <col min="8975" max="9215" width="11.42578125" style="2"/>
    <col min="9216" max="9216" width="4.7109375" style="2" customWidth="1"/>
    <col min="9217" max="9217" width="25.7109375" style="2" customWidth="1"/>
    <col min="9218" max="9226" width="10.42578125" style="2" bestFit="1" customWidth="1"/>
    <col min="9227" max="9230" width="11.5703125" style="2" bestFit="1" customWidth="1"/>
    <col min="9231" max="9471" width="11.42578125" style="2"/>
    <col min="9472" max="9472" width="4.7109375" style="2" customWidth="1"/>
    <col min="9473" max="9473" width="25.7109375" style="2" customWidth="1"/>
    <col min="9474" max="9482" width="10.42578125" style="2" bestFit="1" customWidth="1"/>
    <col min="9483" max="9486" width="11.5703125" style="2" bestFit="1" customWidth="1"/>
    <col min="9487" max="9727" width="11.42578125" style="2"/>
    <col min="9728" max="9728" width="4.7109375" style="2" customWidth="1"/>
    <col min="9729" max="9729" width="25.7109375" style="2" customWidth="1"/>
    <col min="9730" max="9738" width="10.42578125" style="2" bestFit="1" customWidth="1"/>
    <col min="9739" max="9742" width="11.5703125" style="2" bestFit="1" customWidth="1"/>
    <col min="9743" max="9983" width="11.42578125" style="2"/>
    <col min="9984" max="9984" width="4.7109375" style="2" customWidth="1"/>
    <col min="9985" max="9985" width="25.7109375" style="2" customWidth="1"/>
    <col min="9986" max="9994" width="10.42578125" style="2" bestFit="1" customWidth="1"/>
    <col min="9995" max="9998" width="11.5703125" style="2" bestFit="1" customWidth="1"/>
    <col min="9999" max="10239" width="11.42578125" style="2"/>
    <col min="10240" max="10240" width="4.7109375" style="2" customWidth="1"/>
    <col min="10241" max="10241" width="25.7109375" style="2" customWidth="1"/>
    <col min="10242" max="10250" width="10.42578125" style="2" bestFit="1" customWidth="1"/>
    <col min="10251" max="10254" width="11.5703125" style="2" bestFit="1" customWidth="1"/>
    <col min="10255" max="10495" width="11.42578125" style="2"/>
    <col min="10496" max="10496" width="4.7109375" style="2" customWidth="1"/>
    <col min="10497" max="10497" width="25.7109375" style="2" customWidth="1"/>
    <col min="10498" max="10506" width="10.42578125" style="2" bestFit="1" customWidth="1"/>
    <col min="10507" max="10510" width="11.5703125" style="2" bestFit="1" customWidth="1"/>
    <col min="10511" max="10751" width="11.42578125" style="2"/>
    <col min="10752" max="10752" width="4.7109375" style="2" customWidth="1"/>
    <col min="10753" max="10753" width="25.7109375" style="2" customWidth="1"/>
    <col min="10754" max="10762" width="10.42578125" style="2" bestFit="1" customWidth="1"/>
    <col min="10763" max="10766" width="11.5703125" style="2" bestFit="1" customWidth="1"/>
    <col min="10767" max="11007" width="11.42578125" style="2"/>
    <col min="11008" max="11008" width="4.7109375" style="2" customWidth="1"/>
    <col min="11009" max="11009" width="25.7109375" style="2" customWidth="1"/>
    <col min="11010" max="11018" width="10.42578125" style="2" bestFit="1" customWidth="1"/>
    <col min="11019" max="11022" width="11.5703125" style="2" bestFit="1" customWidth="1"/>
    <col min="11023" max="11263" width="11.42578125" style="2"/>
    <col min="11264" max="11264" width="4.7109375" style="2" customWidth="1"/>
    <col min="11265" max="11265" width="25.7109375" style="2" customWidth="1"/>
    <col min="11266" max="11274" width="10.42578125" style="2" bestFit="1" customWidth="1"/>
    <col min="11275" max="11278" width="11.5703125" style="2" bestFit="1" customWidth="1"/>
    <col min="11279" max="11519" width="11.42578125" style="2"/>
    <col min="11520" max="11520" width="4.7109375" style="2" customWidth="1"/>
    <col min="11521" max="11521" width="25.7109375" style="2" customWidth="1"/>
    <col min="11522" max="11530" width="10.42578125" style="2" bestFit="1" customWidth="1"/>
    <col min="11531" max="11534" width="11.5703125" style="2" bestFit="1" customWidth="1"/>
    <col min="11535" max="11775" width="11.42578125" style="2"/>
    <col min="11776" max="11776" width="4.7109375" style="2" customWidth="1"/>
    <col min="11777" max="11777" width="25.7109375" style="2" customWidth="1"/>
    <col min="11778" max="11786" width="10.42578125" style="2" bestFit="1" customWidth="1"/>
    <col min="11787" max="11790" width="11.5703125" style="2" bestFit="1" customWidth="1"/>
    <col min="11791" max="12031" width="11.42578125" style="2"/>
    <col min="12032" max="12032" width="4.7109375" style="2" customWidth="1"/>
    <col min="12033" max="12033" width="25.7109375" style="2" customWidth="1"/>
    <col min="12034" max="12042" width="10.42578125" style="2" bestFit="1" customWidth="1"/>
    <col min="12043" max="12046" width="11.5703125" style="2" bestFit="1" customWidth="1"/>
    <col min="12047" max="12287" width="11.42578125" style="2"/>
    <col min="12288" max="12288" width="4.7109375" style="2" customWidth="1"/>
    <col min="12289" max="12289" width="25.7109375" style="2" customWidth="1"/>
    <col min="12290" max="12298" width="10.42578125" style="2" bestFit="1" customWidth="1"/>
    <col min="12299" max="12302" width="11.5703125" style="2" bestFit="1" customWidth="1"/>
    <col min="12303" max="12543" width="11.42578125" style="2"/>
    <col min="12544" max="12544" width="4.7109375" style="2" customWidth="1"/>
    <col min="12545" max="12545" width="25.7109375" style="2" customWidth="1"/>
    <col min="12546" max="12554" width="10.42578125" style="2" bestFit="1" customWidth="1"/>
    <col min="12555" max="12558" width="11.5703125" style="2" bestFit="1" customWidth="1"/>
    <col min="12559" max="12799" width="11.42578125" style="2"/>
    <col min="12800" max="12800" width="4.7109375" style="2" customWidth="1"/>
    <col min="12801" max="12801" width="25.7109375" style="2" customWidth="1"/>
    <col min="12802" max="12810" width="10.42578125" style="2" bestFit="1" customWidth="1"/>
    <col min="12811" max="12814" width="11.5703125" style="2" bestFit="1" customWidth="1"/>
    <col min="12815" max="13055" width="11.42578125" style="2"/>
    <col min="13056" max="13056" width="4.7109375" style="2" customWidth="1"/>
    <col min="13057" max="13057" width="25.7109375" style="2" customWidth="1"/>
    <col min="13058" max="13066" width="10.42578125" style="2" bestFit="1" customWidth="1"/>
    <col min="13067" max="13070" width="11.5703125" style="2" bestFit="1" customWidth="1"/>
    <col min="13071" max="13311" width="11.42578125" style="2"/>
    <col min="13312" max="13312" width="4.7109375" style="2" customWidth="1"/>
    <col min="13313" max="13313" width="25.7109375" style="2" customWidth="1"/>
    <col min="13314" max="13322" width="10.42578125" style="2" bestFit="1" customWidth="1"/>
    <col min="13323" max="13326" width="11.5703125" style="2" bestFit="1" customWidth="1"/>
    <col min="13327" max="13567" width="11.42578125" style="2"/>
    <col min="13568" max="13568" width="4.7109375" style="2" customWidth="1"/>
    <col min="13569" max="13569" width="25.7109375" style="2" customWidth="1"/>
    <col min="13570" max="13578" width="10.42578125" style="2" bestFit="1" customWidth="1"/>
    <col min="13579" max="13582" width="11.5703125" style="2" bestFit="1" customWidth="1"/>
    <col min="13583" max="13823" width="11.42578125" style="2"/>
    <col min="13824" max="13824" width="4.7109375" style="2" customWidth="1"/>
    <col min="13825" max="13825" width="25.7109375" style="2" customWidth="1"/>
    <col min="13826" max="13834" width="10.42578125" style="2" bestFit="1" customWidth="1"/>
    <col min="13835" max="13838" width="11.5703125" style="2" bestFit="1" customWidth="1"/>
    <col min="13839" max="14079" width="11.42578125" style="2"/>
    <col min="14080" max="14080" width="4.7109375" style="2" customWidth="1"/>
    <col min="14081" max="14081" width="25.7109375" style="2" customWidth="1"/>
    <col min="14082" max="14090" width="10.42578125" style="2" bestFit="1" customWidth="1"/>
    <col min="14091" max="14094" width="11.5703125" style="2" bestFit="1" customWidth="1"/>
    <col min="14095" max="14335" width="11.42578125" style="2"/>
    <col min="14336" max="14336" width="4.7109375" style="2" customWidth="1"/>
    <col min="14337" max="14337" width="25.7109375" style="2" customWidth="1"/>
    <col min="14338" max="14346" width="10.42578125" style="2" bestFit="1" customWidth="1"/>
    <col min="14347" max="14350" width="11.5703125" style="2" bestFit="1" customWidth="1"/>
    <col min="14351" max="14591" width="11.42578125" style="2"/>
    <col min="14592" max="14592" width="4.7109375" style="2" customWidth="1"/>
    <col min="14593" max="14593" width="25.7109375" style="2" customWidth="1"/>
    <col min="14594" max="14602" width="10.42578125" style="2" bestFit="1" customWidth="1"/>
    <col min="14603" max="14606" width="11.5703125" style="2" bestFit="1" customWidth="1"/>
    <col min="14607" max="14847" width="11.42578125" style="2"/>
    <col min="14848" max="14848" width="4.7109375" style="2" customWidth="1"/>
    <col min="14849" max="14849" width="25.7109375" style="2" customWidth="1"/>
    <col min="14850" max="14858" width="10.42578125" style="2" bestFit="1" customWidth="1"/>
    <col min="14859" max="14862" width="11.5703125" style="2" bestFit="1" customWidth="1"/>
    <col min="14863" max="15103" width="11.42578125" style="2"/>
    <col min="15104" max="15104" width="4.7109375" style="2" customWidth="1"/>
    <col min="15105" max="15105" width="25.7109375" style="2" customWidth="1"/>
    <col min="15106" max="15114" width="10.42578125" style="2" bestFit="1" customWidth="1"/>
    <col min="15115" max="15118" width="11.5703125" style="2" bestFit="1" customWidth="1"/>
    <col min="15119" max="15359" width="11.42578125" style="2"/>
    <col min="15360" max="15360" width="4.7109375" style="2" customWidth="1"/>
    <col min="15361" max="15361" width="25.7109375" style="2" customWidth="1"/>
    <col min="15362" max="15370" width="10.42578125" style="2" bestFit="1" customWidth="1"/>
    <col min="15371" max="15374" width="11.5703125" style="2" bestFit="1" customWidth="1"/>
    <col min="15375" max="15615" width="11.42578125" style="2"/>
    <col min="15616" max="15616" width="4.7109375" style="2" customWidth="1"/>
    <col min="15617" max="15617" width="25.7109375" style="2" customWidth="1"/>
    <col min="15618" max="15626" width="10.42578125" style="2" bestFit="1" customWidth="1"/>
    <col min="15627" max="15630" width="11.5703125" style="2" bestFit="1" customWidth="1"/>
    <col min="15631" max="15871" width="11.42578125" style="2"/>
    <col min="15872" max="15872" width="4.7109375" style="2" customWidth="1"/>
    <col min="15873" max="15873" width="25.7109375" style="2" customWidth="1"/>
    <col min="15874" max="15882" width="10.42578125" style="2" bestFit="1" customWidth="1"/>
    <col min="15883" max="15886" width="11.5703125" style="2" bestFit="1" customWidth="1"/>
    <col min="15887" max="16127" width="11.42578125" style="2"/>
    <col min="16128" max="16128" width="4.7109375" style="2" customWidth="1"/>
    <col min="16129" max="16129" width="25.7109375" style="2" customWidth="1"/>
    <col min="16130" max="16138" width="10.42578125" style="2" bestFit="1" customWidth="1"/>
    <col min="16139" max="16142" width="11.5703125" style="2" bestFit="1" customWidth="1"/>
    <col min="16143" max="16384" width="11.42578125" style="2"/>
  </cols>
  <sheetData>
    <row r="1" spans="2:17" s="13" customFormat="1" ht="15" customHeight="1">
      <c r="B1" s="12"/>
      <c r="C1" s="337"/>
      <c r="D1" s="4"/>
      <c r="E1" s="444" t="s">
        <v>555</v>
      </c>
      <c r="F1" s="444"/>
      <c r="G1" s="444"/>
      <c r="H1" s="444"/>
      <c r="I1" s="4"/>
      <c r="J1" s="4"/>
    </row>
    <row r="2" spans="2:17" ht="15" customHeight="1"/>
    <row r="3" spans="2:17" ht="15" customHeight="1" thickBot="1">
      <c r="C3" s="355" t="s">
        <v>192</v>
      </c>
      <c r="D3" s="355">
        <v>2002</v>
      </c>
      <c r="E3" s="355">
        <v>2003</v>
      </c>
      <c r="F3" s="355">
        <v>2004</v>
      </c>
      <c r="G3" s="356" t="s">
        <v>469</v>
      </c>
      <c r="H3" s="431">
        <v>2005</v>
      </c>
      <c r="I3" s="355">
        <v>2006</v>
      </c>
      <c r="J3" s="355">
        <v>2007</v>
      </c>
      <c r="K3" s="355">
        <v>2008</v>
      </c>
      <c r="L3" s="355">
        <v>2009</v>
      </c>
      <c r="M3" s="355">
        <v>2010</v>
      </c>
      <c r="N3" s="355">
        <v>2011</v>
      </c>
      <c r="O3" s="355">
        <v>2012</v>
      </c>
    </row>
    <row r="4" spans="2:17" s="29" customFormat="1" ht="15" customHeight="1" thickTop="1">
      <c r="C4" s="225" t="s">
        <v>192</v>
      </c>
      <c r="D4" s="234">
        <f>+D5/D6</f>
        <v>0.93308592377979493</v>
      </c>
      <c r="E4" s="234">
        <f t="shared" ref="E4:O4" si="0">+E5/E6</f>
        <v>1.0127799798691144</v>
      </c>
      <c r="F4" s="234">
        <f t="shared" si="0"/>
        <v>1.004819530954822</v>
      </c>
      <c r="G4" s="234">
        <f t="shared" si="0"/>
        <v>1.0512468729689497</v>
      </c>
      <c r="H4" s="234">
        <f t="shared" si="0"/>
        <v>1</v>
      </c>
      <c r="I4" s="234">
        <f t="shared" si="0"/>
        <v>0.98690832664993022</v>
      </c>
      <c r="J4" s="234">
        <f t="shared" si="0"/>
        <v>1.06113189236797</v>
      </c>
      <c r="K4" s="234">
        <f t="shared" si="0"/>
        <v>1.0348458707902761</v>
      </c>
      <c r="L4" s="234">
        <f t="shared" si="0"/>
        <v>1.0277949159073612</v>
      </c>
      <c r="M4" s="234">
        <f t="shared" si="0"/>
        <v>1.0777119131016104</v>
      </c>
      <c r="N4" s="234">
        <f t="shared" si="0"/>
        <v>1.407613904115393</v>
      </c>
      <c r="O4" s="234">
        <f t="shared" si="0"/>
        <v>0.94380329214986058</v>
      </c>
      <c r="P4" s="30"/>
      <c r="Q4" s="31"/>
    </row>
    <row r="5" spans="2:17" ht="15" customHeight="1">
      <c r="C5" s="220" t="s">
        <v>186</v>
      </c>
      <c r="D5" s="220">
        <f>+SUMPRODUCT(PrecioImplicitoDelTrabajoAl2001!D4:D5,GastoEnSalariosAPrecios2001!C4:C5)</f>
        <v>3906642.1788427522</v>
      </c>
      <c r="E5" s="220">
        <f>+SUMPRODUCT(PrecioImplicitoDelTrabajoAl2001!E4:E5,GastoEnSalariosAPrecios2001!D4:D5)</f>
        <v>5035001.7114065764</v>
      </c>
      <c r="F5" s="220">
        <f>+SUMPRODUCT(PrecioImplicitoDelTrabajoAl2001!F4:F5,GastoEnSalariosAPrecios2001!E4:E5)</f>
        <v>5429934.2637762539</v>
      </c>
      <c r="G5" s="220">
        <f>+SUMPRODUCT(PrecioImplicitoDelTrabajoAl2001!G4:G5,GastoEnSalariosAPrecios2001!F4:F5)</f>
        <v>5681890.4216013812</v>
      </c>
      <c r="H5" s="220">
        <f>+SUMPRODUCT(PrecioImplicitoDelTrabajoAl2001!H4:H5,GastoEnSalariosAPrecios2001!G4:G5)</f>
        <v>6023492.5899999905</v>
      </c>
      <c r="I5" s="220">
        <f>+SUMPRODUCT(PrecioImplicitoDelTrabajoAl2001!I4:I5,GastoEnSalariosAPrecios2001!H4:H5)</f>
        <v>5944634.9925851449</v>
      </c>
      <c r="J5" s="220">
        <f>+SUMPRODUCT(PrecioImplicitoDelTrabajoAl2001!J4:J5,GastoEnSalariosAPrecios2001!I4:I5)</f>
        <v>6315957.2879309934</v>
      </c>
      <c r="K5" s="220">
        <f>+SUMPRODUCT(PrecioImplicitoDelTrabajoAl2001!K4:K5,GastoEnSalariosAPrecios2001!J4:J5)</f>
        <v>7975801.9731854182</v>
      </c>
      <c r="L5" s="220">
        <f>+SUMPRODUCT(PrecioImplicitoDelTrabajoAl2001!L4:L5,GastoEnSalariosAPrecios2001!K4:K5)</f>
        <v>8995335.5719160233</v>
      </c>
      <c r="M5" s="220">
        <f>+SUMPRODUCT(PrecioImplicitoDelTrabajoAl2001!M4:M5,GastoEnSalariosAPrecios2001!L4:L5)</f>
        <v>9822648.8653966822</v>
      </c>
      <c r="N5" s="220">
        <f>+SUMPRODUCT(PrecioImplicitoDelTrabajoAl2001!N4:N5,GastoEnSalariosAPrecios2001!M4:M5)</f>
        <v>14369448.06415168</v>
      </c>
      <c r="O5" s="220">
        <f>+SUMPRODUCT(PrecioImplicitoDelTrabajoAl2001!O4:O5,GastoEnSalariosAPrecios2001!N4:N5)</f>
        <v>13919901.19303159</v>
      </c>
      <c r="P5" s="20"/>
      <c r="Q5" s="21"/>
    </row>
    <row r="6" spans="2:17" ht="15" customHeight="1">
      <c r="C6" s="219" t="s">
        <v>187</v>
      </c>
      <c r="D6" s="219">
        <f>+SUMPRODUCT(PrecioImplicitoDelTrabajoAl2001!C4:C5,GastoEnSalariosAPrecios2001!C4:C5)</f>
        <v>4186797.8921142812</v>
      </c>
      <c r="E6" s="219">
        <f>+SUMPRODUCT(PrecioImplicitoDelTrabajoAl2001!D4:D5,GastoEnSalariosAPrecios2001!D4:D5)</f>
        <v>4971466.47</v>
      </c>
      <c r="F6" s="219">
        <f>+SUMPRODUCT(PrecioImplicitoDelTrabajoAl2001!E4:E5,GastoEnSalariosAPrecios2001!E4:E5)</f>
        <v>5403890.0484114802</v>
      </c>
      <c r="G6" s="219">
        <f>+SUMPRODUCT(PrecioImplicitoDelTrabajoAl2001!F4:F5,GastoEnSalariosAPrecios2001!F4:F5)</f>
        <v>5404905.89575262</v>
      </c>
      <c r="H6" s="219">
        <f>+SUMPRODUCT(PrecioImplicitoDelTrabajoAl2001!G4:G5,GastoEnSalariosAPrecios2001!G4:G5)</f>
        <v>6023492.5899999905</v>
      </c>
      <c r="I6" s="219">
        <f>+SUMPRODUCT(PrecioImplicitoDelTrabajoAl2001!H4:H5,GastoEnSalariosAPrecios2001!H4:H5)</f>
        <v>6023492.5899999905</v>
      </c>
      <c r="J6" s="219">
        <f>+SUMPRODUCT(PrecioImplicitoDelTrabajoAl2001!I4:I5,GastoEnSalariosAPrecios2001!I4:I5)</f>
        <v>5952094.488307775</v>
      </c>
      <c r="K6" s="219">
        <f>+SUMPRODUCT(PrecioImplicitoDelTrabajoAl2001!J4:J5,GastoEnSalariosAPrecios2001!J4:J5)</f>
        <v>7707236.6023885012</v>
      </c>
      <c r="L6" s="219">
        <f>+SUMPRODUCT(PrecioImplicitoDelTrabajoAl2001!K4:K5,GastoEnSalariosAPrecios2001!K4:K5)</f>
        <v>8752072.4540408272</v>
      </c>
      <c r="M6" s="219">
        <f>+SUMPRODUCT(PrecioImplicitoDelTrabajoAl2001!L4:L5,GastoEnSalariosAPrecios2001!L4:L5)</f>
        <v>9114354.9087506179</v>
      </c>
      <c r="N6" s="219">
        <f>+SUMPRODUCT(PrecioImplicitoDelTrabajoAl2001!M4:M5,GastoEnSalariosAPrecios2001!M4:M5)</f>
        <v>10208373.206701221</v>
      </c>
      <c r="O6" s="219">
        <f>+SUMPRODUCT(PrecioImplicitoDelTrabajoAl2001!N4:N5,GastoEnSalariosAPrecios2001!N4:N5)</f>
        <v>14748731.339264428</v>
      </c>
      <c r="P6" s="20"/>
      <c r="Q6" s="21"/>
    </row>
    <row r="7" spans="2:17" s="29" customFormat="1" ht="15" customHeight="1">
      <c r="C7" s="243" t="s">
        <v>193</v>
      </c>
      <c r="D7" s="237">
        <f>+D8/D9</f>
        <v>0.93619388509243817</v>
      </c>
      <c r="E7" s="237">
        <f t="shared" ref="E7:O7" si="1">+E8/E9</f>
        <v>1.0131098489593942</v>
      </c>
      <c r="F7" s="237">
        <f t="shared" si="1"/>
        <v>1.0032304053350654</v>
      </c>
      <c r="G7" s="237">
        <f t="shared" si="1"/>
        <v>1.0476346107105203</v>
      </c>
      <c r="H7" s="237">
        <f t="shared" si="1"/>
        <v>1</v>
      </c>
      <c r="I7" s="237">
        <f t="shared" si="1"/>
        <v>0.98931780489821253</v>
      </c>
      <c r="J7" s="237">
        <f t="shared" si="1"/>
        <v>1.0542470461242286</v>
      </c>
      <c r="K7" s="237">
        <f t="shared" si="1"/>
        <v>1.0332225581922998</v>
      </c>
      <c r="L7" s="237">
        <f t="shared" si="1"/>
        <v>1.0278890397281131</v>
      </c>
      <c r="M7" s="237">
        <f t="shared" si="1"/>
        <v>1.0713956868744787</v>
      </c>
      <c r="N7" s="237">
        <f t="shared" si="1"/>
        <v>1.4128049888670118</v>
      </c>
      <c r="O7" s="237">
        <f t="shared" si="1"/>
        <v>0.9436014701708616</v>
      </c>
      <c r="P7" s="30"/>
      <c r="Q7" s="31"/>
    </row>
    <row r="8" spans="2:17" ht="15" customHeight="1">
      <c r="C8" s="219" t="s">
        <v>186</v>
      </c>
      <c r="D8" s="219">
        <f>+SUMPRODUCT(PrecioImplicitoDelTrabajoAl2001!D4:D5,GastoEnSalariosAPrecios2001!D4:D5)</f>
        <v>4971466.47</v>
      </c>
      <c r="E8" s="219">
        <f>+SUMPRODUCT(PrecioImplicitoDelTrabajoAl2001!E4:E5,GastoEnSalariosAPrecios2001!E4:E5)</f>
        <v>5403890.0484114802</v>
      </c>
      <c r="F8" s="219">
        <f>+SUMPRODUCT(PrecioImplicitoDelTrabajoAl2001!F4:F5,GastoEnSalariosAPrecios2001!F4:F5)</f>
        <v>5404905.89575262</v>
      </c>
      <c r="G8" s="219">
        <f>+SUMPRODUCT(PrecioImplicitoDelTrabajoAl2001!G4:G5,GastoEnSalariosAPrecios2001!G4:G5)</f>
        <v>6023492.5899999905</v>
      </c>
      <c r="H8" s="219">
        <f>+SUMPRODUCT(PrecioImplicitoDelTrabajoAl2001!H4:H5,GastoEnSalariosAPrecios2001!H4:H5)</f>
        <v>6023492.5899999905</v>
      </c>
      <c r="I8" s="219">
        <f>+SUMPRODUCT(PrecioImplicitoDelTrabajoAl2001!I4:I5,GastoEnSalariosAPrecios2001!I4:I5)</f>
        <v>5952094.488307775</v>
      </c>
      <c r="J8" s="219">
        <f>+SUMPRODUCT(PrecioImplicitoDelTrabajoAl2001!J4:J5,GastoEnSalariosAPrecios2001!J4:J5)</f>
        <v>7707236.6023885012</v>
      </c>
      <c r="K8" s="219">
        <f>+SUMPRODUCT(PrecioImplicitoDelTrabajoAl2001!K4:K5,GastoEnSalariosAPrecios2001!K4:K5)</f>
        <v>8752072.4540408272</v>
      </c>
      <c r="L8" s="219">
        <f>+SUMPRODUCT(PrecioImplicitoDelTrabajoAl2001!L4:L5,GastoEnSalariosAPrecios2001!L4:L5)</f>
        <v>9114354.9087506179</v>
      </c>
      <c r="M8" s="219">
        <f>+SUMPRODUCT(PrecioImplicitoDelTrabajoAl2001!M4:M5,GastoEnSalariosAPrecios2001!M4:M5)</f>
        <v>10208373.206701221</v>
      </c>
      <c r="N8" s="219">
        <f>+SUMPRODUCT(PrecioImplicitoDelTrabajoAl2001!N4:N5,GastoEnSalariosAPrecios2001!N4:N5)</f>
        <v>14748731.339264428</v>
      </c>
      <c r="O8" s="219">
        <f>+SUMPRODUCT(PrecioImplicitoDelTrabajoAl2001!O4:O5,GastoEnSalariosAPrecios2001!O4:O5)</f>
        <v>15638298.79663155</v>
      </c>
      <c r="P8" s="22"/>
      <c r="Q8" s="21"/>
    </row>
    <row r="9" spans="2:17" ht="15" customHeight="1">
      <c r="C9" s="220" t="s">
        <v>187</v>
      </c>
      <c r="D9" s="220">
        <f>+SUMPRODUCT(PrecioImplicitoDelTrabajoAl2001!C4:C5,GastoEnSalariosAPrecios2001!D4:D5)</f>
        <v>5310295.8149626516</v>
      </c>
      <c r="E9" s="220">
        <f>+SUMPRODUCT(PrecioImplicitoDelTrabajoAl2001!D4:D5,GastoEnSalariosAPrecios2001!E4:E5)</f>
        <v>5333962.6043138681</v>
      </c>
      <c r="F9" s="220">
        <f>+SUMPRODUCT(PrecioImplicitoDelTrabajoAl2001!E4:E5,GastoEnSalariosAPrecios2001!F4:F5)</f>
        <v>5387502.0802897764</v>
      </c>
      <c r="G9" s="220">
        <f>+SUMPRODUCT(PrecioImplicitoDelTrabajoAl2001!F4:F5,GastoEnSalariosAPrecios2001!G4:G5)</f>
        <v>5749612.0578860743</v>
      </c>
      <c r="H9" s="220">
        <f>+SUMPRODUCT(PrecioImplicitoDelTrabajoAl2001!G4:G5,GastoEnSalariosAPrecios2001!H4:H5)</f>
        <v>6023492.5899999905</v>
      </c>
      <c r="I9" s="220">
        <f>+SUMPRODUCT(PrecioImplicitoDelTrabajoAl2001!H4:H5,GastoEnSalariosAPrecios2001!I4:I5)</f>
        <v>6016362.4457564121</v>
      </c>
      <c r="J9" s="220">
        <f>+SUMPRODUCT(PrecioImplicitoDelTrabajoAl2001!I4:I5,GastoEnSalariosAPrecios2001!J4:J5)</f>
        <v>7310655.154997047</v>
      </c>
      <c r="K9" s="220">
        <f>+SUMPRODUCT(PrecioImplicitoDelTrabajoAl2001!J4:J5,GastoEnSalariosAPrecios2001!K4:K5)</f>
        <v>8470655.6052678842</v>
      </c>
      <c r="L9" s="220">
        <f>+SUMPRODUCT(PrecioImplicitoDelTrabajoAl2001!K4:K5,GastoEnSalariosAPrecios2001!L4:L5)</f>
        <v>8867061.0897470564</v>
      </c>
      <c r="M9" s="220">
        <f>+SUMPRODUCT(PrecioImplicitoDelTrabajoAl2001!L4:L5,GastoEnSalariosAPrecios2001!M4:M5)</f>
        <v>9528107.4319811035</v>
      </c>
      <c r="N9" s="220">
        <f>+SUMPRODUCT(PrecioImplicitoDelTrabajoAl2001!M4:M5,GastoEnSalariosAPrecios2001!N4:N5)</f>
        <v>10439325.636223907</v>
      </c>
      <c r="O9" s="220">
        <f>+SUMPRODUCT(PrecioImplicitoDelTrabajoAl2001!N4:N5,GastoEnSalariosAPrecios2001!O4:O5)</f>
        <v>16572991.13130871</v>
      </c>
      <c r="P9" s="22"/>
      <c r="Q9" s="21"/>
    </row>
    <row r="10" spans="2:17" ht="15" customHeight="1">
      <c r="C10" s="243" t="s">
        <v>194</v>
      </c>
      <c r="D10" s="237">
        <f>((D8/D9)*(D5/D6))^0.5</f>
        <v>0.93463861257090852</v>
      </c>
      <c r="E10" s="237">
        <f t="shared" ref="E10:O10" si="2">((E8/E9)*(E5/E6))^0.5</f>
        <v>1.0129449009863749</v>
      </c>
      <c r="F10" s="237">
        <f t="shared" si="2"/>
        <v>1.0040246537453135</v>
      </c>
      <c r="G10" s="237">
        <f t="shared" si="2"/>
        <v>1.049439187625218</v>
      </c>
      <c r="H10" s="237">
        <f t="shared" si="2"/>
        <v>1</v>
      </c>
      <c r="I10" s="237">
        <f t="shared" si="2"/>
        <v>0.98811233134551912</v>
      </c>
      <c r="J10" s="237">
        <f t="shared" si="2"/>
        <v>1.0576838672671269</v>
      </c>
      <c r="K10" s="237">
        <f t="shared" si="2"/>
        <v>1.0340338959399094</v>
      </c>
      <c r="L10" s="237">
        <f t="shared" si="2"/>
        <v>1.0278419767403228</v>
      </c>
      <c r="M10" s="237">
        <f t="shared" si="2"/>
        <v>1.0745491591315439</v>
      </c>
      <c r="N10" s="237">
        <f t="shared" si="2"/>
        <v>1.4102070578935559</v>
      </c>
      <c r="O10" s="237">
        <f t="shared" si="2"/>
        <v>0.94370237576510718</v>
      </c>
      <c r="P10" s="353"/>
      <c r="Q10" s="21"/>
    </row>
    <row r="11" spans="2:17" ht="15" customHeight="1">
      <c r="C11" s="243" t="s">
        <v>328</v>
      </c>
      <c r="D11" s="237">
        <f>LN(D10)</f>
        <v>-6.7595335027281239E-2</v>
      </c>
      <c r="E11" s="237">
        <f t="shared" ref="E11:O11" si="3">LN(E10)</f>
        <v>1.2861831868570055E-2</v>
      </c>
      <c r="F11" s="237">
        <f t="shared" si="3"/>
        <v>4.0165764912761127E-3</v>
      </c>
      <c r="G11" s="237">
        <f t="shared" si="3"/>
        <v>4.8255914459865157E-2</v>
      </c>
      <c r="H11" s="237"/>
      <c r="I11" s="237">
        <f t="shared" si="3"/>
        <v>-1.1958892003289508E-2</v>
      </c>
      <c r="J11" s="237">
        <f t="shared" si="3"/>
        <v>5.6081486580850166E-2</v>
      </c>
      <c r="K11" s="237">
        <f t="shared" si="3"/>
        <v>3.3467556922159795E-2</v>
      </c>
      <c r="L11" s="237">
        <f t="shared" si="3"/>
        <v>2.7461436092778319E-2</v>
      </c>
      <c r="M11" s="237">
        <f t="shared" si="3"/>
        <v>7.1901186757985819E-2</v>
      </c>
      <c r="N11" s="237">
        <f t="shared" si="3"/>
        <v>0.34373654317863211</v>
      </c>
      <c r="O11" s="325">
        <f t="shared" si="3"/>
        <v>-5.7944442457640119E-2</v>
      </c>
      <c r="P11" s="354"/>
      <c r="Q11" s="23"/>
    </row>
    <row r="12" spans="2:17" ht="15" customHeight="1">
      <c r="B12" s="6"/>
      <c r="C12" s="6"/>
      <c r="D12" s="24"/>
      <c r="E12" s="24"/>
      <c r="F12" s="24"/>
      <c r="G12" s="24"/>
      <c r="H12" s="24"/>
      <c r="I12" s="24"/>
      <c r="J12" s="24"/>
      <c r="K12" s="24"/>
      <c r="L12" s="24"/>
      <c r="M12" s="24"/>
      <c r="P12" s="6"/>
    </row>
    <row r="13" spans="2:17" ht="15" customHeight="1" thickBot="1">
      <c r="B13" s="25"/>
      <c r="C13" s="26"/>
      <c r="N13" s="355" t="s">
        <v>191</v>
      </c>
      <c r="O13" s="405">
        <f>+AVERAGE(D11:O11)</f>
        <v>4.1843987533082432E-2</v>
      </c>
      <c r="P13" s="6"/>
    </row>
    <row r="14" spans="2:17" ht="15" customHeight="1" thickTop="1">
      <c r="B14" s="16"/>
      <c r="C14" s="16"/>
      <c r="P14" s="6"/>
    </row>
    <row r="15" spans="2:17" ht="15" customHeight="1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2:17" ht="15" customHeight="1"/>
    <row r="17" spans="4:15" ht="15" customHeight="1"/>
    <row r="18" spans="4:15" ht="15" customHeight="1"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4:15" ht="15" customHeight="1"/>
    <row r="20" spans="4:15" ht="15" customHeight="1"/>
    <row r="21" spans="4:15" ht="15" customHeight="1"/>
    <row r="22" spans="4:15" ht="15" customHeight="1"/>
  </sheetData>
  <mergeCells count="1">
    <mergeCell ref="E1:H1"/>
  </mergeCells>
  <hyperlinks>
    <hyperlink ref="E1:H1" location="Indice!D3" display="ÍNDICE"/>
  </hyperlinks>
  <pageMargins left="0.7" right="0.7" top="0.75" bottom="0.75" header="0.3" footer="0.3"/>
  <pageSetup orientation="portrait" r:id="rId1"/>
  <ignoredErrors>
    <ignoredError sqref="D6 D9" formulaRange="1"/>
  </ignoredErrors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9">
    <tabColor theme="6" tint="0.39997558519241921"/>
    <pageSetUpPr fitToPage="1"/>
  </sheetPr>
  <dimension ref="A1:AC35"/>
  <sheetViews>
    <sheetView showGridLines="0" workbookViewId="0">
      <selection activeCell="E2" sqref="E2:H2"/>
    </sheetView>
  </sheetViews>
  <sheetFormatPr baseColWidth="10" defaultRowHeight="9"/>
  <cols>
    <col min="1" max="1" width="17.42578125" style="119" customWidth="1"/>
    <col min="2" max="15" width="8.28515625" style="119" customWidth="1"/>
    <col min="16" max="16" width="13.7109375" style="119" customWidth="1"/>
    <col min="17" max="18" width="9.42578125" style="119" customWidth="1"/>
    <col min="19" max="20" width="9.42578125" style="246" customWidth="1"/>
    <col min="21" max="23" width="14" style="246" customWidth="1"/>
    <col min="24" max="24" width="15.28515625" style="246" customWidth="1"/>
    <col min="25" max="28" width="14" style="246" customWidth="1"/>
    <col min="29" max="29" width="16.7109375" style="246" customWidth="1"/>
    <col min="30" max="30" width="15.28515625" style="119" customWidth="1"/>
    <col min="31" max="31" width="17" style="119" customWidth="1"/>
    <col min="32" max="44" width="14.140625" style="119" customWidth="1"/>
    <col min="45" max="45" width="15.7109375" style="119" bestFit="1" customWidth="1"/>
    <col min="46" max="46" width="16.7109375" style="119" bestFit="1" customWidth="1"/>
    <col min="47" max="48" width="15.7109375" style="119" bestFit="1" customWidth="1"/>
    <col min="49" max="49" width="16.7109375" style="119" bestFit="1" customWidth="1"/>
    <col min="50" max="50" width="14.5703125" style="119" bestFit="1" customWidth="1"/>
    <col min="51" max="52" width="15.7109375" style="119" bestFit="1" customWidth="1"/>
    <col min="53" max="53" width="16.7109375" style="119" bestFit="1" customWidth="1"/>
    <col min="54" max="54" width="11.5703125" style="119" bestFit="1" customWidth="1"/>
    <col min="55" max="57" width="22.28515625" style="119" bestFit="1" customWidth="1"/>
    <col min="58" max="58" width="23.5703125" style="119" bestFit="1" customWidth="1"/>
    <col min="59" max="254" width="11.42578125" style="119"/>
    <col min="255" max="255" width="16" style="119" customWidth="1"/>
    <col min="256" max="256" width="35" style="119" customWidth="1"/>
    <col min="257" max="272" width="13.7109375" style="119" customWidth="1"/>
    <col min="273" max="273" width="19.5703125" style="119" bestFit="1" customWidth="1"/>
    <col min="274" max="274" width="12.5703125" style="119" customWidth="1"/>
    <col min="275" max="279" width="14" style="119" customWidth="1"/>
    <col min="280" max="280" width="15.28515625" style="119" customWidth="1"/>
    <col min="281" max="284" width="14" style="119" customWidth="1"/>
    <col min="285" max="285" width="16.7109375" style="119" customWidth="1"/>
    <col min="286" max="286" width="15.28515625" style="119" customWidth="1"/>
    <col min="287" max="287" width="17" style="119" customWidth="1"/>
    <col min="288" max="300" width="14.140625" style="119" customWidth="1"/>
    <col min="301" max="301" width="15.7109375" style="119" bestFit="1" customWidth="1"/>
    <col min="302" max="302" width="16.7109375" style="119" bestFit="1" customWidth="1"/>
    <col min="303" max="304" width="15.7109375" style="119" bestFit="1" customWidth="1"/>
    <col min="305" max="305" width="16.7109375" style="119" bestFit="1" customWidth="1"/>
    <col min="306" max="306" width="14.5703125" style="119" bestFit="1" customWidth="1"/>
    <col min="307" max="308" width="15.7109375" style="119" bestFit="1" customWidth="1"/>
    <col min="309" max="309" width="16.7109375" style="119" bestFit="1" customWidth="1"/>
    <col min="310" max="310" width="11.5703125" style="119" bestFit="1" customWidth="1"/>
    <col min="311" max="313" width="22.28515625" style="119" bestFit="1" customWidth="1"/>
    <col min="314" max="314" width="23.5703125" style="119" bestFit="1" customWidth="1"/>
    <col min="315" max="510" width="11.42578125" style="119"/>
    <col min="511" max="511" width="16" style="119" customWidth="1"/>
    <col min="512" max="512" width="35" style="119" customWidth="1"/>
    <col min="513" max="528" width="13.7109375" style="119" customWidth="1"/>
    <col min="529" max="529" width="19.5703125" style="119" bestFit="1" customWidth="1"/>
    <col min="530" max="530" width="12.5703125" style="119" customWidth="1"/>
    <col min="531" max="535" width="14" style="119" customWidth="1"/>
    <col min="536" max="536" width="15.28515625" style="119" customWidth="1"/>
    <col min="537" max="540" width="14" style="119" customWidth="1"/>
    <col min="541" max="541" width="16.7109375" style="119" customWidth="1"/>
    <col min="542" max="542" width="15.28515625" style="119" customWidth="1"/>
    <col min="543" max="543" width="17" style="119" customWidth="1"/>
    <col min="544" max="556" width="14.140625" style="119" customWidth="1"/>
    <col min="557" max="557" width="15.7109375" style="119" bestFit="1" customWidth="1"/>
    <col min="558" max="558" width="16.7109375" style="119" bestFit="1" customWidth="1"/>
    <col min="559" max="560" width="15.7109375" style="119" bestFit="1" customWidth="1"/>
    <col min="561" max="561" width="16.7109375" style="119" bestFit="1" customWidth="1"/>
    <col min="562" max="562" width="14.5703125" style="119" bestFit="1" customWidth="1"/>
    <col min="563" max="564" width="15.7109375" style="119" bestFit="1" customWidth="1"/>
    <col min="565" max="565" width="16.7109375" style="119" bestFit="1" customWidth="1"/>
    <col min="566" max="566" width="11.5703125" style="119" bestFit="1" customWidth="1"/>
    <col min="567" max="569" width="22.28515625" style="119" bestFit="1" customWidth="1"/>
    <col min="570" max="570" width="23.5703125" style="119" bestFit="1" customWidth="1"/>
    <col min="571" max="766" width="11.42578125" style="119"/>
    <col min="767" max="767" width="16" style="119" customWidth="1"/>
    <col min="768" max="768" width="35" style="119" customWidth="1"/>
    <col min="769" max="784" width="13.7109375" style="119" customWidth="1"/>
    <col min="785" max="785" width="19.5703125" style="119" bestFit="1" customWidth="1"/>
    <col min="786" max="786" width="12.5703125" style="119" customWidth="1"/>
    <col min="787" max="791" width="14" style="119" customWidth="1"/>
    <col min="792" max="792" width="15.28515625" style="119" customWidth="1"/>
    <col min="793" max="796" width="14" style="119" customWidth="1"/>
    <col min="797" max="797" width="16.7109375" style="119" customWidth="1"/>
    <col min="798" max="798" width="15.28515625" style="119" customWidth="1"/>
    <col min="799" max="799" width="17" style="119" customWidth="1"/>
    <col min="800" max="812" width="14.140625" style="119" customWidth="1"/>
    <col min="813" max="813" width="15.7109375" style="119" bestFit="1" customWidth="1"/>
    <col min="814" max="814" width="16.7109375" style="119" bestFit="1" customWidth="1"/>
    <col min="815" max="816" width="15.7109375" style="119" bestFit="1" customWidth="1"/>
    <col min="817" max="817" width="16.7109375" style="119" bestFit="1" customWidth="1"/>
    <col min="818" max="818" width="14.5703125" style="119" bestFit="1" customWidth="1"/>
    <col min="819" max="820" width="15.7109375" style="119" bestFit="1" customWidth="1"/>
    <col min="821" max="821" width="16.7109375" style="119" bestFit="1" customWidth="1"/>
    <col min="822" max="822" width="11.5703125" style="119" bestFit="1" customWidth="1"/>
    <col min="823" max="825" width="22.28515625" style="119" bestFit="1" customWidth="1"/>
    <col min="826" max="826" width="23.5703125" style="119" bestFit="1" customWidth="1"/>
    <col min="827" max="1022" width="11.42578125" style="119"/>
    <col min="1023" max="1023" width="16" style="119" customWidth="1"/>
    <col min="1024" max="1024" width="35" style="119" customWidth="1"/>
    <col min="1025" max="1040" width="13.7109375" style="119" customWidth="1"/>
    <col min="1041" max="1041" width="19.5703125" style="119" bestFit="1" customWidth="1"/>
    <col min="1042" max="1042" width="12.5703125" style="119" customWidth="1"/>
    <col min="1043" max="1047" width="14" style="119" customWidth="1"/>
    <col min="1048" max="1048" width="15.28515625" style="119" customWidth="1"/>
    <col min="1049" max="1052" width="14" style="119" customWidth="1"/>
    <col min="1053" max="1053" width="16.7109375" style="119" customWidth="1"/>
    <col min="1054" max="1054" width="15.28515625" style="119" customWidth="1"/>
    <col min="1055" max="1055" width="17" style="119" customWidth="1"/>
    <col min="1056" max="1068" width="14.140625" style="119" customWidth="1"/>
    <col min="1069" max="1069" width="15.7109375" style="119" bestFit="1" customWidth="1"/>
    <col min="1070" max="1070" width="16.7109375" style="119" bestFit="1" customWidth="1"/>
    <col min="1071" max="1072" width="15.7109375" style="119" bestFit="1" customWidth="1"/>
    <col min="1073" max="1073" width="16.7109375" style="119" bestFit="1" customWidth="1"/>
    <col min="1074" max="1074" width="14.5703125" style="119" bestFit="1" customWidth="1"/>
    <col min="1075" max="1076" width="15.7109375" style="119" bestFit="1" customWidth="1"/>
    <col min="1077" max="1077" width="16.7109375" style="119" bestFit="1" customWidth="1"/>
    <col min="1078" max="1078" width="11.5703125" style="119" bestFit="1" customWidth="1"/>
    <col min="1079" max="1081" width="22.28515625" style="119" bestFit="1" customWidth="1"/>
    <col min="1082" max="1082" width="23.5703125" style="119" bestFit="1" customWidth="1"/>
    <col min="1083" max="1278" width="11.42578125" style="119"/>
    <col min="1279" max="1279" width="16" style="119" customWidth="1"/>
    <col min="1280" max="1280" width="35" style="119" customWidth="1"/>
    <col min="1281" max="1296" width="13.7109375" style="119" customWidth="1"/>
    <col min="1297" max="1297" width="19.5703125" style="119" bestFit="1" customWidth="1"/>
    <col min="1298" max="1298" width="12.5703125" style="119" customWidth="1"/>
    <col min="1299" max="1303" width="14" style="119" customWidth="1"/>
    <col min="1304" max="1304" width="15.28515625" style="119" customWidth="1"/>
    <col min="1305" max="1308" width="14" style="119" customWidth="1"/>
    <col min="1309" max="1309" width="16.7109375" style="119" customWidth="1"/>
    <col min="1310" max="1310" width="15.28515625" style="119" customWidth="1"/>
    <col min="1311" max="1311" width="17" style="119" customWidth="1"/>
    <col min="1312" max="1324" width="14.140625" style="119" customWidth="1"/>
    <col min="1325" max="1325" width="15.7109375" style="119" bestFit="1" customWidth="1"/>
    <col min="1326" max="1326" width="16.7109375" style="119" bestFit="1" customWidth="1"/>
    <col min="1327" max="1328" width="15.7109375" style="119" bestFit="1" customWidth="1"/>
    <col min="1329" max="1329" width="16.7109375" style="119" bestFit="1" customWidth="1"/>
    <col min="1330" max="1330" width="14.5703125" style="119" bestFit="1" customWidth="1"/>
    <col min="1331" max="1332" width="15.7109375" style="119" bestFit="1" customWidth="1"/>
    <col min="1333" max="1333" width="16.7109375" style="119" bestFit="1" customWidth="1"/>
    <col min="1334" max="1334" width="11.5703125" style="119" bestFit="1" customWidth="1"/>
    <col min="1335" max="1337" width="22.28515625" style="119" bestFit="1" customWidth="1"/>
    <col min="1338" max="1338" width="23.5703125" style="119" bestFit="1" customWidth="1"/>
    <col min="1339" max="1534" width="11.42578125" style="119"/>
    <col min="1535" max="1535" width="16" style="119" customWidth="1"/>
    <col min="1536" max="1536" width="35" style="119" customWidth="1"/>
    <col min="1537" max="1552" width="13.7109375" style="119" customWidth="1"/>
    <col min="1553" max="1553" width="19.5703125" style="119" bestFit="1" customWidth="1"/>
    <col min="1554" max="1554" width="12.5703125" style="119" customWidth="1"/>
    <col min="1555" max="1559" width="14" style="119" customWidth="1"/>
    <col min="1560" max="1560" width="15.28515625" style="119" customWidth="1"/>
    <col min="1561" max="1564" width="14" style="119" customWidth="1"/>
    <col min="1565" max="1565" width="16.7109375" style="119" customWidth="1"/>
    <col min="1566" max="1566" width="15.28515625" style="119" customWidth="1"/>
    <col min="1567" max="1567" width="17" style="119" customWidth="1"/>
    <col min="1568" max="1580" width="14.140625" style="119" customWidth="1"/>
    <col min="1581" max="1581" width="15.7109375" style="119" bestFit="1" customWidth="1"/>
    <col min="1582" max="1582" width="16.7109375" style="119" bestFit="1" customWidth="1"/>
    <col min="1583" max="1584" width="15.7109375" style="119" bestFit="1" customWidth="1"/>
    <col min="1585" max="1585" width="16.7109375" style="119" bestFit="1" customWidth="1"/>
    <col min="1586" max="1586" width="14.5703125" style="119" bestFit="1" customWidth="1"/>
    <col min="1587" max="1588" width="15.7109375" style="119" bestFit="1" customWidth="1"/>
    <col min="1589" max="1589" width="16.7109375" style="119" bestFit="1" customWidth="1"/>
    <col min="1590" max="1590" width="11.5703125" style="119" bestFit="1" customWidth="1"/>
    <col min="1591" max="1593" width="22.28515625" style="119" bestFit="1" customWidth="1"/>
    <col min="1594" max="1594" width="23.5703125" style="119" bestFit="1" customWidth="1"/>
    <col min="1595" max="1790" width="11.42578125" style="119"/>
    <col min="1791" max="1791" width="16" style="119" customWidth="1"/>
    <col min="1792" max="1792" width="35" style="119" customWidth="1"/>
    <col min="1793" max="1808" width="13.7109375" style="119" customWidth="1"/>
    <col min="1809" max="1809" width="19.5703125" style="119" bestFit="1" customWidth="1"/>
    <col min="1810" max="1810" width="12.5703125" style="119" customWidth="1"/>
    <col min="1811" max="1815" width="14" style="119" customWidth="1"/>
    <col min="1816" max="1816" width="15.28515625" style="119" customWidth="1"/>
    <col min="1817" max="1820" width="14" style="119" customWidth="1"/>
    <col min="1821" max="1821" width="16.7109375" style="119" customWidth="1"/>
    <col min="1822" max="1822" width="15.28515625" style="119" customWidth="1"/>
    <col min="1823" max="1823" width="17" style="119" customWidth="1"/>
    <col min="1824" max="1836" width="14.140625" style="119" customWidth="1"/>
    <col min="1837" max="1837" width="15.7109375" style="119" bestFit="1" customWidth="1"/>
    <col min="1838" max="1838" width="16.7109375" style="119" bestFit="1" customWidth="1"/>
    <col min="1839" max="1840" width="15.7109375" style="119" bestFit="1" customWidth="1"/>
    <col min="1841" max="1841" width="16.7109375" style="119" bestFit="1" customWidth="1"/>
    <col min="1842" max="1842" width="14.5703125" style="119" bestFit="1" customWidth="1"/>
    <col min="1843" max="1844" width="15.7109375" style="119" bestFit="1" customWidth="1"/>
    <col min="1845" max="1845" width="16.7109375" style="119" bestFit="1" customWidth="1"/>
    <col min="1846" max="1846" width="11.5703125" style="119" bestFit="1" customWidth="1"/>
    <col min="1847" max="1849" width="22.28515625" style="119" bestFit="1" customWidth="1"/>
    <col min="1850" max="1850" width="23.5703125" style="119" bestFit="1" customWidth="1"/>
    <col min="1851" max="2046" width="11.42578125" style="119"/>
    <col min="2047" max="2047" width="16" style="119" customWidth="1"/>
    <col min="2048" max="2048" width="35" style="119" customWidth="1"/>
    <col min="2049" max="2064" width="13.7109375" style="119" customWidth="1"/>
    <col min="2065" max="2065" width="19.5703125" style="119" bestFit="1" customWidth="1"/>
    <col min="2066" max="2066" width="12.5703125" style="119" customWidth="1"/>
    <col min="2067" max="2071" width="14" style="119" customWidth="1"/>
    <col min="2072" max="2072" width="15.28515625" style="119" customWidth="1"/>
    <col min="2073" max="2076" width="14" style="119" customWidth="1"/>
    <col min="2077" max="2077" width="16.7109375" style="119" customWidth="1"/>
    <col min="2078" max="2078" width="15.28515625" style="119" customWidth="1"/>
    <col min="2079" max="2079" width="17" style="119" customWidth="1"/>
    <col min="2080" max="2092" width="14.140625" style="119" customWidth="1"/>
    <col min="2093" max="2093" width="15.7109375" style="119" bestFit="1" customWidth="1"/>
    <col min="2094" max="2094" width="16.7109375" style="119" bestFit="1" customWidth="1"/>
    <col min="2095" max="2096" width="15.7109375" style="119" bestFit="1" customWidth="1"/>
    <col min="2097" max="2097" width="16.7109375" style="119" bestFit="1" customWidth="1"/>
    <col min="2098" max="2098" width="14.5703125" style="119" bestFit="1" customWidth="1"/>
    <col min="2099" max="2100" width="15.7109375" style="119" bestFit="1" customWidth="1"/>
    <col min="2101" max="2101" width="16.7109375" style="119" bestFit="1" customWidth="1"/>
    <col min="2102" max="2102" width="11.5703125" style="119" bestFit="1" customWidth="1"/>
    <col min="2103" max="2105" width="22.28515625" style="119" bestFit="1" customWidth="1"/>
    <col min="2106" max="2106" width="23.5703125" style="119" bestFit="1" customWidth="1"/>
    <col min="2107" max="2302" width="11.42578125" style="119"/>
    <col min="2303" max="2303" width="16" style="119" customWidth="1"/>
    <col min="2304" max="2304" width="35" style="119" customWidth="1"/>
    <col min="2305" max="2320" width="13.7109375" style="119" customWidth="1"/>
    <col min="2321" max="2321" width="19.5703125" style="119" bestFit="1" customWidth="1"/>
    <col min="2322" max="2322" width="12.5703125" style="119" customWidth="1"/>
    <col min="2323" max="2327" width="14" style="119" customWidth="1"/>
    <col min="2328" max="2328" width="15.28515625" style="119" customWidth="1"/>
    <col min="2329" max="2332" width="14" style="119" customWidth="1"/>
    <col min="2333" max="2333" width="16.7109375" style="119" customWidth="1"/>
    <col min="2334" max="2334" width="15.28515625" style="119" customWidth="1"/>
    <col min="2335" max="2335" width="17" style="119" customWidth="1"/>
    <col min="2336" max="2348" width="14.140625" style="119" customWidth="1"/>
    <col min="2349" max="2349" width="15.7109375" style="119" bestFit="1" customWidth="1"/>
    <col min="2350" max="2350" width="16.7109375" style="119" bestFit="1" customWidth="1"/>
    <col min="2351" max="2352" width="15.7109375" style="119" bestFit="1" customWidth="1"/>
    <col min="2353" max="2353" width="16.7109375" style="119" bestFit="1" customWidth="1"/>
    <col min="2354" max="2354" width="14.5703125" style="119" bestFit="1" customWidth="1"/>
    <col min="2355" max="2356" width="15.7109375" style="119" bestFit="1" customWidth="1"/>
    <col min="2357" max="2357" width="16.7109375" style="119" bestFit="1" customWidth="1"/>
    <col min="2358" max="2358" width="11.5703125" style="119" bestFit="1" customWidth="1"/>
    <col min="2359" max="2361" width="22.28515625" style="119" bestFit="1" customWidth="1"/>
    <col min="2362" max="2362" width="23.5703125" style="119" bestFit="1" customWidth="1"/>
    <col min="2363" max="2558" width="11.42578125" style="119"/>
    <col min="2559" max="2559" width="16" style="119" customWidth="1"/>
    <col min="2560" max="2560" width="35" style="119" customWidth="1"/>
    <col min="2561" max="2576" width="13.7109375" style="119" customWidth="1"/>
    <col min="2577" max="2577" width="19.5703125" style="119" bestFit="1" customWidth="1"/>
    <col min="2578" max="2578" width="12.5703125" style="119" customWidth="1"/>
    <col min="2579" max="2583" width="14" style="119" customWidth="1"/>
    <col min="2584" max="2584" width="15.28515625" style="119" customWidth="1"/>
    <col min="2585" max="2588" width="14" style="119" customWidth="1"/>
    <col min="2589" max="2589" width="16.7109375" style="119" customWidth="1"/>
    <col min="2590" max="2590" width="15.28515625" style="119" customWidth="1"/>
    <col min="2591" max="2591" width="17" style="119" customWidth="1"/>
    <col min="2592" max="2604" width="14.140625" style="119" customWidth="1"/>
    <col min="2605" max="2605" width="15.7109375" style="119" bestFit="1" customWidth="1"/>
    <col min="2606" max="2606" width="16.7109375" style="119" bestFit="1" customWidth="1"/>
    <col min="2607" max="2608" width="15.7109375" style="119" bestFit="1" customWidth="1"/>
    <col min="2609" max="2609" width="16.7109375" style="119" bestFit="1" customWidth="1"/>
    <col min="2610" max="2610" width="14.5703125" style="119" bestFit="1" customWidth="1"/>
    <col min="2611" max="2612" width="15.7109375" style="119" bestFit="1" customWidth="1"/>
    <col min="2613" max="2613" width="16.7109375" style="119" bestFit="1" customWidth="1"/>
    <col min="2614" max="2614" width="11.5703125" style="119" bestFit="1" customWidth="1"/>
    <col min="2615" max="2617" width="22.28515625" style="119" bestFit="1" customWidth="1"/>
    <col min="2618" max="2618" width="23.5703125" style="119" bestFit="1" customWidth="1"/>
    <col min="2619" max="2814" width="11.42578125" style="119"/>
    <col min="2815" max="2815" width="16" style="119" customWidth="1"/>
    <col min="2816" max="2816" width="35" style="119" customWidth="1"/>
    <col min="2817" max="2832" width="13.7109375" style="119" customWidth="1"/>
    <col min="2833" max="2833" width="19.5703125" style="119" bestFit="1" customWidth="1"/>
    <col min="2834" max="2834" width="12.5703125" style="119" customWidth="1"/>
    <col min="2835" max="2839" width="14" style="119" customWidth="1"/>
    <col min="2840" max="2840" width="15.28515625" style="119" customWidth="1"/>
    <col min="2841" max="2844" width="14" style="119" customWidth="1"/>
    <col min="2845" max="2845" width="16.7109375" style="119" customWidth="1"/>
    <col min="2846" max="2846" width="15.28515625" style="119" customWidth="1"/>
    <col min="2847" max="2847" width="17" style="119" customWidth="1"/>
    <col min="2848" max="2860" width="14.140625" style="119" customWidth="1"/>
    <col min="2861" max="2861" width="15.7109375" style="119" bestFit="1" customWidth="1"/>
    <col min="2862" max="2862" width="16.7109375" style="119" bestFit="1" customWidth="1"/>
    <col min="2863" max="2864" width="15.7109375" style="119" bestFit="1" customWidth="1"/>
    <col min="2865" max="2865" width="16.7109375" style="119" bestFit="1" customWidth="1"/>
    <col min="2866" max="2866" width="14.5703125" style="119" bestFit="1" customWidth="1"/>
    <col min="2867" max="2868" width="15.7109375" style="119" bestFit="1" customWidth="1"/>
    <col min="2869" max="2869" width="16.7109375" style="119" bestFit="1" customWidth="1"/>
    <col min="2870" max="2870" width="11.5703125" style="119" bestFit="1" customWidth="1"/>
    <col min="2871" max="2873" width="22.28515625" style="119" bestFit="1" customWidth="1"/>
    <col min="2874" max="2874" width="23.5703125" style="119" bestFit="1" customWidth="1"/>
    <col min="2875" max="3070" width="11.42578125" style="119"/>
    <col min="3071" max="3071" width="16" style="119" customWidth="1"/>
    <col min="3072" max="3072" width="35" style="119" customWidth="1"/>
    <col min="3073" max="3088" width="13.7109375" style="119" customWidth="1"/>
    <col min="3089" max="3089" width="19.5703125" style="119" bestFit="1" customWidth="1"/>
    <col min="3090" max="3090" width="12.5703125" style="119" customWidth="1"/>
    <col min="3091" max="3095" width="14" style="119" customWidth="1"/>
    <col min="3096" max="3096" width="15.28515625" style="119" customWidth="1"/>
    <col min="3097" max="3100" width="14" style="119" customWidth="1"/>
    <col min="3101" max="3101" width="16.7109375" style="119" customWidth="1"/>
    <col min="3102" max="3102" width="15.28515625" style="119" customWidth="1"/>
    <col min="3103" max="3103" width="17" style="119" customWidth="1"/>
    <col min="3104" max="3116" width="14.140625" style="119" customWidth="1"/>
    <col min="3117" max="3117" width="15.7109375" style="119" bestFit="1" customWidth="1"/>
    <col min="3118" max="3118" width="16.7109375" style="119" bestFit="1" customWidth="1"/>
    <col min="3119" max="3120" width="15.7109375" style="119" bestFit="1" customWidth="1"/>
    <col min="3121" max="3121" width="16.7109375" style="119" bestFit="1" customWidth="1"/>
    <col min="3122" max="3122" width="14.5703125" style="119" bestFit="1" customWidth="1"/>
    <col min="3123" max="3124" width="15.7109375" style="119" bestFit="1" customWidth="1"/>
    <col min="3125" max="3125" width="16.7109375" style="119" bestFit="1" customWidth="1"/>
    <col min="3126" max="3126" width="11.5703125" style="119" bestFit="1" customWidth="1"/>
    <col min="3127" max="3129" width="22.28515625" style="119" bestFit="1" customWidth="1"/>
    <col min="3130" max="3130" width="23.5703125" style="119" bestFit="1" customWidth="1"/>
    <col min="3131" max="3326" width="11.42578125" style="119"/>
    <col min="3327" max="3327" width="16" style="119" customWidth="1"/>
    <col min="3328" max="3328" width="35" style="119" customWidth="1"/>
    <col min="3329" max="3344" width="13.7109375" style="119" customWidth="1"/>
    <col min="3345" max="3345" width="19.5703125" style="119" bestFit="1" customWidth="1"/>
    <col min="3346" max="3346" width="12.5703125" style="119" customWidth="1"/>
    <col min="3347" max="3351" width="14" style="119" customWidth="1"/>
    <col min="3352" max="3352" width="15.28515625" style="119" customWidth="1"/>
    <col min="3353" max="3356" width="14" style="119" customWidth="1"/>
    <col min="3357" max="3357" width="16.7109375" style="119" customWidth="1"/>
    <col min="3358" max="3358" width="15.28515625" style="119" customWidth="1"/>
    <col min="3359" max="3359" width="17" style="119" customWidth="1"/>
    <col min="3360" max="3372" width="14.140625" style="119" customWidth="1"/>
    <col min="3373" max="3373" width="15.7109375" style="119" bestFit="1" customWidth="1"/>
    <col min="3374" max="3374" width="16.7109375" style="119" bestFit="1" customWidth="1"/>
    <col min="3375" max="3376" width="15.7109375" style="119" bestFit="1" customWidth="1"/>
    <col min="3377" max="3377" width="16.7109375" style="119" bestFit="1" customWidth="1"/>
    <col min="3378" max="3378" width="14.5703125" style="119" bestFit="1" customWidth="1"/>
    <col min="3379" max="3380" width="15.7109375" style="119" bestFit="1" customWidth="1"/>
    <col min="3381" max="3381" width="16.7109375" style="119" bestFit="1" customWidth="1"/>
    <col min="3382" max="3382" width="11.5703125" style="119" bestFit="1" customWidth="1"/>
    <col min="3383" max="3385" width="22.28515625" style="119" bestFit="1" customWidth="1"/>
    <col min="3386" max="3386" width="23.5703125" style="119" bestFit="1" customWidth="1"/>
    <col min="3387" max="3582" width="11.42578125" style="119"/>
    <col min="3583" max="3583" width="16" style="119" customWidth="1"/>
    <col min="3584" max="3584" width="35" style="119" customWidth="1"/>
    <col min="3585" max="3600" width="13.7109375" style="119" customWidth="1"/>
    <col min="3601" max="3601" width="19.5703125" style="119" bestFit="1" customWidth="1"/>
    <col min="3602" max="3602" width="12.5703125" style="119" customWidth="1"/>
    <col min="3603" max="3607" width="14" style="119" customWidth="1"/>
    <col min="3608" max="3608" width="15.28515625" style="119" customWidth="1"/>
    <col min="3609" max="3612" width="14" style="119" customWidth="1"/>
    <col min="3613" max="3613" width="16.7109375" style="119" customWidth="1"/>
    <col min="3614" max="3614" width="15.28515625" style="119" customWidth="1"/>
    <col min="3615" max="3615" width="17" style="119" customWidth="1"/>
    <col min="3616" max="3628" width="14.140625" style="119" customWidth="1"/>
    <col min="3629" max="3629" width="15.7109375" style="119" bestFit="1" customWidth="1"/>
    <col min="3630" max="3630" width="16.7109375" style="119" bestFit="1" customWidth="1"/>
    <col min="3631" max="3632" width="15.7109375" style="119" bestFit="1" customWidth="1"/>
    <col min="3633" max="3633" width="16.7109375" style="119" bestFit="1" customWidth="1"/>
    <col min="3634" max="3634" width="14.5703125" style="119" bestFit="1" customWidth="1"/>
    <col min="3635" max="3636" width="15.7109375" style="119" bestFit="1" customWidth="1"/>
    <col min="3637" max="3637" width="16.7109375" style="119" bestFit="1" customWidth="1"/>
    <col min="3638" max="3638" width="11.5703125" style="119" bestFit="1" customWidth="1"/>
    <col min="3639" max="3641" width="22.28515625" style="119" bestFit="1" customWidth="1"/>
    <col min="3642" max="3642" width="23.5703125" style="119" bestFit="1" customWidth="1"/>
    <col min="3643" max="3838" width="11.42578125" style="119"/>
    <col min="3839" max="3839" width="16" style="119" customWidth="1"/>
    <col min="3840" max="3840" width="35" style="119" customWidth="1"/>
    <col min="3841" max="3856" width="13.7109375" style="119" customWidth="1"/>
    <col min="3857" max="3857" width="19.5703125" style="119" bestFit="1" customWidth="1"/>
    <col min="3858" max="3858" width="12.5703125" style="119" customWidth="1"/>
    <col min="3859" max="3863" width="14" style="119" customWidth="1"/>
    <col min="3864" max="3864" width="15.28515625" style="119" customWidth="1"/>
    <col min="3865" max="3868" width="14" style="119" customWidth="1"/>
    <col min="3869" max="3869" width="16.7109375" style="119" customWidth="1"/>
    <col min="3870" max="3870" width="15.28515625" style="119" customWidth="1"/>
    <col min="3871" max="3871" width="17" style="119" customWidth="1"/>
    <col min="3872" max="3884" width="14.140625" style="119" customWidth="1"/>
    <col min="3885" max="3885" width="15.7109375" style="119" bestFit="1" customWidth="1"/>
    <col min="3886" max="3886" width="16.7109375" style="119" bestFit="1" customWidth="1"/>
    <col min="3887" max="3888" width="15.7109375" style="119" bestFit="1" customWidth="1"/>
    <col min="3889" max="3889" width="16.7109375" style="119" bestFit="1" customWidth="1"/>
    <col min="3890" max="3890" width="14.5703125" style="119" bestFit="1" customWidth="1"/>
    <col min="3891" max="3892" width="15.7109375" style="119" bestFit="1" customWidth="1"/>
    <col min="3893" max="3893" width="16.7109375" style="119" bestFit="1" customWidth="1"/>
    <col min="3894" max="3894" width="11.5703125" style="119" bestFit="1" customWidth="1"/>
    <col min="3895" max="3897" width="22.28515625" style="119" bestFit="1" customWidth="1"/>
    <col min="3898" max="3898" width="23.5703125" style="119" bestFit="1" customWidth="1"/>
    <col min="3899" max="4094" width="11.42578125" style="119"/>
    <col min="4095" max="4095" width="16" style="119" customWidth="1"/>
    <col min="4096" max="4096" width="35" style="119" customWidth="1"/>
    <col min="4097" max="4112" width="13.7109375" style="119" customWidth="1"/>
    <col min="4113" max="4113" width="19.5703125" style="119" bestFit="1" customWidth="1"/>
    <col min="4114" max="4114" width="12.5703125" style="119" customWidth="1"/>
    <col min="4115" max="4119" width="14" style="119" customWidth="1"/>
    <col min="4120" max="4120" width="15.28515625" style="119" customWidth="1"/>
    <col min="4121" max="4124" width="14" style="119" customWidth="1"/>
    <col min="4125" max="4125" width="16.7109375" style="119" customWidth="1"/>
    <col min="4126" max="4126" width="15.28515625" style="119" customWidth="1"/>
    <col min="4127" max="4127" width="17" style="119" customWidth="1"/>
    <col min="4128" max="4140" width="14.140625" style="119" customWidth="1"/>
    <col min="4141" max="4141" width="15.7109375" style="119" bestFit="1" customWidth="1"/>
    <col min="4142" max="4142" width="16.7109375" style="119" bestFit="1" customWidth="1"/>
    <col min="4143" max="4144" width="15.7109375" style="119" bestFit="1" customWidth="1"/>
    <col min="4145" max="4145" width="16.7109375" style="119" bestFit="1" customWidth="1"/>
    <col min="4146" max="4146" width="14.5703125" style="119" bestFit="1" customWidth="1"/>
    <col min="4147" max="4148" width="15.7109375" style="119" bestFit="1" customWidth="1"/>
    <col min="4149" max="4149" width="16.7109375" style="119" bestFit="1" customWidth="1"/>
    <col min="4150" max="4150" width="11.5703125" style="119" bestFit="1" customWidth="1"/>
    <col min="4151" max="4153" width="22.28515625" style="119" bestFit="1" customWidth="1"/>
    <col min="4154" max="4154" width="23.5703125" style="119" bestFit="1" customWidth="1"/>
    <col min="4155" max="4350" width="11.42578125" style="119"/>
    <col min="4351" max="4351" width="16" style="119" customWidth="1"/>
    <col min="4352" max="4352" width="35" style="119" customWidth="1"/>
    <col min="4353" max="4368" width="13.7109375" style="119" customWidth="1"/>
    <col min="4369" max="4369" width="19.5703125" style="119" bestFit="1" customWidth="1"/>
    <col min="4370" max="4370" width="12.5703125" style="119" customWidth="1"/>
    <col min="4371" max="4375" width="14" style="119" customWidth="1"/>
    <col min="4376" max="4376" width="15.28515625" style="119" customWidth="1"/>
    <col min="4377" max="4380" width="14" style="119" customWidth="1"/>
    <col min="4381" max="4381" width="16.7109375" style="119" customWidth="1"/>
    <col min="4382" max="4382" width="15.28515625" style="119" customWidth="1"/>
    <col min="4383" max="4383" width="17" style="119" customWidth="1"/>
    <col min="4384" max="4396" width="14.140625" style="119" customWidth="1"/>
    <col min="4397" max="4397" width="15.7109375" style="119" bestFit="1" customWidth="1"/>
    <col min="4398" max="4398" width="16.7109375" style="119" bestFit="1" customWidth="1"/>
    <col min="4399" max="4400" width="15.7109375" style="119" bestFit="1" customWidth="1"/>
    <col min="4401" max="4401" width="16.7109375" style="119" bestFit="1" customWidth="1"/>
    <col min="4402" max="4402" width="14.5703125" style="119" bestFit="1" customWidth="1"/>
    <col min="4403" max="4404" width="15.7109375" style="119" bestFit="1" customWidth="1"/>
    <col min="4405" max="4405" width="16.7109375" style="119" bestFit="1" customWidth="1"/>
    <col min="4406" max="4406" width="11.5703125" style="119" bestFit="1" customWidth="1"/>
    <col min="4407" max="4409" width="22.28515625" style="119" bestFit="1" customWidth="1"/>
    <col min="4410" max="4410" width="23.5703125" style="119" bestFit="1" customWidth="1"/>
    <col min="4411" max="4606" width="11.42578125" style="119"/>
    <col min="4607" max="4607" width="16" style="119" customWidth="1"/>
    <col min="4608" max="4608" width="35" style="119" customWidth="1"/>
    <col min="4609" max="4624" width="13.7109375" style="119" customWidth="1"/>
    <col min="4625" max="4625" width="19.5703125" style="119" bestFit="1" customWidth="1"/>
    <col min="4626" max="4626" width="12.5703125" style="119" customWidth="1"/>
    <col min="4627" max="4631" width="14" style="119" customWidth="1"/>
    <col min="4632" max="4632" width="15.28515625" style="119" customWidth="1"/>
    <col min="4633" max="4636" width="14" style="119" customWidth="1"/>
    <col min="4637" max="4637" width="16.7109375" style="119" customWidth="1"/>
    <col min="4638" max="4638" width="15.28515625" style="119" customWidth="1"/>
    <col min="4639" max="4639" width="17" style="119" customWidth="1"/>
    <col min="4640" max="4652" width="14.140625" style="119" customWidth="1"/>
    <col min="4653" max="4653" width="15.7109375" style="119" bestFit="1" customWidth="1"/>
    <col min="4654" max="4654" width="16.7109375" style="119" bestFit="1" customWidth="1"/>
    <col min="4655" max="4656" width="15.7109375" style="119" bestFit="1" customWidth="1"/>
    <col min="4657" max="4657" width="16.7109375" style="119" bestFit="1" customWidth="1"/>
    <col min="4658" max="4658" width="14.5703125" style="119" bestFit="1" customWidth="1"/>
    <col min="4659" max="4660" width="15.7109375" style="119" bestFit="1" customWidth="1"/>
    <col min="4661" max="4661" width="16.7109375" style="119" bestFit="1" customWidth="1"/>
    <col min="4662" max="4662" width="11.5703125" style="119" bestFit="1" customWidth="1"/>
    <col min="4663" max="4665" width="22.28515625" style="119" bestFit="1" customWidth="1"/>
    <col min="4666" max="4666" width="23.5703125" style="119" bestFit="1" customWidth="1"/>
    <col min="4667" max="4862" width="11.42578125" style="119"/>
    <col min="4863" max="4863" width="16" style="119" customWidth="1"/>
    <col min="4864" max="4864" width="35" style="119" customWidth="1"/>
    <col min="4865" max="4880" width="13.7109375" style="119" customWidth="1"/>
    <col min="4881" max="4881" width="19.5703125" style="119" bestFit="1" customWidth="1"/>
    <col min="4882" max="4882" width="12.5703125" style="119" customWidth="1"/>
    <col min="4883" max="4887" width="14" style="119" customWidth="1"/>
    <col min="4888" max="4888" width="15.28515625" style="119" customWidth="1"/>
    <col min="4889" max="4892" width="14" style="119" customWidth="1"/>
    <col min="4893" max="4893" width="16.7109375" style="119" customWidth="1"/>
    <col min="4894" max="4894" width="15.28515625" style="119" customWidth="1"/>
    <col min="4895" max="4895" width="17" style="119" customWidth="1"/>
    <col min="4896" max="4908" width="14.140625" style="119" customWidth="1"/>
    <col min="4909" max="4909" width="15.7109375" style="119" bestFit="1" customWidth="1"/>
    <col min="4910" max="4910" width="16.7109375" style="119" bestFit="1" customWidth="1"/>
    <col min="4911" max="4912" width="15.7109375" style="119" bestFit="1" customWidth="1"/>
    <col min="4913" max="4913" width="16.7109375" style="119" bestFit="1" customWidth="1"/>
    <col min="4914" max="4914" width="14.5703125" style="119" bestFit="1" customWidth="1"/>
    <col min="4915" max="4916" width="15.7109375" style="119" bestFit="1" customWidth="1"/>
    <col min="4917" max="4917" width="16.7109375" style="119" bestFit="1" customWidth="1"/>
    <col min="4918" max="4918" width="11.5703125" style="119" bestFit="1" customWidth="1"/>
    <col min="4919" max="4921" width="22.28515625" style="119" bestFit="1" customWidth="1"/>
    <col min="4922" max="4922" width="23.5703125" style="119" bestFit="1" customWidth="1"/>
    <col min="4923" max="5118" width="11.42578125" style="119"/>
    <col min="5119" max="5119" width="16" style="119" customWidth="1"/>
    <col min="5120" max="5120" width="35" style="119" customWidth="1"/>
    <col min="5121" max="5136" width="13.7109375" style="119" customWidth="1"/>
    <col min="5137" max="5137" width="19.5703125" style="119" bestFit="1" customWidth="1"/>
    <col min="5138" max="5138" width="12.5703125" style="119" customWidth="1"/>
    <col min="5139" max="5143" width="14" style="119" customWidth="1"/>
    <col min="5144" max="5144" width="15.28515625" style="119" customWidth="1"/>
    <col min="5145" max="5148" width="14" style="119" customWidth="1"/>
    <col min="5149" max="5149" width="16.7109375" style="119" customWidth="1"/>
    <col min="5150" max="5150" width="15.28515625" style="119" customWidth="1"/>
    <col min="5151" max="5151" width="17" style="119" customWidth="1"/>
    <col min="5152" max="5164" width="14.140625" style="119" customWidth="1"/>
    <col min="5165" max="5165" width="15.7109375" style="119" bestFit="1" customWidth="1"/>
    <col min="5166" max="5166" width="16.7109375" style="119" bestFit="1" customWidth="1"/>
    <col min="5167" max="5168" width="15.7109375" style="119" bestFit="1" customWidth="1"/>
    <col min="5169" max="5169" width="16.7109375" style="119" bestFit="1" customWidth="1"/>
    <col min="5170" max="5170" width="14.5703125" style="119" bestFit="1" customWidth="1"/>
    <col min="5171" max="5172" width="15.7109375" style="119" bestFit="1" customWidth="1"/>
    <col min="5173" max="5173" width="16.7109375" style="119" bestFit="1" customWidth="1"/>
    <col min="5174" max="5174" width="11.5703125" style="119" bestFit="1" customWidth="1"/>
    <col min="5175" max="5177" width="22.28515625" style="119" bestFit="1" customWidth="1"/>
    <col min="5178" max="5178" width="23.5703125" style="119" bestFit="1" customWidth="1"/>
    <col min="5179" max="5374" width="11.42578125" style="119"/>
    <col min="5375" max="5375" width="16" style="119" customWidth="1"/>
    <col min="5376" max="5376" width="35" style="119" customWidth="1"/>
    <col min="5377" max="5392" width="13.7109375" style="119" customWidth="1"/>
    <col min="5393" max="5393" width="19.5703125" style="119" bestFit="1" customWidth="1"/>
    <col min="5394" max="5394" width="12.5703125" style="119" customWidth="1"/>
    <col min="5395" max="5399" width="14" style="119" customWidth="1"/>
    <col min="5400" max="5400" width="15.28515625" style="119" customWidth="1"/>
    <col min="5401" max="5404" width="14" style="119" customWidth="1"/>
    <col min="5405" max="5405" width="16.7109375" style="119" customWidth="1"/>
    <col min="5406" max="5406" width="15.28515625" style="119" customWidth="1"/>
    <col min="5407" max="5407" width="17" style="119" customWidth="1"/>
    <col min="5408" max="5420" width="14.140625" style="119" customWidth="1"/>
    <col min="5421" max="5421" width="15.7109375" style="119" bestFit="1" customWidth="1"/>
    <col min="5422" max="5422" width="16.7109375" style="119" bestFit="1" customWidth="1"/>
    <col min="5423" max="5424" width="15.7109375" style="119" bestFit="1" customWidth="1"/>
    <col min="5425" max="5425" width="16.7109375" style="119" bestFit="1" customWidth="1"/>
    <col min="5426" max="5426" width="14.5703125" style="119" bestFit="1" customWidth="1"/>
    <col min="5427" max="5428" width="15.7109375" style="119" bestFit="1" customWidth="1"/>
    <col min="5429" max="5429" width="16.7109375" style="119" bestFit="1" customWidth="1"/>
    <col min="5430" max="5430" width="11.5703125" style="119" bestFit="1" customWidth="1"/>
    <col min="5431" max="5433" width="22.28515625" style="119" bestFit="1" customWidth="1"/>
    <col min="5434" max="5434" width="23.5703125" style="119" bestFit="1" customWidth="1"/>
    <col min="5435" max="5630" width="11.42578125" style="119"/>
    <col min="5631" max="5631" width="16" style="119" customWidth="1"/>
    <col min="5632" max="5632" width="35" style="119" customWidth="1"/>
    <col min="5633" max="5648" width="13.7109375" style="119" customWidth="1"/>
    <col min="5649" max="5649" width="19.5703125" style="119" bestFit="1" customWidth="1"/>
    <col min="5650" max="5650" width="12.5703125" style="119" customWidth="1"/>
    <col min="5651" max="5655" width="14" style="119" customWidth="1"/>
    <col min="5656" max="5656" width="15.28515625" style="119" customWidth="1"/>
    <col min="5657" max="5660" width="14" style="119" customWidth="1"/>
    <col min="5661" max="5661" width="16.7109375" style="119" customWidth="1"/>
    <col min="5662" max="5662" width="15.28515625" style="119" customWidth="1"/>
    <col min="5663" max="5663" width="17" style="119" customWidth="1"/>
    <col min="5664" max="5676" width="14.140625" style="119" customWidth="1"/>
    <col min="5677" max="5677" width="15.7109375" style="119" bestFit="1" customWidth="1"/>
    <col min="5678" max="5678" width="16.7109375" style="119" bestFit="1" customWidth="1"/>
    <col min="5679" max="5680" width="15.7109375" style="119" bestFit="1" customWidth="1"/>
    <col min="5681" max="5681" width="16.7109375" style="119" bestFit="1" customWidth="1"/>
    <col min="5682" max="5682" width="14.5703125" style="119" bestFit="1" customWidth="1"/>
    <col min="5683" max="5684" width="15.7109375" style="119" bestFit="1" customWidth="1"/>
    <col min="5685" max="5685" width="16.7109375" style="119" bestFit="1" customWidth="1"/>
    <col min="5686" max="5686" width="11.5703125" style="119" bestFit="1" customWidth="1"/>
    <col min="5687" max="5689" width="22.28515625" style="119" bestFit="1" customWidth="1"/>
    <col min="5690" max="5690" width="23.5703125" style="119" bestFit="1" customWidth="1"/>
    <col min="5691" max="5886" width="11.42578125" style="119"/>
    <col min="5887" max="5887" width="16" style="119" customWidth="1"/>
    <col min="5888" max="5888" width="35" style="119" customWidth="1"/>
    <col min="5889" max="5904" width="13.7109375" style="119" customWidth="1"/>
    <col min="5905" max="5905" width="19.5703125" style="119" bestFit="1" customWidth="1"/>
    <col min="5906" max="5906" width="12.5703125" style="119" customWidth="1"/>
    <col min="5907" max="5911" width="14" style="119" customWidth="1"/>
    <col min="5912" max="5912" width="15.28515625" style="119" customWidth="1"/>
    <col min="5913" max="5916" width="14" style="119" customWidth="1"/>
    <col min="5917" max="5917" width="16.7109375" style="119" customWidth="1"/>
    <col min="5918" max="5918" width="15.28515625" style="119" customWidth="1"/>
    <col min="5919" max="5919" width="17" style="119" customWidth="1"/>
    <col min="5920" max="5932" width="14.140625" style="119" customWidth="1"/>
    <col min="5933" max="5933" width="15.7109375" style="119" bestFit="1" customWidth="1"/>
    <col min="5934" max="5934" width="16.7109375" style="119" bestFit="1" customWidth="1"/>
    <col min="5935" max="5936" width="15.7109375" style="119" bestFit="1" customWidth="1"/>
    <col min="5937" max="5937" width="16.7109375" style="119" bestFit="1" customWidth="1"/>
    <col min="5938" max="5938" width="14.5703125" style="119" bestFit="1" customWidth="1"/>
    <col min="5939" max="5940" width="15.7109375" style="119" bestFit="1" customWidth="1"/>
    <col min="5941" max="5941" width="16.7109375" style="119" bestFit="1" customWidth="1"/>
    <col min="5942" max="5942" width="11.5703125" style="119" bestFit="1" customWidth="1"/>
    <col min="5943" max="5945" width="22.28515625" style="119" bestFit="1" customWidth="1"/>
    <col min="5946" max="5946" width="23.5703125" style="119" bestFit="1" customWidth="1"/>
    <col min="5947" max="6142" width="11.42578125" style="119"/>
    <col min="6143" max="6143" width="16" style="119" customWidth="1"/>
    <col min="6144" max="6144" width="35" style="119" customWidth="1"/>
    <col min="6145" max="6160" width="13.7109375" style="119" customWidth="1"/>
    <col min="6161" max="6161" width="19.5703125" style="119" bestFit="1" customWidth="1"/>
    <col min="6162" max="6162" width="12.5703125" style="119" customWidth="1"/>
    <col min="6163" max="6167" width="14" style="119" customWidth="1"/>
    <col min="6168" max="6168" width="15.28515625" style="119" customWidth="1"/>
    <col min="6169" max="6172" width="14" style="119" customWidth="1"/>
    <col min="6173" max="6173" width="16.7109375" style="119" customWidth="1"/>
    <col min="6174" max="6174" width="15.28515625" style="119" customWidth="1"/>
    <col min="6175" max="6175" width="17" style="119" customWidth="1"/>
    <col min="6176" max="6188" width="14.140625" style="119" customWidth="1"/>
    <col min="6189" max="6189" width="15.7109375" style="119" bestFit="1" customWidth="1"/>
    <col min="6190" max="6190" width="16.7109375" style="119" bestFit="1" customWidth="1"/>
    <col min="6191" max="6192" width="15.7109375" style="119" bestFit="1" customWidth="1"/>
    <col min="6193" max="6193" width="16.7109375" style="119" bestFit="1" customWidth="1"/>
    <col min="6194" max="6194" width="14.5703125" style="119" bestFit="1" customWidth="1"/>
    <col min="6195" max="6196" width="15.7109375" style="119" bestFit="1" customWidth="1"/>
    <col min="6197" max="6197" width="16.7109375" style="119" bestFit="1" customWidth="1"/>
    <col min="6198" max="6198" width="11.5703125" style="119" bestFit="1" customWidth="1"/>
    <col min="6199" max="6201" width="22.28515625" style="119" bestFit="1" customWidth="1"/>
    <col min="6202" max="6202" width="23.5703125" style="119" bestFit="1" customWidth="1"/>
    <col min="6203" max="6398" width="11.42578125" style="119"/>
    <col min="6399" max="6399" width="16" style="119" customWidth="1"/>
    <col min="6400" max="6400" width="35" style="119" customWidth="1"/>
    <col min="6401" max="6416" width="13.7109375" style="119" customWidth="1"/>
    <col min="6417" max="6417" width="19.5703125" style="119" bestFit="1" customWidth="1"/>
    <col min="6418" max="6418" width="12.5703125" style="119" customWidth="1"/>
    <col min="6419" max="6423" width="14" style="119" customWidth="1"/>
    <col min="6424" max="6424" width="15.28515625" style="119" customWidth="1"/>
    <col min="6425" max="6428" width="14" style="119" customWidth="1"/>
    <col min="6429" max="6429" width="16.7109375" style="119" customWidth="1"/>
    <col min="6430" max="6430" width="15.28515625" style="119" customWidth="1"/>
    <col min="6431" max="6431" width="17" style="119" customWidth="1"/>
    <col min="6432" max="6444" width="14.140625" style="119" customWidth="1"/>
    <col min="6445" max="6445" width="15.7109375" style="119" bestFit="1" customWidth="1"/>
    <col min="6446" max="6446" width="16.7109375" style="119" bestFit="1" customWidth="1"/>
    <col min="6447" max="6448" width="15.7109375" style="119" bestFit="1" customWidth="1"/>
    <col min="6449" max="6449" width="16.7109375" style="119" bestFit="1" customWidth="1"/>
    <col min="6450" max="6450" width="14.5703125" style="119" bestFit="1" customWidth="1"/>
    <col min="6451" max="6452" width="15.7109375" style="119" bestFit="1" customWidth="1"/>
    <col min="6453" max="6453" width="16.7109375" style="119" bestFit="1" customWidth="1"/>
    <col min="6454" max="6454" width="11.5703125" style="119" bestFit="1" customWidth="1"/>
    <col min="6455" max="6457" width="22.28515625" style="119" bestFit="1" customWidth="1"/>
    <col min="6458" max="6458" width="23.5703125" style="119" bestFit="1" customWidth="1"/>
    <col min="6459" max="6654" width="11.42578125" style="119"/>
    <col min="6655" max="6655" width="16" style="119" customWidth="1"/>
    <col min="6656" max="6656" width="35" style="119" customWidth="1"/>
    <col min="6657" max="6672" width="13.7109375" style="119" customWidth="1"/>
    <col min="6673" max="6673" width="19.5703125" style="119" bestFit="1" customWidth="1"/>
    <col min="6674" max="6674" width="12.5703125" style="119" customWidth="1"/>
    <col min="6675" max="6679" width="14" style="119" customWidth="1"/>
    <col min="6680" max="6680" width="15.28515625" style="119" customWidth="1"/>
    <col min="6681" max="6684" width="14" style="119" customWidth="1"/>
    <col min="6685" max="6685" width="16.7109375" style="119" customWidth="1"/>
    <col min="6686" max="6686" width="15.28515625" style="119" customWidth="1"/>
    <col min="6687" max="6687" width="17" style="119" customWidth="1"/>
    <col min="6688" max="6700" width="14.140625" style="119" customWidth="1"/>
    <col min="6701" max="6701" width="15.7109375" style="119" bestFit="1" customWidth="1"/>
    <col min="6702" max="6702" width="16.7109375" style="119" bestFit="1" customWidth="1"/>
    <col min="6703" max="6704" width="15.7109375" style="119" bestFit="1" customWidth="1"/>
    <col min="6705" max="6705" width="16.7109375" style="119" bestFit="1" customWidth="1"/>
    <col min="6706" max="6706" width="14.5703125" style="119" bestFit="1" customWidth="1"/>
    <col min="6707" max="6708" width="15.7109375" style="119" bestFit="1" customWidth="1"/>
    <col min="6709" max="6709" width="16.7109375" style="119" bestFit="1" customWidth="1"/>
    <col min="6710" max="6710" width="11.5703125" style="119" bestFit="1" customWidth="1"/>
    <col min="6711" max="6713" width="22.28515625" style="119" bestFit="1" customWidth="1"/>
    <col min="6714" max="6714" width="23.5703125" style="119" bestFit="1" customWidth="1"/>
    <col min="6715" max="6910" width="11.42578125" style="119"/>
    <col min="6911" max="6911" width="16" style="119" customWidth="1"/>
    <col min="6912" max="6912" width="35" style="119" customWidth="1"/>
    <col min="6913" max="6928" width="13.7109375" style="119" customWidth="1"/>
    <col min="6929" max="6929" width="19.5703125" style="119" bestFit="1" customWidth="1"/>
    <col min="6930" max="6930" width="12.5703125" style="119" customWidth="1"/>
    <col min="6931" max="6935" width="14" style="119" customWidth="1"/>
    <col min="6936" max="6936" width="15.28515625" style="119" customWidth="1"/>
    <col min="6937" max="6940" width="14" style="119" customWidth="1"/>
    <col min="6941" max="6941" width="16.7109375" style="119" customWidth="1"/>
    <col min="6942" max="6942" width="15.28515625" style="119" customWidth="1"/>
    <col min="6943" max="6943" width="17" style="119" customWidth="1"/>
    <col min="6944" max="6956" width="14.140625" style="119" customWidth="1"/>
    <col min="6957" max="6957" width="15.7109375" style="119" bestFit="1" customWidth="1"/>
    <col min="6958" max="6958" width="16.7109375" style="119" bestFit="1" customWidth="1"/>
    <col min="6959" max="6960" width="15.7109375" style="119" bestFit="1" customWidth="1"/>
    <col min="6961" max="6961" width="16.7109375" style="119" bestFit="1" customWidth="1"/>
    <col min="6962" max="6962" width="14.5703125" style="119" bestFit="1" customWidth="1"/>
    <col min="6963" max="6964" width="15.7109375" style="119" bestFit="1" customWidth="1"/>
    <col min="6965" max="6965" width="16.7109375" style="119" bestFit="1" customWidth="1"/>
    <col min="6966" max="6966" width="11.5703125" style="119" bestFit="1" customWidth="1"/>
    <col min="6967" max="6969" width="22.28515625" style="119" bestFit="1" customWidth="1"/>
    <col min="6970" max="6970" width="23.5703125" style="119" bestFit="1" customWidth="1"/>
    <col min="6971" max="7166" width="11.42578125" style="119"/>
    <col min="7167" max="7167" width="16" style="119" customWidth="1"/>
    <col min="7168" max="7168" width="35" style="119" customWidth="1"/>
    <col min="7169" max="7184" width="13.7109375" style="119" customWidth="1"/>
    <col min="7185" max="7185" width="19.5703125" style="119" bestFit="1" customWidth="1"/>
    <col min="7186" max="7186" width="12.5703125" style="119" customWidth="1"/>
    <col min="7187" max="7191" width="14" style="119" customWidth="1"/>
    <col min="7192" max="7192" width="15.28515625" style="119" customWidth="1"/>
    <col min="7193" max="7196" width="14" style="119" customWidth="1"/>
    <col min="7197" max="7197" width="16.7109375" style="119" customWidth="1"/>
    <col min="7198" max="7198" width="15.28515625" style="119" customWidth="1"/>
    <col min="7199" max="7199" width="17" style="119" customWidth="1"/>
    <col min="7200" max="7212" width="14.140625" style="119" customWidth="1"/>
    <col min="7213" max="7213" width="15.7109375" style="119" bestFit="1" customWidth="1"/>
    <col min="7214" max="7214" width="16.7109375" style="119" bestFit="1" customWidth="1"/>
    <col min="7215" max="7216" width="15.7109375" style="119" bestFit="1" customWidth="1"/>
    <col min="7217" max="7217" width="16.7109375" style="119" bestFit="1" customWidth="1"/>
    <col min="7218" max="7218" width="14.5703125" style="119" bestFit="1" customWidth="1"/>
    <col min="7219" max="7220" width="15.7109375" style="119" bestFit="1" customWidth="1"/>
    <col min="7221" max="7221" width="16.7109375" style="119" bestFit="1" customWidth="1"/>
    <col min="7222" max="7222" width="11.5703125" style="119" bestFit="1" customWidth="1"/>
    <col min="7223" max="7225" width="22.28515625" style="119" bestFit="1" customWidth="1"/>
    <col min="7226" max="7226" width="23.5703125" style="119" bestFit="1" customWidth="1"/>
    <col min="7227" max="7422" width="11.42578125" style="119"/>
    <col min="7423" max="7423" width="16" style="119" customWidth="1"/>
    <col min="7424" max="7424" width="35" style="119" customWidth="1"/>
    <col min="7425" max="7440" width="13.7109375" style="119" customWidth="1"/>
    <col min="7441" max="7441" width="19.5703125" style="119" bestFit="1" customWidth="1"/>
    <col min="7442" max="7442" width="12.5703125" style="119" customWidth="1"/>
    <col min="7443" max="7447" width="14" style="119" customWidth="1"/>
    <col min="7448" max="7448" width="15.28515625" style="119" customWidth="1"/>
    <col min="7449" max="7452" width="14" style="119" customWidth="1"/>
    <col min="7453" max="7453" width="16.7109375" style="119" customWidth="1"/>
    <col min="7454" max="7454" width="15.28515625" style="119" customWidth="1"/>
    <col min="7455" max="7455" width="17" style="119" customWidth="1"/>
    <col min="7456" max="7468" width="14.140625" style="119" customWidth="1"/>
    <col min="7469" max="7469" width="15.7109375" style="119" bestFit="1" customWidth="1"/>
    <col min="7470" max="7470" width="16.7109375" style="119" bestFit="1" customWidth="1"/>
    <col min="7471" max="7472" width="15.7109375" style="119" bestFit="1" customWidth="1"/>
    <col min="7473" max="7473" width="16.7109375" style="119" bestFit="1" customWidth="1"/>
    <col min="7474" max="7474" width="14.5703125" style="119" bestFit="1" customWidth="1"/>
    <col min="7475" max="7476" width="15.7109375" style="119" bestFit="1" customWidth="1"/>
    <col min="7477" max="7477" width="16.7109375" style="119" bestFit="1" customWidth="1"/>
    <col min="7478" max="7478" width="11.5703125" style="119" bestFit="1" customWidth="1"/>
    <col min="7479" max="7481" width="22.28515625" style="119" bestFit="1" customWidth="1"/>
    <col min="7482" max="7482" width="23.5703125" style="119" bestFit="1" customWidth="1"/>
    <col min="7483" max="7678" width="11.42578125" style="119"/>
    <col min="7679" max="7679" width="16" style="119" customWidth="1"/>
    <col min="7680" max="7680" width="35" style="119" customWidth="1"/>
    <col min="7681" max="7696" width="13.7109375" style="119" customWidth="1"/>
    <col min="7697" max="7697" width="19.5703125" style="119" bestFit="1" customWidth="1"/>
    <col min="7698" max="7698" width="12.5703125" style="119" customWidth="1"/>
    <col min="7699" max="7703" width="14" style="119" customWidth="1"/>
    <col min="7704" max="7704" width="15.28515625" style="119" customWidth="1"/>
    <col min="7705" max="7708" width="14" style="119" customWidth="1"/>
    <col min="7709" max="7709" width="16.7109375" style="119" customWidth="1"/>
    <col min="7710" max="7710" width="15.28515625" style="119" customWidth="1"/>
    <col min="7711" max="7711" width="17" style="119" customWidth="1"/>
    <col min="7712" max="7724" width="14.140625" style="119" customWidth="1"/>
    <col min="7725" max="7725" width="15.7109375" style="119" bestFit="1" customWidth="1"/>
    <col min="7726" max="7726" width="16.7109375" style="119" bestFit="1" customWidth="1"/>
    <col min="7727" max="7728" width="15.7109375" style="119" bestFit="1" customWidth="1"/>
    <col min="7729" max="7729" width="16.7109375" style="119" bestFit="1" customWidth="1"/>
    <col min="7730" max="7730" width="14.5703125" style="119" bestFit="1" customWidth="1"/>
    <col min="7731" max="7732" width="15.7109375" style="119" bestFit="1" customWidth="1"/>
    <col min="7733" max="7733" width="16.7109375" style="119" bestFit="1" customWidth="1"/>
    <col min="7734" max="7734" width="11.5703125" style="119" bestFit="1" customWidth="1"/>
    <col min="7735" max="7737" width="22.28515625" style="119" bestFit="1" customWidth="1"/>
    <col min="7738" max="7738" width="23.5703125" style="119" bestFit="1" customWidth="1"/>
    <col min="7739" max="7934" width="11.42578125" style="119"/>
    <col min="7935" max="7935" width="16" style="119" customWidth="1"/>
    <col min="7936" max="7936" width="35" style="119" customWidth="1"/>
    <col min="7937" max="7952" width="13.7109375" style="119" customWidth="1"/>
    <col min="7953" max="7953" width="19.5703125" style="119" bestFit="1" customWidth="1"/>
    <col min="7954" max="7954" width="12.5703125" style="119" customWidth="1"/>
    <col min="7955" max="7959" width="14" style="119" customWidth="1"/>
    <col min="7960" max="7960" width="15.28515625" style="119" customWidth="1"/>
    <col min="7961" max="7964" width="14" style="119" customWidth="1"/>
    <col min="7965" max="7965" width="16.7109375" style="119" customWidth="1"/>
    <col min="7966" max="7966" width="15.28515625" style="119" customWidth="1"/>
    <col min="7967" max="7967" width="17" style="119" customWidth="1"/>
    <col min="7968" max="7980" width="14.140625" style="119" customWidth="1"/>
    <col min="7981" max="7981" width="15.7109375" style="119" bestFit="1" customWidth="1"/>
    <col min="7982" max="7982" width="16.7109375" style="119" bestFit="1" customWidth="1"/>
    <col min="7983" max="7984" width="15.7109375" style="119" bestFit="1" customWidth="1"/>
    <col min="7985" max="7985" width="16.7109375" style="119" bestFit="1" customWidth="1"/>
    <col min="7986" max="7986" width="14.5703125" style="119" bestFit="1" customWidth="1"/>
    <col min="7987" max="7988" width="15.7109375" style="119" bestFit="1" customWidth="1"/>
    <col min="7989" max="7989" width="16.7109375" style="119" bestFit="1" customWidth="1"/>
    <col min="7990" max="7990" width="11.5703125" style="119" bestFit="1" customWidth="1"/>
    <col min="7991" max="7993" width="22.28515625" style="119" bestFit="1" customWidth="1"/>
    <col min="7994" max="7994" width="23.5703125" style="119" bestFit="1" customWidth="1"/>
    <col min="7995" max="8190" width="11.42578125" style="119"/>
    <col min="8191" max="8191" width="16" style="119" customWidth="1"/>
    <col min="8192" max="8192" width="35" style="119" customWidth="1"/>
    <col min="8193" max="8208" width="13.7109375" style="119" customWidth="1"/>
    <col min="8209" max="8209" width="19.5703125" style="119" bestFit="1" customWidth="1"/>
    <col min="8210" max="8210" width="12.5703125" style="119" customWidth="1"/>
    <col min="8211" max="8215" width="14" style="119" customWidth="1"/>
    <col min="8216" max="8216" width="15.28515625" style="119" customWidth="1"/>
    <col min="8217" max="8220" width="14" style="119" customWidth="1"/>
    <col min="8221" max="8221" width="16.7109375" style="119" customWidth="1"/>
    <col min="8222" max="8222" width="15.28515625" style="119" customWidth="1"/>
    <col min="8223" max="8223" width="17" style="119" customWidth="1"/>
    <col min="8224" max="8236" width="14.140625" style="119" customWidth="1"/>
    <col min="8237" max="8237" width="15.7109375" style="119" bestFit="1" customWidth="1"/>
    <col min="8238" max="8238" width="16.7109375" style="119" bestFit="1" customWidth="1"/>
    <col min="8239" max="8240" width="15.7109375" style="119" bestFit="1" customWidth="1"/>
    <col min="8241" max="8241" width="16.7109375" style="119" bestFit="1" customWidth="1"/>
    <col min="8242" max="8242" width="14.5703125" style="119" bestFit="1" customWidth="1"/>
    <col min="8243" max="8244" width="15.7109375" style="119" bestFit="1" customWidth="1"/>
    <col min="8245" max="8245" width="16.7109375" style="119" bestFit="1" customWidth="1"/>
    <col min="8246" max="8246" width="11.5703125" style="119" bestFit="1" customWidth="1"/>
    <col min="8247" max="8249" width="22.28515625" style="119" bestFit="1" customWidth="1"/>
    <col min="8250" max="8250" width="23.5703125" style="119" bestFit="1" customWidth="1"/>
    <col min="8251" max="8446" width="11.42578125" style="119"/>
    <col min="8447" max="8447" width="16" style="119" customWidth="1"/>
    <col min="8448" max="8448" width="35" style="119" customWidth="1"/>
    <col min="8449" max="8464" width="13.7109375" style="119" customWidth="1"/>
    <col min="8465" max="8465" width="19.5703125" style="119" bestFit="1" customWidth="1"/>
    <col min="8466" max="8466" width="12.5703125" style="119" customWidth="1"/>
    <col min="8467" max="8471" width="14" style="119" customWidth="1"/>
    <col min="8472" max="8472" width="15.28515625" style="119" customWidth="1"/>
    <col min="8473" max="8476" width="14" style="119" customWidth="1"/>
    <col min="8477" max="8477" width="16.7109375" style="119" customWidth="1"/>
    <col min="8478" max="8478" width="15.28515625" style="119" customWidth="1"/>
    <col min="8479" max="8479" width="17" style="119" customWidth="1"/>
    <col min="8480" max="8492" width="14.140625" style="119" customWidth="1"/>
    <col min="8493" max="8493" width="15.7109375" style="119" bestFit="1" customWidth="1"/>
    <col min="8494" max="8494" width="16.7109375" style="119" bestFit="1" customWidth="1"/>
    <col min="8495" max="8496" width="15.7109375" style="119" bestFit="1" customWidth="1"/>
    <col min="8497" max="8497" width="16.7109375" style="119" bestFit="1" customWidth="1"/>
    <col min="8498" max="8498" width="14.5703125" style="119" bestFit="1" customWidth="1"/>
    <col min="8499" max="8500" width="15.7109375" style="119" bestFit="1" customWidth="1"/>
    <col min="8501" max="8501" width="16.7109375" style="119" bestFit="1" customWidth="1"/>
    <col min="8502" max="8502" width="11.5703125" style="119" bestFit="1" customWidth="1"/>
    <col min="8503" max="8505" width="22.28515625" style="119" bestFit="1" customWidth="1"/>
    <col min="8506" max="8506" width="23.5703125" style="119" bestFit="1" customWidth="1"/>
    <col min="8507" max="8702" width="11.42578125" style="119"/>
    <col min="8703" max="8703" width="16" style="119" customWidth="1"/>
    <col min="8704" max="8704" width="35" style="119" customWidth="1"/>
    <col min="8705" max="8720" width="13.7109375" style="119" customWidth="1"/>
    <col min="8721" max="8721" width="19.5703125" style="119" bestFit="1" customWidth="1"/>
    <col min="8722" max="8722" width="12.5703125" style="119" customWidth="1"/>
    <col min="8723" max="8727" width="14" style="119" customWidth="1"/>
    <col min="8728" max="8728" width="15.28515625" style="119" customWidth="1"/>
    <col min="8729" max="8732" width="14" style="119" customWidth="1"/>
    <col min="8733" max="8733" width="16.7109375" style="119" customWidth="1"/>
    <col min="8734" max="8734" width="15.28515625" style="119" customWidth="1"/>
    <col min="8735" max="8735" width="17" style="119" customWidth="1"/>
    <col min="8736" max="8748" width="14.140625" style="119" customWidth="1"/>
    <col min="8749" max="8749" width="15.7109375" style="119" bestFit="1" customWidth="1"/>
    <col min="8750" max="8750" width="16.7109375" style="119" bestFit="1" customWidth="1"/>
    <col min="8751" max="8752" width="15.7109375" style="119" bestFit="1" customWidth="1"/>
    <col min="8753" max="8753" width="16.7109375" style="119" bestFit="1" customWidth="1"/>
    <col min="8754" max="8754" width="14.5703125" style="119" bestFit="1" customWidth="1"/>
    <col min="8755" max="8756" width="15.7109375" style="119" bestFit="1" customWidth="1"/>
    <col min="8757" max="8757" width="16.7109375" style="119" bestFit="1" customWidth="1"/>
    <col min="8758" max="8758" width="11.5703125" style="119" bestFit="1" customWidth="1"/>
    <col min="8759" max="8761" width="22.28515625" style="119" bestFit="1" customWidth="1"/>
    <col min="8762" max="8762" width="23.5703125" style="119" bestFit="1" customWidth="1"/>
    <col min="8763" max="8958" width="11.42578125" style="119"/>
    <col min="8959" max="8959" width="16" style="119" customWidth="1"/>
    <col min="8960" max="8960" width="35" style="119" customWidth="1"/>
    <col min="8961" max="8976" width="13.7109375" style="119" customWidth="1"/>
    <col min="8977" max="8977" width="19.5703125" style="119" bestFit="1" customWidth="1"/>
    <col min="8978" max="8978" width="12.5703125" style="119" customWidth="1"/>
    <col min="8979" max="8983" width="14" style="119" customWidth="1"/>
    <col min="8984" max="8984" width="15.28515625" style="119" customWidth="1"/>
    <col min="8985" max="8988" width="14" style="119" customWidth="1"/>
    <col min="8989" max="8989" width="16.7109375" style="119" customWidth="1"/>
    <col min="8990" max="8990" width="15.28515625" style="119" customWidth="1"/>
    <col min="8991" max="8991" width="17" style="119" customWidth="1"/>
    <col min="8992" max="9004" width="14.140625" style="119" customWidth="1"/>
    <col min="9005" max="9005" width="15.7109375" style="119" bestFit="1" customWidth="1"/>
    <col min="9006" max="9006" width="16.7109375" style="119" bestFit="1" customWidth="1"/>
    <col min="9007" max="9008" width="15.7109375" style="119" bestFit="1" customWidth="1"/>
    <col min="9009" max="9009" width="16.7109375" style="119" bestFit="1" customWidth="1"/>
    <col min="9010" max="9010" width="14.5703125" style="119" bestFit="1" customWidth="1"/>
    <col min="9011" max="9012" width="15.7109375" style="119" bestFit="1" customWidth="1"/>
    <col min="9013" max="9013" width="16.7109375" style="119" bestFit="1" customWidth="1"/>
    <col min="9014" max="9014" width="11.5703125" style="119" bestFit="1" customWidth="1"/>
    <col min="9015" max="9017" width="22.28515625" style="119" bestFit="1" customWidth="1"/>
    <col min="9018" max="9018" width="23.5703125" style="119" bestFit="1" customWidth="1"/>
    <col min="9019" max="9214" width="11.42578125" style="119"/>
    <col min="9215" max="9215" width="16" style="119" customWidth="1"/>
    <col min="9216" max="9216" width="35" style="119" customWidth="1"/>
    <col min="9217" max="9232" width="13.7109375" style="119" customWidth="1"/>
    <col min="9233" max="9233" width="19.5703125" style="119" bestFit="1" customWidth="1"/>
    <col min="9234" max="9234" width="12.5703125" style="119" customWidth="1"/>
    <col min="9235" max="9239" width="14" style="119" customWidth="1"/>
    <col min="9240" max="9240" width="15.28515625" style="119" customWidth="1"/>
    <col min="9241" max="9244" width="14" style="119" customWidth="1"/>
    <col min="9245" max="9245" width="16.7109375" style="119" customWidth="1"/>
    <col min="9246" max="9246" width="15.28515625" style="119" customWidth="1"/>
    <col min="9247" max="9247" width="17" style="119" customWidth="1"/>
    <col min="9248" max="9260" width="14.140625" style="119" customWidth="1"/>
    <col min="9261" max="9261" width="15.7109375" style="119" bestFit="1" customWidth="1"/>
    <col min="9262" max="9262" width="16.7109375" style="119" bestFit="1" customWidth="1"/>
    <col min="9263" max="9264" width="15.7109375" style="119" bestFit="1" customWidth="1"/>
    <col min="9265" max="9265" width="16.7109375" style="119" bestFit="1" customWidth="1"/>
    <col min="9266" max="9266" width="14.5703125" style="119" bestFit="1" customWidth="1"/>
    <col min="9267" max="9268" width="15.7109375" style="119" bestFit="1" customWidth="1"/>
    <col min="9269" max="9269" width="16.7109375" style="119" bestFit="1" customWidth="1"/>
    <col min="9270" max="9270" width="11.5703125" style="119" bestFit="1" customWidth="1"/>
    <col min="9271" max="9273" width="22.28515625" style="119" bestFit="1" customWidth="1"/>
    <col min="9274" max="9274" width="23.5703125" style="119" bestFit="1" customWidth="1"/>
    <col min="9275" max="9470" width="11.42578125" style="119"/>
    <col min="9471" max="9471" width="16" style="119" customWidth="1"/>
    <col min="9472" max="9472" width="35" style="119" customWidth="1"/>
    <col min="9473" max="9488" width="13.7109375" style="119" customWidth="1"/>
    <col min="9489" max="9489" width="19.5703125" style="119" bestFit="1" customWidth="1"/>
    <col min="9490" max="9490" width="12.5703125" style="119" customWidth="1"/>
    <col min="9491" max="9495" width="14" style="119" customWidth="1"/>
    <col min="9496" max="9496" width="15.28515625" style="119" customWidth="1"/>
    <col min="9497" max="9500" width="14" style="119" customWidth="1"/>
    <col min="9501" max="9501" width="16.7109375" style="119" customWidth="1"/>
    <col min="9502" max="9502" width="15.28515625" style="119" customWidth="1"/>
    <col min="9503" max="9503" width="17" style="119" customWidth="1"/>
    <col min="9504" max="9516" width="14.140625" style="119" customWidth="1"/>
    <col min="9517" max="9517" width="15.7109375" style="119" bestFit="1" customWidth="1"/>
    <col min="9518" max="9518" width="16.7109375" style="119" bestFit="1" customWidth="1"/>
    <col min="9519" max="9520" width="15.7109375" style="119" bestFit="1" customWidth="1"/>
    <col min="9521" max="9521" width="16.7109375" style="119" bestFit="1" customWidth="1"/>
    <col min="9522" max="9522" width="14.5703125" style="119" bestFit="1" customWidth="1"/>
    <col min="9523" max="9524" width="15.7109375" style="119" bestFit="1" customWidth="1"/>
    <col min="9525" max="9525" width="16.7109375" style="119" bestFit="1" customWidth="1"/>
    <col min="9526" max="9526" width="11.5703125" style="119" bestFit="1" customWidth="1"/>
    <col min="9527" max="9529" width="22.28515625" style="119" bestFit="1" customWidth="1"/>
    <col min="9530" max="9530" width="23.5703125" style="119" bestFit="1" customWidth="1"/>
    <col min="9531" max="9726" width="11.42578125" style="119"/>
    <col min="9727" max="9727" width="16" style="119" customWidth="1"/>
    <col min="9728" max="9728" width="35" style="119" customWidth="1"/>
    <col min="9729" max="9744" width="13.7109375" style="119" customWidth="1"/>
    <col min="9745" max="9745" width="19.5703125" style="119" bestFit="1" customWidth="1"/>
    <col min="9746" max="9746" width="12.5703125" style="119" customWidth="1"/>
    <col min="9747" max="9751" width="14" style="119" customWidth="1"/>
    <col min="9752" max="9752" width="15.28515625" style="119" customWidth="1"/>
    <col min="9753" max="9756" width="14" style="119" customWidth="1"/>
    <col min="9757" max="9757" width="16.7109375" style="119" customWidth="1"/>
    <col min="9758" max="9758" width="15.28515625" style="119" customWidth="1"/>
    <col min="9759" max="9759" width="17" style="119" customWidth="1"/>
    <col min="9760" max="9772" width="14.140625" style="119" customWidth="1"/>
    <col min="9773" max="9773" width="15.7109375" style="119" bestFit="1" customWidth="1"/>
    <col min="9774" max="9774" width="16.7109375" style="119" bestFit="1" customWidth="1"/>
    <col min="9775" max="9776" width="15.7109375" style="119" bestFit="1" customWidth="1"/>
    <col min="9777" max="9777" width="16.7109375" style="119" bestFit="1" customWidth="1"/>
    <col min="9778" max="9778" width="14.5703125" style="119" bestFit="1" customWidth="1"/>
    <col min="9779" max="9780" width="15.7109375" style="119" bestFit="1" customWidth="1"/>
    <col min="9781" max="9781" width="16.7109375" style="119" bestFit="1" customWidth="1"/>
    <col min="9782" max="9782" width="11.5703125" style="119" bestFit="1" customWidth="1"/>
    <col min="9783" max="9785" width="22.28515625" style="119" bestFit="1" customWidth="1"/>
    <col min="9786" max="9786" width="23.5703125" style="119" bestFit="1" customWidth="1"/>
    <col min="9787" max="9982" width="11.42578125" style="119"/>
    <col min="9983" max="9983" width="16" style="119" customWidth="1"/>
    <col min="9984" max="9984" width="35" style="119" customWidth="1"/>
    <col min="9985" max="10000" width="13.7109375" style="119" customWidth="1"/>
    <col min="10001" max="10001" width="19.5703125" style="119" bestFit="1" customWidth="1"/>
    <col min="10002" max="10002" width="12.5703125" style="119" customWidth="1"/>
    <col min="10003" max="10007" width="14" style="119" customWidth="1"/>
    <col min="10008" max="10008" width="15.28515625" style="119" customWidth="1"/>
    <col min="10009" max="10012" width="14" style="119" customWidth="1"/>
    <col min="10013" max="10013" width="16.7109375" style="119" customWidth="1"/>
    <col min="10014" max="10014" width="15.28515625" style="119" customWidth="1"/>
    <col min="10015" max="10015" width="17" style="119" customWidth="1"/>
    <col min="10016" max="10028" width="14.140625" style="119" customWidth="1"/>
    <col min="10029" max="10029" width="15.7109375" style="119" bestFit="1" customWidth="1"/>
    <col min="10030" max="10030" width="16.7109375" style="119" bestFit="1" customWidth="1"/>
    <col min="10031" max="10032" width="15.7109375" style="119" bestFit="1" customWidth="1"/>
    <col min="10033" max="10033" width="16.7109375" style="119" bestFit="1" customWidth="1"/>
    <col min="10034" max="10034" width="14.5703125" style="119" bestFit="1" customWidth="1"/>
    <col min="10035" max="10036" width="15.7109375" style="119" bestFit="1" customWidth="1"/>
    <col min="10037" max="10037" width="16.7109375" style="119" bestFit="1" customWidth="1"/>
    <col min="10038" max="10038" width="11.5703125" style="119" bestFit="1" customWidth="1"/>
    <col min="10039" max="10041" width="22.28515625" style="119" bestFit="1" customWidth="1"/>
    <col min="10042" max="10042" width="23.5703125" style="119" bestFit="1" customWidth="1"/>
    <col min="10043" max="10238" width="11.42578125" style="119"/>
    <col min="10239" max="10239" width="16" style="119" customWidth="1"/>
    <col min="10240" max="10240" width="35" style="119" customWidth="1"/>
    <col min="10241" max="10256" width="13.7109375" style="119" customWidth="1"/>
    <col min="10257" max="10257" width="19.5703125" style="119" bestFit="1" customWidth="1"/>
    <col min="10258" max="10258" width="12.5703125" style="119" customWidth="1"/>
    <col min="10259" max="10263" width="14" style="119" customWidth="1"/>
    <col min="10264" max="10264" width="15.28515625" style="119" customWidth="1"/>
    <col min="10265" max="10268" width="14" style="119" customWidth="1"/>
    <col min="10269" max="10269" width="16.7109375" style="119" customWidth="1"/>
    <col min="10270" max="10270" width="15.28515625" style="119" customWidth="1"/>
    <col min="10271" max="10271" width="17" style="119" customWidth="1"/>
    <col min="10272" max="10284" width="14.140625" style="119" customWidth="1"/>
    <col min="10285" max="10285" width="15.7109375" style="119" bestFit="1" customWidth="1"/>
    <col min="10286" max="10286" width="16.7109375" style="119" bestFit="1" customWidth="1"/>
    <col min="10287" max="10288" width="15.7109375" style="119" bestFit="1" customWidth="1"/>
    <col min="10289" max="10289" width="16.7109375" style="119" bestFit="1" customWidth="1"/>
    <col min="10290" max="10290" width="14.5703125" style="119" bestFit="1" customWidth="1"/>
    <col min="10291" max="10292" width="15.7109375" style="119" bestFit="1" customWidth="1"/>
    <col min="10293" max="10293" width="16.7109375" style="119" bestFit="1" customWidth="1"/>
    <col min="10294" max="10294" width="11.5703125" style="119" bestFit="1" customWidth="1"/>
    <col min="10295" max="10297" width="22.28515625" style="119" bestFit="1" customWidth="1"/>
    <col min="10298" max="10298" width="23.5703125" style="119" bestFit="1" customWidth="1"/>
    <col min="10299" max="10494" width="11.42578125" style="119"/>
    <col min="10495" max="10495" width="16" style="119" customWidth="1"/>
    <col min="10496" max="10496" width="35" style="119" customWidth="1"/>
    <col min="10497" max="10512" width="13.7109375" style="119" customWidth="1"/>
    <col min="10513" max="10513" width="19.5703125" style="119" bestFit="1" customWidth="1"/>
    <col min="10514" max="10514" width="12.5703125" style="119" customWidth="1"/>
    <col min="10515" max="10519" width="14" style="119" customWidth="1"/>
    <col min="10520" max="10520" width="15.28515625" style="119" customWidth="1"/>
    <col min="10521" max="10524" width="14" style="119" customWidth="1"/>
    <col min="10525" max="10525" width="16.7109375" style="119" customWidth="1"/>
    <col min="10526" max="10526" width="15.28515625" style="119" customWidth="1"/>
    <col min="10527" max="10527" width="17" style="119" customWidth="1"/>
    <col min="10528" max="10540" width="14.140625" style="119" customWidth="1"/>
    <col min="10541" max="10541" width="15.7109375" style="119" bestFit="1" customWidth="1"/>
    <col min="10542" max="10542" width="16.7109375" style="119" bestFit="1" customWidth="1"/>
    <col min="10543" max="10544" width="15.7109375" style="119" bestFit="1" customWidth="1"/>
    <col min="10545" max="10545" width="16.7109375" style="119" bestFit="1" customWidth="1"/>
    <col min="10546" max="10546" width="14.5703125" style="119" bestFit="1" customWidth="1"/>
    <col min="10547" max="10548" width="15.7109375" style="119" bestFit="1" customWidth="1"/>
    <col min="10549" max="10549" width="16.7109375" style="119" bestFit="1" customWidth="1"/>
    <col min="10550" max="10550" width="11.5703125" style="119" bestFit="1" customWidth="1"/>
    <col min="10551" max="10553" width="22.28515625" style="119" bestFit="1" customWidth="1"/>
    <col min="10554" max="10554" width="23.5703125" style="119" bestFit="1" customWidth="1"/>
    <col min="10555" max="10750" width="11.42578125" style="119"/>
    <col min="10751" max="10751" width="16" style="119" customWidth="1"/>
    <col min="10752" max="10752" width="35" style="119" customWidth="1"/>
    <col min="10753" max="10768" width="13.7109375" style="119" customWidth="1"/>
    <col min="10769" max="10769" width="19.5703125" style="119" bestFit="1" customWidth="1"/>
    <col min="10770" max="10770" width="12.5703125" style="119" customWidth="1"/>
    <col min="10771" max="10775" width="14" style="119" customWidth="1"/>
    <col min="10776" max="10776" width="15.28515625" style="119" customWidth="1"/>
    <col min="10777" max="10780" width="14" style="119" customWidth="1"/>
    <col min="10781" max="10781" width="16.7109375" style="119" customWidth="1"/>
    <col min="10782" max="10782" width="15.28515625" style="119" customWidth="1"/>
    <col min="10783" max="10783" width="17" style="119" customWidth="1"/>
    <col min="10784" max="10796" width="14.140625" style="119" customWidth="1"/>
    <col min="10797" max="10797" width="15.7109375" style="119" bestFit="1" customWidth="1"/>
    <col min="10798" max="10798" width="16.7109375" style="119" bestFit="1" customWidth="1"/>
    <col min="10799" max="10800" width="15.7109375" style="119" bestFit="1" customWidth="1"/>
    <col min="10801" max="10801" width="16.7109375" style="119" bestFit="1" customWidth="1"/>
    <col min="10802" max="10802" width="14.5703125" style="119" bestFit="1" customWidth="1"/>
    <col min="10803" max="10804" width="15.7109375" style="119" bestFit="1" customWidth="1"/>
    <col min="10805" max="10805" width="16.7109375" style="119" bestFit="1" customWidth="1"/>
    <col min="10806" max="10806" width="11.5703125" style="119" bestFit="1" customWidth="1"/>
    <col min="10807" max="10809" width="22.28515625" style="119" bestFit="1" customWidth="1"/>
    <col min="10810" max="10810" width="23.5703125" style="119" bestFit="1" customWidth="1"/>
    <col min="10811" max="11006" width="11.42578125" style="119"/>
    <col min="11007" max="11007" width="16" style="119" customWidth="1"/>
    <col min="11008" max="11008" width="35" style="119" customWidth="1"/>
    <col min="11009" max="11024" width="13.7109375" style="119" customWidth="1"/>
    <col min="11025" max="11025" width="19.5703125" style="119" bestFit="1" customWidth="1"/>
    <col min="11026" max="11026" width="12.5703125" style="119" customWidth="1"/>
    <col min="11027" max="11031" width="14" style="119" customWidth="1"/>
    <col min="11032" max="11032" width="15.28515625" style="119" customWidth="1"/>
    <col min="11033" max="11036" width="14" style="119" customWidth="1"/>
    <col min="11037" max="11037" width="16.7109375" style="119" customWidth="1"/>
    <col min="11038" max="11038" width="15.28515625" style="119" customWidth="1"/>
    <col min="11039" max="11039" width="17" style="119" customWidth="1"/>
    <col min="11040" max="11052" width="14.140625" style="119" customWidth="1"/>
    <col min="11053" max="11053" width="15.7109375" style="119" bestFit="1" customWidth="1"/>
    <col min="11054" max="11054" width="16.7109375" style="119" bestFit="1" customWidth="1"/>
    <col min="11055" max="11056" width="15.7109375" style="119" bestFit="1" customWidth="1"/>
    <col min="11057" max="11057" width="16.7109375" style="119" bestFit="1" customWidth="1"/>
    <col min="11058" max="11058" width="14.5703125" style="119" bestFit="1" customWidth="1"/>
    <col min="11059" max="11060" width="15.7109375" style="119" bestFit="1" customWidth="1"/>
    <col min="11061" max="11061" width="16.7109375" style="119" bestFit="1" customWidth="1"/>
    <col min="11062" max="11062" width="11.5703125" style="119" bestFit="1" customWidth="1"/>
    <col min="11063" max="11065" width="22.28515625" style="119" bestFit="1" customWidth="1"/>
    <col min="11066" max="11066" width="23.5703125" style="119" bestFit="1" customWidth="1"/>
    <col min="11067" max="11262" width="11.42578125" style="119"/>
    <col min="11263" max="11263" width="16" style="119" customWidth="1"/>
    <col min="11264" max="11264" width="35" style="119" customWidth="1"/>
    <col min="11265" max="11280" width="13.7109375" style="119" customWidth="1"/>
    <col min="11281" max="11281" width="19.5703125" style="119" bestFit="1" customWidth="1"/>
    <col min="11282" max="11282" width="12.5703125" style="119" customWidth="1"/>
    <col min="11283" max="11287" width="14" style="119" customWidth="1"/>
    <col min="11288" max="11288" width="15.28515625" style="119" customWidth="1"/>
    <col min="11289" max="11292" width="14" style="119" customWidth="1"/>
    <col min="11293" max="11293" width="16.7109375" style="119" customWidth="1"/>
    <col min="11294" max="11294" width="15.28515625" style="119" customWidth="1"/>
    <col min="11295" max="11295" width="17" style="119" customWidth="1"/>
    <col min="11296" max="11308" width="14.140625" style="119" customWidth="1"/>
    <col min="11309" max="11309" width="15.7109375" style="119" bestFit="1" customWidth="1"/>
    <col min="11310" max="11310" width="16.7109375" style="119" bestFit="1" customWidth="1"/>
    <col min="11311" max="11312" width="15.7109375" style="119" bestFit="1" customWidth="1"/>
    <col min="11313" max="11313" width="16.7109375" style="119" bestFit="1" customWidth="1"/>
    <col min="11314" max="11314" width="14.5703125" style="119" bestFit="1" customWidth="1"/>
    <col min="11315" max="11316" width="15.7109375" style="119" bestFit="1" customWidth="1"/>
    <col min="11317" max="11317" width="16.7109375" style="119" bestFit="1" customWidth="1"/>
    <col min="11318" max="11318" width="11.5703125" style="119" bestFit="1" customWidth="1"/>
    <col min="11319" max="11321" width="22.28515625" style="119" bestFit="1" customWidth="1"/>
    <col min="11322" max="11322" width="23.5703125" style="119" bestFit="1" customWidth="1"/>
    <col min="11323" max="11518" width="11.42578125" style="119"/>
    <col min="11519" max="11519" width="16" style="119" customWidth="1"/>
    <col min="11520" max="11520" width="35" style="119" customWidth="1"/>
    <col min="11521" max="11536" width="13.7109375" style="119" customWidth="1"/>
    <col min="11537" max="11537" width="19.5703125" style="119" bestFit="1" customWidth="1"/>
    <col min="11538" max="11538" width="12.5703125" style="119" customWidth="1"/>
    <col min="11539" max="11543" width="14" style="119" customWidth="1"/>
    <col min="11544" max="11544" width="15.28515625" style="119" customWidth="1"/>
    <col min="11545" max="11548" width="14" style="119" customWidth="1"/>
    <col min="11549" max="11549" width="16.7109375" style="119" customWidth="1"/>
    <col min="11550" max="11550" width="15.28515625" style="119" customWidth="1"/>
    <col min="11551" max="11551" width="17" style="119" customWidth="1"/>
    <col min="11552" max="11564" width="14.140625" style="119" customWidth="1"/>
    <col min="11565" max="11565" width="15.7109375" style="119" bestFit="1" customWidth="1"/>
    <col min="11566" max="11566" width="16.7109375" style="119" bestFit="1" customWidth="1"/>
    <col min="11567" max="11568" width="15.7109375" style="119" bestFit="1" customWidth="1"/>
    <col min="11569" max="11569" width="16.7109375" style="119" bestFit="1" customWidth="1"/>
    <col min="11570" max="11570" width="14.5703125" style="119" bestFit="1" customWidth="1"/>
    <col min="11571" max="11572" width="15.7109375" style="119" bestFit="1" customWidth="1"/>
    <col min="11573" max="11573" width="16.7109375" style="119" bestFit="1" customWidth="1"/>
    <col min="11574" max="11574" width="11.5703125" style="119" bestFit="1" customWidth="1"/>
    <col min="11575" max="11577" width="22.28515625" style="119" bestFit="1" customWidth="1"/>
    <col min="11578" max="11578" width="23.5703125" style="119" bestFit="1" customWidth="1"/>
    <col min="11579" max="11774" width="11.42578125" style="119"/>
    <col min="11775" max="11775" width="16" style="119" customWidth="1"/>
    <col min="11776" max="11776" width="35" style="119" customWidth="1"/>
    <col min="11777" max="11792" width="13.7109375" style="119" customWidth="1"/>
    <col min="11793" max="11793" width="19.5703125" style="119" bestFit="1" customWidth="1"/>
    <col min="11794" max="11794" width="12.5703125" style="119" customWidth="1"/>
    <col min="11795" max="11799" width="14" style="119" customWidth="1"/>
    <col min="11800" max="11800" width="15.28515625" style="119" customWidth="1"/>
    <col min="11801" max="11804" width="14" style="119" customWidth="1"/>
    <col min="11805" max="11805" width="16.7109375" style="119" customWidth="1"/>
    <col min="11806" max="11806" width="15.28515625" style="119" customWidth="1"/>
    <col min="11807" max="11807" width="17" style="119" customWidth="1"/>
    <col min="11808" max="11820" width="14.140625" style="119" customWidth="1"/>
    <col min="11821" max="11821" width="15.7109375" style="119" bestFit="1" customWidth="1"/>
    <col min="11822" max="11822" width="16.7109375" style="119" bestFit="1" customWidth="1"/>
    <col min="11823" max="11824" width="15.7109375" style="119" bestFit="1" customWidth="1"/>
    <col min="11825" max="11825" width="16.7109375" style="119" bestFit="1" customWidth="1"/>
    <col min="11826" max="11826" width="14.5703125" style="119" bestFit="1" customWidth="1"/>
    <col min="11827" max="11828" width="15.7109375" style="119" bestFit="1" customWidth="1"/>
    <col min="11829" max="11829" width="16.7109375" style="119" bestFit="1" customWidth="1"/>
    <col min="11830" max="11830" width="11.5703125" style="119" bestFit="1" customWidth="1"/>
    <col min="11831" max="11833" width="22.28515625" style="119" bestFit="1" customWidth="1"/>
    <col min="11834" max="11834" width="23.5703125" style="119" bestFit="1" customWidth="1"/>
    <col min="11835" max="12030" width="11.42578125" style="119"/>
    <col min="12031" max="12031" width="16" style="119" customWidth="1"/>
    <col min="12032" max="12032" width="35" style="119" customWidth="1"/>
    <col min="12033" max="12048" width="13.7109375" style="119" customWidth="1"/>
    <col min="12049" max="12049" width="19.5703125" style="119" bestFit="1" customWidth="1"/>
    <col min="12050" max="12050" width="12.5703125" style="119" customWidth="1"/>
    <col min="12051" max="12055" width="14" style="119" customWidth="1"/>
    <col min="12056" max="12056" width="15.28515625" style="119" customWidth="1"/>
    <col min="12057" max="12060" width="14" style="119" customWidth="1"/>
    <col min="12061" max="12061" width="16.7109375" style="119" customWidth="1"/>
    <col min="12062" max="12062" width="15.28515625" style="119" customWidth="1"/>
    <col min="12063" max="12063" width="17" style="119" customWidth="1"/>
    <col min="12064" max="12076" width="14.140625" style="119" customWidth="1"/>
    <col min="12077" max="12077" width="15.7109375" style="119" bestFit="1" customWidth="1"/>
    <col min="12078" max="12078" width="16.7109375" style="119" bestFit="1" customWidth="1"/>
    <col min="12079" max="12080" width="15.7109375" style="119" bestFit="1" customWidth="1"/>
    <col min="12081" max="12081" width="16.7109375" style="119" bestFit="1" customWidth="1"/>
    <col min="12082" max="12082" width="14.5703125" style="119" bestFit="1" customWidth="1"/>
    <col min="12083" max="12084" width="15.7109375" style="119" bestFit="1" customWidth="1"/>
    <col min="12085" max="12085" width="16.7109375" style="119" bestFit="1" customWidth="1"/>
    <col min="12086" max="12086" width="11.5703125" style="119" bestFit="1" customWidth="1"/>
    <col min="12087" max="12089" width="22.28515625" style="119" bestFit="1" customWidth="1"/>
    <col min="12090" max="12090" width="23.5703125" style="119" bestFit="1" customWidth="1"/>
    <col min="12091" max="12286" width="11.42578125" style="119"/>
    <col min="12287" max="12287" width="16" style="119" customWidth="1"/>
    <col min="12288" max="12288" width="35" style="119" customWidth="1"/>
    <col min="12289" max="12304" width="13.7109375" style="119" customWidth="1"/>
    <col min="12305" max="12305" width="19.5703125" style="119" bestFit="1" customWidth="1"/>
    <col min="12306" max="12306" width="12.5703125" style="119" customWidth="1"/>
    <col min="12307" max="12311" width="14" style="119" customWidth="1"/>
    <col min="12312" max="12312" width="15.28515625" style="119" customWidth="1"/>
    <col min="12313" max="12316" width="14" style="119" customWidth="1"/>
    <col min="12317" max="12317" width="16.7109375" style="119" customWidth="1"/>
    <col min="12318" max="12318" width="15.28515625" style="119" customWidth="1"/>
    <col min="12319" max="12319" width="17" style="119" customWidth="1"/>
    <col min="12320" max="12332" width="14.140625" style="119" customWidth="1"/>
    <col min="12333" max="12333" width="15.7109375" style="119" bestFit="1" customWidth="1"/>
    <col min="12334" max="12334" width="16.7109375" style="119" bestFit="1" customWidth="1"/>
    <col min="12335" max="12336" width="15.7109375" style="119" bestFit="1" customWidth="1"/>
    <col min="12337" max="12337" width="16.7109375" style="119" bestFit="1" customWidth="1"/>
    <col min="12338" max="12338" width="14.5703125" style="119" bestFit="1" customWidth="1"/>
    <col min="12339" max="12340" width="15.7109375" style="119" bestFit="1" customWidth="1"/>
    <col min="12341" max="12341" width="16.7109375" style="119" bestFit="1" customWidth="1"/>
    <col min="12342" max="12342" width="11.5703125" style="119" bestFit="1" customWidth="1"/>
    <col min="12343" max="12345" width="22.28515625" style="119" bestFit="1" customWidth="1"/>
    <col min="12346" max="12346" width="23.5703125" style="119" bestFit="1" customWidth="1"/>
    <col min="12347" max="12542" width="11.42578125" style="119"/>
    <col min="12543" max="12543" width="16" style="119" customWidth="1"/>
    <col min="12544" max="12544" width="35" style="119" customWidth="1"/>
    <col min="12545" max="12560" width="13.7109375" style="119" customWidth="1"/>
    <col min="12561" max="12561" width="19.5703125" style="119" bestFit="1" customWidth="1"/>
    <col min="12562" max="12562" width="12.5703125" style="119" customWidth="1"/>
    <col min="12563" max="12567" width="14" style="119" customWidth="1"/>
    <col min="12568" max="12568" width="15.28515625" style="119" customWidth="1"/>
    <col min="12569" max="12572" width="14" style="119" customWidth="1"/>
    <col min="12573" max="12573" width="16.7109375" style="119" customWidth="1"/>
    <col min="12574" max="12574" width="15.28515625" style="119" customWidth="1"/>
    <col min="12575" max="12575" width="17" style="119" customWidth="1"/>
    <col min="12576" max="12588" width="14.140625" style="119" customWidth="1"/>
    <col min="12589" max="12589" width="15.7109375" style="119" bestFit="1" customWidth="1"/>
    <col min="12590" max="12590" width="16.7109375" style="119" bestFit="1" customWidth="1"/>
    <col min="12591" max="12592" width="15.7109375" style="119" bestFit="1" customWidth="1"/>
    <col min="12593" max="12593" width="16.7109375" style="119" bestFit="1" customWidth="1"/>
    <col min="12594" max="12594" width="14.5703125" style="119" bestFit="1" customWidth="1"/>
    <col min="12595" max="12596" width="15.7109375" style="119" bestFit="1" customWidth="1"/>
    <col min="12597" max="12597" width="16.7109375" style="119" bestFit="1" customWidth="1"/>
    <col min="12598" max="12598" width="11.5703125" style="119" bestFit="1" customWidth="1"/>
    <col min="12599" max="12601" width="22.28515625" style="119" bestFit="1" customWidth="1"/>
    <col min="12602" max="12602" width="23.5703125" style="119" bestFit="1" customWidth="1"/>
    <col min="12603" max="12798" width="11.42578125" style="119"/>
    <col min="12799" max="12799" width="16" style="119" customWidth="1"/>
    <col min="12800" max="12800" width="35" style="119" customWidth="1"/>
    <col min="12801" max="12816" width="13.7109375" style="119" customWidth="1"/>
    <col min="12817" max="12817" width="19.5703125" style="119" bestFit="1" customWidth="1"/>
    <col min="12818" max="12818" width="12.5703125" style="119" customWidth="1"/>
    <col min="12819" max="12823" width="14" style="119" customWidth="1"/>
    <col min="12824" max="12824" width="15.28515625" style="119" customWidth="1"/>
    <col min="12825" max="12828" width="14" style="119" customWidth="1"/>
    <col min="12829" max="12829" width="16.7109375" style="119" customWidth="1"/>
    <col min="12830" max="12830" width="15.28515625" style="119" customWidth="1"/>
    <col min="12831" max="12831" width="17" style="119" customWidth="1"/>
    <col min="12832" max="12844" width="14.140625" style="119" customWidth="1"/>
    <col min="12845" max="12845" width="15.7109375" style="119" bestFit="1" customWidth="1"/>
    <col min="12846" max="12846" width="16.7109375" style="119" bestFit="1" customWidth="1"/>
    <col min="12847" max="12848" width="15.7109375" style="119" bestFit="1" customWidth="1"/>
    <col min="12849" max="12849" width="16.7109375" style="119" bestFit="1" customWidth="1"/>
    <col min="12850" max="12850" width="14.5703125" style="119" bestFit="1" customWidth="1"/>
    <col min="12851" max="12852" width="15.7109375" style="119" bestFit="1" customWidth="1"/>
    <col min="12853" max="12853" width="16.7109375" style="119" bestFit="1" customWidth="1"/>
    <col min="12854" max="12854" width="11.5703125" style="119" bestFit="1" customWidth="1"/>
    <col min="12855" max="12857" width="22.28515625" style="119" bestFit="1" customWidth="1"/>
    <col min="12858" max="12858" width="23.5703125" style="119" bestFit="1" customWidth="1"/>
    <col min="12859" max="13054" width="11.42578125" style="119"/>
    <col min="13055" max="13055" width="16" style="119" customWidth="1"/>
    <col min="13056" max="13056" width="35" style="119" customWidth="1"/>
    <col min="13057" max="13072" width="13.7109375" style="119" customWidth="1"/>
    <col min="13073" max="13073" width="19.5703125" style="119" bestFit="1" customWidth="1"/>
    <col min="13074" max="13074" width="12.5703125" style="119" customWidth="1"/>
    <col min="13075" max="13079" width="14" style="119" customWidth="1"/>
    <col min="13080" max="13080" width="15.28515625" style="119" customWidth="1"/>
    <col min="13081" max="13084" width="14" style="119" customWidth="1"/>
    <col min="13085" max="13085" width="16.7109375" style="119" customWidth="1"/>
    <col min="13086" max="13086" width="15.28515625" style="119" customWidth="1"/>
    <col min="13087" max="13087" width="17" style="119" customWidth="1"/>
    <col min="13088" max="13100" width="14.140625" style="119" customWidth="1"/>
    <col min="13101" max="13101" width="15.7109375" style="119" bestFit="1" customWidth="1"/>
    <col min="13102" max="13102" width="16.7109375" style="119" bestFit="1" customWidth="1"/>
    <col min="13103" max="13104" width="15.7109375" style="119" bestFit="1" customWidth="1"/>
    <col min="13105" max="13105" width="16.7109375" style="119" bestFit="1" customWidth="1"/>
    <col min="13106" max="13106" width="14.5703125" style="119" bestFit="1" customWidth="1"/>
    <col min="13107" max="13108" width="15.7109375" style="119" bestFit="1" customWidth="1"/>
    <col min="13109" max="13109" width="16.7109375" style="119" bestFit="1" customWidth="1"/>
    <col min="13110" max="13110" width="11.5703125" style="119" bestFit="1" customWidth="1"/>
    <col min="13111" max="13113" width="22.28515625" style="119" bestFit="1" customWidth="1"/>
    <col min="13114" max="13114" width="23.5703125" style="119" bestFit="1" customWidth="1"/>
    <col min="13115" max="13310" width="11.42578125" style="119"/>
    <col min="13311" max="13311" width="16" style="119" customWidth="1"/>
    <col min="13312" max="13312" width="35" style="119" customWidth="1"/>
    <col min="13313" max="13328" width="13.7109375" style="119" customWidth="1"/>
    <col min="13329" max="13329" width="19.5703125" style="119" bestFit="1" customWidth="1"/>
    <col min="13330" max="13330" width="12.5703125" style="119" customWidth="1"/>
    <col min="13331" max="13335" width="14" style="119" customWidth="1"/>
    <col min="13336" max="13336" width="15.28515625" style="119" customWidth="1"/>
    <col min="13337" max="13340" width="14" style="119" customWidth="1"/>
    <col min="13341" max="13341" width="16.7109375" style="119" customWidth="1"/>
    <col min="13342" max="13342" width="15.28515625" style="119" customWidth="1"/>
    <col min="13343" max="13343" width="17" style="119" customWidth="1"/>
    <col min="13344" max="13356" width="14.140625" style="119" customWidth="1"/>
    <col min="13357" max="13357" width="15.7109375" style="119" bestFit="1" customWidth="1"/>
    <col min="13358" max="13358" width="16.7109375" style="119" bestFit="1" customWidth="1"/>
    <col min="13359" max="13360" width="15.7109375" style="119" bestFit="1" customWidth="1"/>
    <col min="13361" max="13361" width="16.7109375" style="119" bestFit="1" customWidth="1"/>
    <col min="13362" max="13362" width="14.5703125" style="119" bestFit="1" customWidth="1"/>
    <col min="13363" max="13364" width="15.7109375" style="119" bestFit="1" customWidth="1"/>
    <col min="13365" max="13365" width="16.7109375" style="119" bestFit="1" customWidth="1"/>
    <col min="13366" max="13366" width="11.5703125" style="119" bestFit="1" customWidth="1"/>
    <col min="13367" max="13369" width="22.28515625" style="119" bestFit="1" customWidth="1"/>
    <col min="13370" max="13370" width="23.5703125" style="119" bestFit="1" customWidth="1"/>
    <col min="13371" max="13566" width="11.42578125" style="119"/>
    <col min="13567" max="13567" width="16" style="119" customWidth="1"/>
    <col min="13568" max="13568" width="35" style="119" customWidth="1"/>
    <col min="13569" max="13584" width="13.7109375" style="119" customWidth="1"/>
    <col min="13585" max="13585" width="19.5703125" style="119" bestFit="1" customWidth="1"/>
    <col min="13586" max="13586" width="12.5703125" style="119" customWidth="1"/>
    <col min="13587" max="13591" width="14" style="119" customWidth="1"/>
    <col min="13592" max="13592" width="15.28515625" style="119" customWidth="1"/>
    <col min="13593" max="13596" width="14" style="119" customWidth="1"/>
    <col min="13597" max="13597" width="16.7109375" style="119" customWidth="1"/>
    <col min="13598" max="13598" width="15.28515625" style="119" customWidth="1"/>
    <col min="13599" max="13599" width="17" style="119" customWidth="1"/>
    <col min="13600" max="13612" width="14.140625" style="119" customWidth="1"/>
    <col min="13613" max="13613" width="15.7109375" style="119" bestFit="1" customWidth="1"/>
    <col min="13614" max="13614" width="16.7109375" style="119" bestFit="1" customWidth="1"/>
    <col min="13615" max="13616" width="15.7109375" style="119" bestFit="1" customWidth="1"/>
    <col min="13617" max="13617" width="16.7109375" style="119" bestFit="1" customWidth="1"/>
    <col min="13618" max="13618" width="14.5703125" style="119" bestFit="1" customWidth="1"/>
    <col min="13619" max="13620" width="15.7109375" style="119" bestFit="1" customWidth="1"/>
    <col min="13621" max="13621" width="16.7109375" style="119" bestFit="1" customWidth="1"/>
    <col min="13622" max="13622" width="11.5703125" style="119" bestFit="1" customWidth="1"/>
    <col min="13623" max="13625" width="22.28515625" style="119" bestFit="1" customWidth="1"/>
    <col min="13626" max="13626" width="23.5703125" style="119" bestFit="1" customWidth="1"/>
    <col min="13627" max="13822" width="11.42578125" style="119"/>
    <col min="13823" max="13823" width="16" style="119" customWidth="1"/>
    <col min="13824" max="13824" width="35" style="119" customWidth="1"/>
    <col min="13825" max="13840" width="13.7109375" style="119" customWidth="1"/>
    <col min="13841" max="13841" width="19.5703125" style="119" bestFit="1" customWidth="1"/>
    <col min="13842" max="13842" width="12.5703125" style="119" customWidth="1"/>
    <col min="13843" max="13847" width="14" style="119" customWidth="1"/>
    <col min="13848" max="13848" width="15.28515625" style="119" customWidth="1"/>
    <col min="13849" max="13852" width="14" style="119" customWidth="1"/>
    <col min="13853" max="13853" width="16.7109375" style="119" customWidth="1"/>
    <col min="13854" max="13854" width="15.28515625" style="119" customWidth="1"/>
    <col min="13855" max="13855" width="17" style="119" customWidth="1"/>
    <col min="13856" max="13868" width="14.140625" style="119" customWidth="1"/>
    <col min="13869" max="13869" width="15.7109375" style="119" bestFit="1" customWidth="1"/>
    <col min="13870" max="13870" width="16.7109375" style="119" bestFit="1" customWidth="1"/>
    <col min="13871" max="13872" width="15.7109375" style="119" bestFit="1" customWidth="1"/>
    <col min="13873" max="13873" width="16.7109375" style="119" bestFit="1" customWidth="1"/>
    <col min="13874" max="13874" width="14.5703125" style="119" bestFit="1" customWidth="1"/>
    <col min="13875" max="13876" width="15.7109375" style="119" bestFit="1" customWidth="1"/>
    <col min="13877" max="13877" width="16.7109375" style="119" bestFit="1" customWidth="1"/>
    <col min="13878" max="13878" width="11.5703125" style="119" bestFit="1" customWidth="1"/>
    <col min="13879" max="13881" width="22.28515625" style="119" bestFit="1" customWidth="1"/>
    <col min="13882" max="13882" width="23.5703125" style="119" bestFit="1" customWidth="1"/>
    <col min="13883" max="14078" width="11.42578125" style="119"/>
    <col min="14079" max="14079" width="16" style="119" customWidth="1"/>
    <col min="14080" max="14080" width="35" style="119" customWidth="1"/>
    <col min="14081" max="14096" width="13.7109375" style="119" customWidth="1"/>
    <col min="14097" max="14097" width="19.5703125" style="119" bestFit="1" customWidth="1"/>
    <col min="14098" max="14098" width="12.5703125" style="119" customWidth="1"/>
    <col min="14099" max="14103" width="14" style="119" customWidth="1"/>
    <col min="14104" max="14104" width="15.28515625" style="119" customWidth="1"/>
    <col min="14105" max="14108" width="14" style="119" customWidth="1"/>
    <col min="14109" max="14109" width="16.7109375" style="119" customWidth="1"/>
    <col min="14110" max="14110" width="15.28515625" style="119" customWidth="1"/>
    <col min="14111" max="14111" width="17" style="119" customWidth="1"/>
    <col min="14112" max="14124" width="14.140625" style="119" customWidth="1"/>
    <col min="14125" max="14125" width="15.7109375" style="119" bestFit="1" customWidth="1"/>
    <col min="14126" max="14126" width="16.7109375" style="119" bestFit="1" customWidth="1"/>
    <col min="14127" max="14128" width="15.7109375" style="119" bestFit="1" customWidth="1"/>
    <col min="14129" max="14129" width="16.7109375" style="119" bestFit="1" customWidth="1"/>
    <col min="14130" max="14130" width="14.5703125" style="119" bestFit="1" customWidth="1"/>
    <col min="14131" max="14132" width="15.7109375" style="119" bestFit="1" customWidth="1"/>
    <col min="14133" max="14133" width="16.7109375" style="119" bestFit="1" customWidth="1"/>
    <col min="14134" max="14134" width="11.5703125" style="119" bestFit="1" customWidth="1"/>
    <col min="14135" max="14137" width="22.28515625" style="119" bestFit="1" customWidth="1"/>
    <col min="14138" max="14138" width="23.5703125" style="119" bestFit="1" customWidth="1"/>
    <col min="14139" max="14334" width="11.42578125" style="119"/>
    <col min="14335" max="14335" width="16" style="119" customWidth="1"/>
    <col min="14336" max="14336" width="35" style="119" customWidth="1"/>
    <col min="14337" max="14352" width="13.7109375" style="119" customWidth="1"/>
    <col min="14353" max="14353" width="19.5703125" style="119" bestFit="1" customWidth="1"/>
    <col min="14354" max="14354" width="12.5703125" style="119" customWidth="1"/>
    <col min="14355" max="14359" width="14" style="119" customWidth="1"/>
    <col min="14360" max="14360" width="15.28515625" style="119" customWidth="1"/>
    <col min="14361" max="14364" width="14" style="119" customWidth="1"/>
    <col min="14365" max="14365" width="16.7109375" style="119" customWidth="1"/>
    <col min="14366" max="14366" width="15.28515625" style="119" customWidth="1"/>
    <col min="14367" max="14367" width="17" style="119" customWidth="1"/>
    <col min="14368" max="14380" width="14.140625" style="119" customWidth="1"/>
    <col min="14381" max="14381" width="15.7109375" style="119" bestFit="1" customWidth="1"/>
    <col min="14382" max="14382" width="16.7109375" style="119" bestFit="1" customWidth="1"/>
    <col min="14383" max="14384" width="15.7109375" style="119" bestFit="1" customWidth="1"/>
    <col min="14385" max="14385" width="16.7109375" style="119" bestFit="1" customWidth="1"/>
    <col min="14386" max="14386" width="14.5703125" style="119" bestFit="1" customWidth="1"/>
    <col min="14387" max="14388" width="15.7109375" style="119" bestFit="1" customWidth="1"/>
    <col min="14389" max="14389" width="16.7109375" style="119" bestFit="1" customWidth="1"/>
    <col min="14390" max="14390" width="11.5703125" style="119" bestFit="1" customWidth="1"/>
    <col min="14391" max="14393" width="22.28515625" style="119" bestFit="1" customWidth="1"/>
    <col min="14394" max="14394" width="23.5703125" style="119" bestFit="1" customWidth="1"/>
    <col min="14395" max="14590" width="11.42578125" style="119"/>
    <col min="14591" max="14591" width="16" style="119" customWidth="1"/>
    <col min="14592" max="14592" width="35" style="119" customWidth="1"/>
    <col min="14593" max="14608" width="13.7109375" style="119" customWidth="1"/>
    <col min="14609" max="14609" width="19.5703125" style="119" bestFit="1" customWidth="1"/>
    <col min="14610" max="14610" width="12.5703125" style="119" customWidth="1"/>
    <col min="14611" max="14615" width="14" style="119" customWidth="1"/>
    <col min="14616" max="14616" width="15.28515625" style="119" customWidth="1"/>
    <col min="14617" max="14620" width="14" style="119" customWidth="1"/>
    <col min="14621" max="14621" width="16.7109375" style="119" customWidth="1"/>
    <col min="14622" max="14622" width="15.28515625" style="119" customWidth="1"/>
    <col min="14623" max="14623" width="17" style="119" customWidth="1"/>
    <col min="14624" max="14636" width="14.140625" style="119" customWidth="1"/>
    <col min="14637" max="14637" width="15.7109375" style="119" bestFit="1" customWidth="1"/>
    <col min="14638" max="14638" width="16.7109375" style="119" bestFit="1" customWidth="1"/>
    <col min="14639" max="14640" width="15.7109375" style="119" bestFit="1" customWidth="1"/>
    <col min="14641" max="14641" width="16.7109375" style="119" bestFit="1" customWidth="1"/>
    <col min="14642" max="14642" width="14.5703125" style="119" bestFit="1" customWidth="1"/>
    <col min="14643" max="14644" width="15.7109375" style="119" bestFit="1" customWidth="1"/>
    <col min="14645" max="14645" width="16.7109375" style="119" bestFit="1" customWidth="1"/>
    <col min="14646" max="14646" width="11.5703125" style="119" bestFit="1" customWidth="1"/>
    <col min="14647" max="14649" width="22.28515625" style="119" bestFit="1" customWidth="1"/>
    <col min="14650" max="14650" width="23.5703125" style="119" bestFit="1" customWidth="1"/>
    <col min="14651" max="14846" width="11.42578125" style="119"/>
    <col min="14847" max="14847" width="16" style="119" customWidth="1"/>
    <col min="14848" max="14848" width="35" style="119" customWidth="1"/>
    <col min="14849" max="14864" width="13.7109375" style="119" customWidth="1"/>
    <col min="14865" max="14865" width="19.5703125" style="119" bestFit="1" customWidth="1"/>
    <col min="14866" max="14866" width="12.5703125" style="119" customWidth="1"/>
    <col min="14867" max="14871" width="14" style="119" customWidth="1"/>
    <col min="14872" max="14872" width="15.28515625" style="119" customWidth="1"/>
    <col min="14873" max="14876" width="14" style="119" customWidth="1"/>
    <col min="14877" max="14877" width="16.7109375" style="119" customWidth="1"/>
    <col min="14878" max="14878" width="15.28515625" style="119" customWidth="1"/>
    <col min="14879" max="14879" width="17" style="119" customWidth="1"/>
    <col min="14880" max="14892" width="14.140625" style="119" customWidth="1"/>
    <col min="14893" max="14893" width="15.7109375" style="119" bestFit="1" customWidth="1"/>
    <col min="14894" max="14894" width="16.7109375" style="119" bestFit="1" customWidth="1"/>
    <col min="14895" max="14896" width="15.7109375" style="119" bestFit="1" customWidth="1"/>
    <col min="14897" max="14897" width="16.7109375" style="119" bestFit="1" customWidth="1"/>
    <col min="14898" max="14898" width="14.5703125" style="119" bestFit="1" customWidth="1"/>
    <col min="14899" max="14900" width="15.7109375" style="119" bestFit="1" customWidth="1"/>
    <col min="14901" max="14901" width="16.7109375" style="119" bestFit="1" customWidth="1"/>
    <col min="14902" max="14902" width="11.5703125" style="119" bestFit="1" customWidth="1"/>
    <col min="14903" max="14905" width="22.28515625" style="119" bestFit="1" customWidth="1"/>
    <col min="14906" max="14906" width="23.5703125" style="119" bestFit="1" customWidth="1"/>
    <col min="14907" max="15102" width="11.42578125" style="119"/>
    <col min="15103" max="15103" width="16" style="119" customWidth="1"/>
    <col min="15104" max="15104" width="35" style="119" customWidth="1"/>
    <col min="15105" max="15120" width="13.7109375" style="119" customWidth="1"/>
    <col min="15121" max="15121" width="19.5703125" style="119" bestFit="1" customWidth="1"/>
    <col min="15122" max="15122" width="12.5703125" style="119" customWidth="1"/>
    <col min="15123" max="15127" width="14" style="119" customWidth="1"/>
    <col min="15128" max="15128" width="15.28515625" style="119" customWidth="1"/>
    <col min="15129" max="15132" width="14" style="119" customWidth="1"/>
    <col min="15133" max="15133" width="16.7109375" style="119" customWidth="1"/>
    <col min="15134" max="15134" width="15.28515625" style="119" customWidth="1"/>
    <col min="15135" max="15135" width="17" style="119" customWidth="1"/>
    <col min="15136" max="15148" width="14.140625" style="119" customWidth="1"/>
    <col min="15149" max="15149" width="15.7109375" style="119" bestFit="1" customWidth="1"/>
    <col min="15150" max="15150" width="16.7109375" style="119" bestFit="1" customWidth="1"/>
    <col min="15151" max="15152" width="15.7109375" style="119" bestFit="1" customWidth="1"/>
    <col min="15153" max="15153" width="16.7109375" style="119" bestFit="1" customWidth="1"/>
    <col min="15154" max="15154" width="14.5703125" style="119" bestFit="1" customWidth="1"/>
    <col min="15155" max="15156" width="15.7109375" style="119" bestFit="1" customWidth="1"/>
    <col min="15157" max="15157" width="16.7109375" style="119" bestFit="1" customWidth="1"/>
    <col min="15158" max="15158" width="11.5703125" style="119" bestFit="1" customWidth="1"/>
    <col min="15159" max="15161" width="22.28515625" style="119" bestFit="1" customWidth="1"/>
    <col min="15162" max="15162" width="23.5703125" style="119" bestFit="1" customWidth="1"/>
    <col min="15163" max="15358" width="11.42578125" style="119"/>
    <col min="15359" max="15359" width="16" style="119" customWidth="1"/>
    <col min="15360" max="15360" width="35" style="119" customWidth="1"/>
    <col min="15361" max="15376" width="13.7109375" style="119" customWidth="1"/>
    <col min="15377" max="15377" width="19.5703125" style="119" bestFit="1" customWidth="1"/>
    <col min="15378" max="15378" width="12.5703125" style="119" customWidth="1"/>
    <col min="15379" max="15383" width="14" style="119" customWidth="1"/>
    <col min="15384" max="15384" width="15.28515625" style="119" customWidth="1"/>
    <col min="15385" max="15388" width="14" style="119" customWidth="1"/>
    <col min="15389" max="15389" width="16.7109375" style="119" customWidth="1"/>
    <col min="15390" max="15390" width="15.28515625" style="119" customWidth="1"/>
    <col min="15391" max="15391" width="17" style="119" customWidth="1"/>
    <col min="15392" max="15404" width="14.140625" style="119" customWidth="1"/>
    <col min="15405" max="15405" width="15.7109375" style="119" bestFit="1" customWidth="1"/>
    <col min="15406" max="15406" width="16.7109375" style="119" bestFit="1" customWidth="1"/>
    <col min="15407" max="15408" width="15.7109375" style="119" bestFit="1" customWidth="1"/>
    <col min="15409" max="15409" width="16.7109375" style="119" bestFit="1" customWidth="1"/>
    <col min="15410" max="15410" width="14.5703125" style="119" bestFit="1" customWidth="1"/>
    <col min="15411" max="15412" width="15.7109375" style="119" bestFit="1" customWidth="1"/>
    <col min="15413" max="15413" width="16.7109375" style="119" bestFit="1" customWidth="1"/>
    <col min="15414" max="15414" width="11.5703125" style="119" bestFit="1" customWidth="1"/>
    <col min="15415" max="15417" width="22.28515625" style="119" bestFit="1" customWidth="1"/>
    <col min="15418" max="15418" width="23.5703125" style="119" bestFit="1" customWidth="1"/>
    <col min="15419" max="15614" width="11.42578125" style="119"/>
    <col min="15615" max="15615" width="16" style="119" customWidth="1"/>
    <col min="15616" max="15616" width="35" style="119" customWidth="1"/>
    <col min="15617" max="15632" width="13.7109375" style="119" customWidth="1"/>
    <col min="15633" max="15633" width="19.5703125" style="119" bestFit="1" customWidth="1"/>
    <col min="15634" max="15634" width="12.5703125" style="119" customWidth="1"/>
    <col min="15635" max="15639" width="14" style="119" customWidth="1"/>
    <col min="15640" max="15640" width="15.28515625" style="119" customWidth="1"/>
    <col min="15641" max="15644" width="14" style="119" customWidth="1"/>
    <col min="15645" max="15645" width="16.7109375" style="119" customWidth="1"/>
    <col min="15646" max="15646" width="15.28515625" style="119" customWidth="1"/>
    <col min="15647" max="15647" width="17" style="119" customWidth="1"/>
    <col min="15648" max="15660" width="14.140625" style="119" customWidth="1"/>
    <col min="15661" max="15661" width="15.7109375" style="119" bestFit="1" customWidth="1"/>
    <col min="15662" max="15662" width="16.7109375" style="119" bestFit="1" customWidth="1"/>
    <col min="15663" max="15664" width="15.7109375" style="119" bestFit="1" customWidth="1"/>
    <col min="15665" max="15665" width="16.7109375" style="119" bestFit="1" customWidth="1"/>
    <col min="15666" max="15666" width="14.5703125" style="119" bestFit="1" customWidth="1"/>
    <col min="15667" max="15668" width="15.7109375" style="119" bestFit="1" customWidth="1"/>
    <col min="15669" max="15669" width="16.7109375" style="119" bestFit="1" customWidth="1"/>
    <col min="15670" max="15670" width="11.5703125" style="119" bestFit="1" customWidth="1"/>
    <col min="15671" max="15673" width="22.28515625" style="119" bestFit="1" customWidth="1"/>
    <col min="15674" max="15674" width="23.5703125" style="119" bestFit="1" customWidth="1"/>
    <col min="15675" max="15870" width="11.42578125" style="119"/>
    <col min="15871" max="15871" width="16" style="119" customWidth="1"/>
    <col min="15872" max="15872" width="35" style="119" customWidth="1"/>
    <col min="15873" max="15888" width="13.7109375" style="119" customWidth="1"/>
    <col min="15889" max="15889" width="19.5703125" style="119" bestFit="1" customWidth="1"/>
    <col min="15890" max="15890" width="12.5703125" style="119" customWidth="1"/>
    <col min="15891" max="15895" width="14" style="119" customWidth="1"/>
    <col min="15896" max="15896" width="15.28515625" style="119" customWidth="1"/>
    <col min="15897" max="15900" width="14" style="119" customWidth="1"/>
    <col min="15901" max="15901" width="16.7109375" style="119" customWidth="1"/>
    <col min="15902" max="15902" width="15.28515625" style="119" customWidth="1"/>
    <col min="15903" max="15903" width="17" style="119" customWidth="1"/>
    <col min="15904" max="15916" width="14.140625" style="119" customWidth="1"/>
    <col min="15917" max="15917" width="15.7109375" style="119" bestFit="1" customWidth="1"/>
    <col min="15918" max="15918" width="16.7109375" style="119" bestFit="1" customWidth="1"/>
    <col min="15919" max="15920" width="15.7109375" style="119" bestFit="1" customWidth="1"/>
    <col min="15921" max="15921" width="16.7109375" style="119" bestFit="1" customWidth="1"/>
    <col min="15922" max="15922" width="14.5703125" style="119" bestFit="1" customWidth="1"/>
    <col min="15923" max="15924" width="15.7109375" style="119" bestFit="1" customWidth="1"/>
    <col min="15925" max="15925" width="16.7109375" style="119" bestFit="1" customWidth="1"/>
    <col min="15926" max="15926" width="11.5703125" style="119" bestFit="1" customWidth="1"/>
    <col min="15927" max="15929" width="22.28515625" style="119" bestFit="1" customWidth="1"/>
    <col min="15930" max="15930" width="23.5703125" style="119" bestFit="1" customWidth="1"/>
    <col min="15931" max="16126" width="11.42578125" style="119"/>
    <col min="16127" max="16127" width="16" style="119" customWidth="1"/>
    <col min="16128" max="16128" width="35" style="119" customWidth="1"/>
    <col min="16129" max="16144" width="13.7109375" style="119" customWidth="1"/>
    <col min="16145" max="16145" width="19.5703125" style="119" bestFit="1" customWidth="1"/>
    <col min="16146" max="16146" width="12.5703125" style="119" customWidth="1"/>
    <col min="16147" max="16151" width="14" style="119" customWidth="1"/>
    <col min="16152" max="16152" width="15.28515625" style="119" customWidth="1"/>
    <col min="16153" max="16156" width="14" style="119" customWidth="1"/>
    <col min="16157" max="16157" width="16.7109375" style="119" customWidth="1"/>
    <col min="16158" max="16158" width="15.28515625" style="119" customWidth="1"/>
    <col min="16159" max="16159" width="17" style="119" customWidth="1"/>
    <col min="16160" max="16172" width="14.140625" style="119" customWidth="1"/>
    <col min="16173" max="16173" width="15.7109375" style="119" bestFit="1" customWidth="1"/>
    <col min="16174" max="16174" width="16.7109375" style="119" bestFit="1" customWidth="1"/>
    <col min="16175" max="16176" width="15.7109375" style="119" bestFit="1" customWidth="1"/>
    <col min="16177" max="16177" width="16.7109375" style="119" bestFit="1" customWidth="1"/>
    <col min="16178" max="16178" width="14.5703125" style="119" bestFit="1" customWidth="1"/>
    <col min="16179" max="16180" width="15.7109375" style="119" bestFit="1" customWidth="1"/>
    <col min="16181" max="16181" width="16.7109375" style="119" bestFit="1" customWidth="1"/>
    <col min="16182" max="16182" width="11.5703125" style="119" bestFit="1" customWidth="1"/>
    <col min="16183" max="16185" width="22.28515625" style="119" bestFit="1" customWidth="1"/>
    <col min="16186" max="16186" width="23.5703125" style="119" bestFit="1" customWidth="1"/>
    <col min="16187" max="16384" width="11.42578125" style="119"/>
  </cols>
  <sheetData>
    <row r="1" spans="1:29">
      <c r="A1" s="366"/>
      <c r="S1" s="119"/>
      <c r="T1" s="119"/>
    </row>
    <row r="2" spans="1:29" ht="15">
      <c r="E2" s="444" t="s">
        <v>555</v>
      </c>
      <c r="F2" s="444"/>
      <c r="G2" s="444"/>
      <c r="H2" s="444"/>
      <c r="I2" s="321"/>
      <c r="J2" s="321"/>
      <c r="K2" s="321"/>
      <c r="L2" s="321"/>
      <c r="M2" s="321"/>
      <c r="N2" s="321"/>
      <c r="O2" s="321"/>
      <c r="S2" s="119"/>
      <c r="T2" s="119"/>
    </row>
    <row r="3" spans="1:29">
      <c r="B3" s="244"/>
      <c r="D3" s="244"/>
      <c r="E3" s="244"/>
      <c r="F3" s="244"/>
      <c r="G3" s="244"/>
      <c r="H3" s="244"/>
      <c r="I3" s="322"/>
      <c r="J3" s="322"/>
      <c r="K3" s="323"/>
      <c r="L3" s="323"/>
      <c r="M3" s="323"/>
      <c r="N3" s="322"/>
      <c r="O3" s="323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</row>
    <row r="4" spans="1:29" ht="9.75" thickBot="1">
      <c r="A4" s="42" t="s">
        <v>338</v>
      </c>
      <c r="B4" s="42" t="s">
        <v>317</v>
      </c>
      <c r="C4" s="42">
        <v>2001</v>
      </c>
      <c r="D4" s="42">
        <v>2002</v>
      </c>
      <c r="E4" s="42">
        <v>2003</v>
      </c>
      <c r="F4" s="42">
        <v>2004</v>
      </c>
      <c r="G4" s="49" t="s">
        <v>469</v>
      </c>
      <c r="H4" s="88">
        <v>2005</v>
      </c>
      <c r="I4" s="42">
        <v>2006</v>
      </c>
      <c r="J4" s="42">
        <v>2007</v>
      </c>
      <c r="K4" s="42">
        <v>2008</v>
      </c>
      <c r="L4" s="42">
        <v>2009</v>
      </c>
      <c r="M4" s="42">
        <v>2010</v>
      </c>
      <c r="N4" s="42">
        <v>2011</v>
      </c>
      <c r="O4" s="42">
        <v>2012</v>
      </c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</row>
    <row r="5" spans="1:29" ht="15.75" customHeight="1" thickTop="1">
      <c r="A5" s="225" t="s">
        <v>339</v>
      </c>
      <c r="B5" s="219">
        <v>1500000</v>
      </c>
      <c r="C5" s="219">
        <v>1500000</v>
      </c>
      <c r="D5" s="219">
        <v>500000</v>
      </c>
      <c r="E5" s="219">
        <v>500000</v>
      </c>
      <c r="F5" s="219">
        <v>500000</v>
      </c>
      <c r="G5" s="219">
        <v>500000.0177652241</v>
      </c>
      <c r="H5" s="219">
        <v>500000.0177652241</v>
      </c>
      <c r="I5" s="219">
        <v>400729</v>
      </c>
      <c r="J5" s="219">
        <v>359744.08</v>
      </c>
      <c r="K5" s="219">
        <v>312618.56</v>
      </c>
      <c r="L5" s="219">
        <v>312711.87</v>
      </c>
      <c r="M5" s="219">
        <v>320922.77</v>
      </c>
      <c r="N5" s="219">
        <v>326159.74</v>
      </c>
      <c r="O5" s="219">
        <v>334229.62</v>
      </c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</row>
    <row r="6" spans="1:29" ht="15.75" customHeight="1">
      <c r="A6" s="243" t="s">
        <v>340</v>
      </c>
      <c r="B6" s="220">
        <v>1289142.8571428573</v>
      </c>
      <c r="C6" s="220">
        <v>1289142.8571428573</v>
      </c>
      <c r="D6" s="220">
        <v>1192000</v>
      </c>
      <c r="E6" s="220">
        <v>1484000</v>
      </c>
      <c r="F6" s="220">
        <v>1252000</v>
      </c>
      <c r="G6" s="220">
        <v>1401999.982234776</v>
      </c>
      <c r="H6" s="220">
        <v>1401999.982234776</v>
      </c>
      <c r="I6" s="220">
        <v>1164271</v>
      </c>
      <c r="J6" s="220">
        <v>1052255.92</v>
      </c>
      <c r="K6" s="220">
        <v>1106631.8999999999</v>
      </c>
      <c r="L6" s="220">
        <v>966441.12</v>
      </c>
      <c r="M6" s="220">
        <v>969436.08</v>
      </c>
      <c r="N6" s="220">
        <v>1289350.49</v>
      </c>
      <c r="O6" s="220">
        <v>1669087.51</v>
      </c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</row>
    <row r="7" spans="1:29" ht="15.75" customHeight="1">
      <c r="A7" s="225" t="s">
        <v>341</v>
      </c>
      <c r="B7" s="219">
        <v>1889000</v>
      </c>
      <c r="C7" s="219">
        <v>2158857.1428571427</v>
      </c>
      <c r="D7" s="219">
        <v>2548000</v>
      </c>
      <c r="E7" s="219">
        <v>2523000</v>
      </c>
      <c r="F7" s="219">
        <v>2334000</v>
      </c>
      <c r="G7" s="219">
        <v>2081288</v>
      </c>
      <c r="H7" s="219">
        <v>2104000</v>
      </c>
      <c r="I7" s="219">
        <v>2659000</v>
      </c>
      <c r="J7" s="219">
        <v>2574000</v>
      </c>
      <c r="K7" s="219">
        <v>3217000</v>
      </c>
      <c r="L7" s="219">
        <v>3335000</v>
      </c>
      <c r="M7" s="219">
        <v>3265000</v>
      </c>
      <c r="N7" s="219">
        <v>3800000</v>
      </c>
      <c r="O7" s="219">
        <v>4731718.7699999996</v>
      </c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</row>
    <row r="8" spans="1:29" ht="15.75" customHeight="1">
      <c r="A8" s="243" t="s">
        <v>342</v>
      </c>
      <c r="B8" s="220">
        <v>36000</v>
      </c>
      <c r="C8" s="220">
        <v>41142.857142857145</v>
      </c>
      <c r="D8" s="220">
        <v>56000</v>
      </c>
      <c r="E8" s="220">
        <v>61000</v>
      </c>
      <c r="F8" s="220">
        <v>79000</v>
      </c>
      <c r="G8" s="220">
        <v>83000</v>
      </c>
      <c r="H8" s="220">
        <v>83000</v>
      </c>
      <c r="I8" s="220">
        <v>196000</v>
      </c>
      <c r="J8" s="220">
        <v>250000</v>
      </c>
      <c r="K8" s="220">
        <v>267000</v>
      </c>
      <c r="L8" s="220">
        <v>326000</v>
      </c>
      <c r="M8" s="220">
        <v>348000</v>
      </c>
      <c r="N8" s="220">
        <v>460000</v>
      </c>
      <c r="O8" s="220">
        <v>496742</v>
      </c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</row>
    <row r="9" spans="1:29" ht="15.75" customHeight="1">
      <c r="A9" s="225" t="s">
        <v>334</v>
      </c>
      <c r="B9" s="219">
        <v>1154000</v>
      </c>
      <c r="C9" s="219">
        <v>1318857.142857143</v>
      </c>
      <c r="D9" s="219">
        <v>1212000</v>
      </c>
      <c r="E9" s="219">
        <v>1282000</v>
      </c>
      <c r="F9" s="219">
        <v>1138000</v>
      </c>
      <c r="G9" s="219">
        <v>1615887</v>
      </c>
      <c r="H9" s="219">
        <v>1630000</v>
      </c>
      <c r="I9" s="219">
        <v>1730000</v>
      </c>
      <c r="J9" s="219">
        <v>1830000</v>
      </c>
      <c r="K9" s="219">
        <v>1880000</v>
      </c>
      <c r="L9" s="219">
        <v>2565000</v>
      </c>
      <c r="M9" s="219">
        <v>2704000</v>
      </c>
      <c r="N9" s="219">
        <v>3039000</v>
      </c>
      <c r="O9" s="219">
        <v>3726556.69</v>
      </c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</row>
    <row r="10" spans="1:29" ht="15.75" customHeight="1">
      <c r="A10" s="243" t="s">
        <v>335</v>
      </c>
      <c r="B10" s="220">
        <v>159000</v>
      </c>
      <c r="C10" s="220">
        <v>181714.28571428571</v>
      </c>
      <c r="D10" s="220">
        <v>320000</v>
      </c>
      <c r="E10" s="220">
        <v>277000</v>
      </c>
      <c r="F10" s="220">
        <v>400000</v>
      </c>
      <c r="G10" s="220">
        <v>888176.77</v>
      </c>
      <c r="H10" s="220">
        <v>1015000</v>
      </c>
      <c r="I10" s="220">
        <v>1620000</v>
      </c>
      <c r="J10" s="220">
        <v>1684000</v>
      </c>
      <c r="K10" s="220">
        <v>1821000</v>
      </c>
      <c r="L10" s="220">
        <v>2148000</v>
      </c>
      <c r="M10" s="220">
        <v>2693000</v>
      </c>
      <c r="N10" s="220">
        <v>2625000</v>
      </c>
      <c r="O10" s="220">
        <v>3063230</v>
      </c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</row>
    <row r="11" spans="1:29" ht="15.75" customHeight="1">
      <c r="A11" s="225" t="s">
        <v>336</v>
      </c>
      <c r="B11" s="219">
        <v>317000</v>
      </c>
      <c r="C11" s="219">
        <v>362285.71428571426</v>
      </c>
      <c r="D11" s="219">
        <v>393000</v>
      </c>
      <c r="E11" s="219">
        <v>400000</v>
      </c>
      <c r="F11" s="219">
        <v>353000</v>
      </c>
      <c r="G11" s="219">
        <v>380964.87</v>
      </c>
      <c r="H11" s="219">
        <v>395000</v>
      </c>
      <c r="I11" s="219">
        <v>507000</v>
      </c>
      <c r="J11" s="219">
        <v>590000</v>
      </c>
      <c r="K11" s="219">
        <v>734000</v>
      </c>
      <c r="L11" s="219">
        <v>783000</v>
      </c>
      <c r="M11" s="219">
        <v>569000</v>
      </c>
      <c r="N11" s="219">
        <v>955000</v>
      </c>
      <c r="O11" s="219">
        <v>1192958.1299999999</v>
      </c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</row>
    <row r="12" spans="1:29" ht="15.75" customHeight="1">
      <c r="A12" s="243" t="s">
        <v>344</v>
      </c>
      <c r="B12" s="220">
        <v>164000</v>
      </c>
      <c r="C12" s="220">
        <v>187428.57142857142</v>
      </c>
      <c r="D12" s="220">
        <v>1014000</v>
      </c>
      <c r="E12" s="220">
        <v>1159000</v>
      </c>
      <c r="F12" s="220">
        <v>1291000</v>
      </c>
      <c r="G12" s="220">
        <v>1642000</v>
      </c>
      <c r="H12" s="220">
        <v>1642000</v>
      </c>
      <c r="I12" s="220">
        <v>1811000</v>
      </c>
      <c r="J12" s="220">
        <v>1227000</v>
      </c>
      <c r="K12" s="220">
        <v>1312000</v>
      </c>
      <c r="L12" s="220">
        <v>1437000</v>
      </c>
      <c r="M12" s="220">
        <v>1449000</v>
      </c>
      <c r="N12" s="220">
        <v>1438000</v>
      </c>
      <c r="O12" s="220">
        <v>1658321.2200000002</v>
      </c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</row>
    <row r="13" spans="1:29" ht="15.75" customHeight="1">
      <c r="A13" s="225" t="s">
        <v>345</v>
      </c>
      <c r="B13" s="219">
        <v>323000</v>
      </c>
      <c r="C13" s="219">
        <v>369142.85714285716</v>
      </c>
      <c r="D13" s="219">
        <v>959000</v>
      </c>
      <c r="E13" s="219">
        <v>1512000</v>
      </c>
      <c r="F13" s="219">
        <v>1398000</v>
      </c>
      <c r="G13" s="219">
        <v>1500000</v>
      </c>
      <c r="H13" s="219">
        <v>1500000</v>
      </c>
      <c r="I13" s="219">
        <v>1552000</v>
      </c>
      <c r="J13" s="219">
        <v>1397000</v>
      </c>
      <c r="K13" s="219">
        <v>1369000</v>
      </c>
      <c r="L13" s="219">
        <v>1468000</v>
      </c>
      <c r="M13" s="219">
        <v>1457000</v>
      </c>
      <c r="N13" s="219">
        <v>1492000</v>
      </c>
      <c r="O13" s="219">
        <v>1714008.15</v>
      </c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</row>
    <row r="14" spans="1:29" ht="15.75" customHeight="1">
      <c r="A14" s="243" t="s">
        <v>346</v>
      </c>
      <c r="B14" s="220">
        <v>1232000</v>
      </c>
      <c r="C14" s="220">
        <v>1408000</v>
      </c>
      <c r="D14" s="220">
        <v>396000</v>
      </c>
      <c r="E14" s="220">
        <v>583000</v>
      </c>
      <c r="F14" s="220">
        <v>938000</v>
      </c>
      <c r="G14" s="220">
        <v>879000</v>
      </c>
      <c r="H14" s="220">
        <v>879000</v>
      </c>
      <c r="I14" s="220">
        <v>717000</v>
      </c>
      <c r="J14" s="220">
        <v>608000</v>
      </c>
      <c r="K14" s="220">
        <v>618000</v>
      </c>
      <c r="L14" s="220">
        <v>785000</v>
      </c>
      <c r="M14" s="220">
        <v>663000</v>
      </c>
      <c r="N14" s="220">
        <v>551000</v>
      </c>
      <c r="O14" s="220">
        <v>884620</v>
      </c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</row>
    <row r="15" spans="1:29" ht="15.75" customHeight="1">
      <c r="A15" s="225" t="s">
        <v>347</v>
      </c>
      <c r="B15" s="219">
        <v>1290000</v>
      </c>
      <c r="C15" s="219">
        <v>1474285.7142857143</v>
      </c>
      <c r="D15" s="219">
        <v>1283000</v>
      </c>
      <c r="E15" s="219">
        <v>1345000</v>
      </c>
      <c r="F15" s="219">
        <v>1339000</v>
      </c>
      <c r="G15" s="219">
        <v>1091262.9320375209</v>
      </c>
      <c r="H15" s="219">
        <v>1110000</v>
      </c>
      <c r="I15" s="219">
        <v>1312000</v>
      </c>
      <c r="J15" s="219">
        <v>2152000</v>
      </c>
      <c r="K15" s="219">
        <v>2186000</v>
      </c>
      <c r="L15" s="219">
        <v>1783000</v>
      </c>
      <c r="M15" s="219">
        <v>2185000</v>
      </c>
      <c r="N15" s="219">
        <v>3253000</v>
      </c>
      <c r="O15" s="219">
        <v>2203805</v>
      </c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</row>
    <row r="16" spans="1:29" ht="15.75" customHeight="1">
      <c r="A16" s="243" t="s">
        <v>348</v>
      </c>
      <c r="B16" s="220">
        <v>228000</v>
      </c>
      <c r="C16" s="220">
        <v>260571.42857142858</v>
      </c>
      <c r="D16" s="220">
        <v>836000</v>
      </c>
      <c r="E16" s="220">
        <v>798000</v>
      </c>
      <c r="F16" s="220">
        <v>1150000</v>
      </c>
      <c r="G16" s="220">
        <v>821000</v>
      </c>
      <c r="H16" s="220">
        <v>821000</v>
      </c>
      <c r="I16" s="220">
        <v>744000</v>
      </c>
      <c r="J16" s="220">
        <v>748000</v>
      </c>
      <c r="K16" s="220">
        <v>840000</v>
      </c>
      <c r="L16" s="220">
        <v>649000</v>
      </c>
      <c r="M16" s="220">
        <v>666000</v>
      </c>
      <c r="N16" s="220">
        <v>883000</v>
      </c>
      <c r="O16" s="220">
        <v>1180140.3399999999</v>
      </c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</row>
    <row r="17" spans="1:29" ht="9.75" thickBot="1">
      <c r="A17" s="88"/>
      <c r="B17" s="88">
        <f t="shared" ref="B17:N17" si="0">SUM(B5:B16)</f>
        <v>9581142.8571428582</v>
      </c>
      <c r="C17" s="88">
        <f t="shared" si="0"/>
        <v>10551428.571428573</v>
      </c>
      <c r="D17" s="88">
        <f t="shared" si="0"/>
        <v>10709000</v>
      </c>
      <c r="E17" s="88">
        <f t="shared" si="0"/>
        <v>11924000</v>
      </c>
      <c r="F17" s="88">
        <f t="shared" si="0"/>
        <v>12172000</v>
      </c>
      <c r="G17" s="181">
        <f t="shared" si="0"/>
        <v>12884579.572037522</v>
      </c>
      <c r="H17" s="88">
        <f t="shared" si="0"/>
        <v>13081000</v>
      </c>
      <c r="I17" s="88">
        <f>SUM(I5:I16)</f>
        <v>14413000</v>
      </c>
      <c r="J17" s="88">
        <f>SUM(J5:J16)</f>
        <v>14472000</v>
      </c>
      <c r="K17" s="88">
        <f t="shared" si="0"/>
        <v>15663250.460000001</v>
      </c>
      <c r="L17" s="88">
        <f>SUM(L5:L16)</f>
        <v>16558152.99</v>
      </c>
      <c r="M17" s="88">
        <f t="shared" si="0"/>
        <v>17289358.850000001</v>
      </c>
      <c r="N17" s="88">
        <f t="shared" si="0"/>
        <v>20111510.23</v>
      </c>
      <c r="O17" s="88">
        <f>SUM(O5:O16)</f>
        <v>22855417.429999996</v>
      </c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</row>
    <row r="18" spans="1:29" ht="9.75" thickTop="1">
      <c r="I18" s="368"/>
      <c r="J18" s="368"/>
      <c r="O18" s="321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</row>
    <row r="19" spans="1:29">
      <c r="C19" s="245"/>
      <c r="D19" s="245"/>
      <c r="E19" s="245"/>
      <c r="H19" s="245"/>
      <c r="I19" s="186"/>
      <c r="J19" s="245"/>
      <c r="K19" s="245"/>
      <c r="L19" s="245"/>
      <c r="M19" s="245"/>
      <c r="N19" s="245"/>
      <c r="O19" s="245"/>
      <c r="P19" s="245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</row>
    <row r="20" spans="1:29" ht="13.5" customHeight="1" thickBot="1">
      <c r="C20" s="368"/>
      <c r="F20" s="245"/>
      <c r="G20" s="88">
        <v>2005</v>
      </c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</row>
    <row r="21" spans="1:29" ht="13.5" customHeight="1" thickTop="1" thickBot="1">
      <c r="F21" s="88" t="s">
        <v>352</v>
      </c>
      <c r="G21" s="88" t="s">
        <v>198</v>
      </c>
      <c r="I21" s="369"/>
      <c r="J21" s="36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</row>
    <row r="22" spans="1:29" ht="13.5" customHeight="1" thickTop="1">
      <c r="F22" s="225"/>
      <c r="G22" s="225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</row>
    <row r="23" spans="1:29" ht="13.5" customHeight="1">
      <c r="F23" s="243"/>
      <c r="G23" s="220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</row>
    <row r="24" spans="1:29" ht="13.5" customHeight="1">
      <c r="F24" s="225" t="s">
        <v>341</v>
      </c>
      <c r="G24" s="219">
        <v>22712</v>
      </c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</row>
    <row r="25" spans="1:29" ht="13.5" customHeight="1">
      <c r="F25" s="243"/>
      <c r="G25" s="220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</row>
    <row r="26" spans="1:29" ht="13.5" customHeight="1">
      <c r="F26" s="225" t="s">
        <v>343</v>
      </c>
      <c r="G26" s="219">
        <v>14113</v>
      </c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</row>
    <row r="27" spans="1:29" ht="13.5" customHeight="1">
      <c r="F27" s="243" t="s">
        <v>335</v>
      </c>
      <c r="G27" s="220">
        <v>126823.23</v>
      </c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</row>
    <row r="28" spans="1:29" ht="13.5" customHeight="1">
      <c r="F28" s="225" t="s">
        <v>336</v>
      </c>
      <c r="G28" s="219">
        <v>14035.13</v>
      </c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</row>
    <row r="29" spans="1:29">
      <c r="F29" s="243"/>
      <c r="G29" s="220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</row>
    <row r="30" spans="1:29">
      <c r="F30" s="225"/>
      <c r="G30" s="2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</row>
    <row r="31" spans="1:29">
      <c r="F31" s="243"/>
      <c r="G31" s="220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</row>
    <row r="32" spans="1:29">
      <c r="F32" s="225" t="s">
        <v>347</v>
      </c>
      <c r="G32" s="219">
        <v>18737.067962479181</v>
      </c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</row>
    <row r="33" spans="6:29">
      <c r="F33" s="118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</row>
    <row r="34" spans="6:29"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</row>
    <row r="35" spans="6:29"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</row>
  </sheetData>
  <mergeCells count="1">
    <mergeCell ref="E2:H2"/>
  </mergeCells>
  <hyperlinks>
    <hyperlink ref="E2:H2" location="Indice!D3" display="ÍNDICE"/>
  </hyperlinks>
  <pageMargins left="0.75" right="0.75" top="1" bottom="1" header="0" footer="0"/>
  <pageSetup scale="40" orientation="landscape" r:id="rId1"/>
  <headerFooter alignWithMargins="0"/>
  <ignoredErrors>
    <ignoredError sqref="C17:O17" formulaRange="1"/>
  </ignoredErrors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10">
    <tabColor theme="6" tint="0.39997558519241921"/>
    <pageSetUpPr fitToPage="1"/>
  </sheetPr>
  <dimension ref="A1:P50"/>
  <sheetViews>
    <sheetView showGridLines="0" workbookViewId="0">
      <selection activeCell="E1" sqref="E1:H1"/>
    </sheetView>
  </sheetViews>
  <sheetFormatPr baseColWidth="10" defaultRowHeight="9"/>
  <cols>
    <col min="1" max="1" width="9.42578125" style="119" customWidth="1"/>
    <col min="2" max="2" width="14.85546875" style="119" customWidth="1"/>
    <col min="3" max="15" width="8.7109375" style="119" customWidth="1"/>
    <col min="16" max="16" width="12.140625" style="119" customWidth="1"/>
    <col min="17" max="246" width="11.42578125" style="119"/>
    <col min="247" max="247" width="9.42578125" style="119" customWidth="1"/>
    <col min="248" max="248" width="25.28515625" style="119" bestFit="1" customWidth="1"/>
    <col min="249" max="249" width="5.7109375" style="119" customWidth="1"/>
    <col min="250" max="250" width="10.42578125" style="119" customWidth="1"/>
    <col min="251" max="262" width="11.5703125" style="119" bestFit="1" customWidth="1"/>
    <col min="263" max="267" width="12.140625" style="119" customWidth="1"/>
    <col min="268" max="502" width="11.42578125" style="119"/>
    <col min="503" max="503" width="9.42578125" style="119" customWidth="1"/>
    <col min="504" max="504" width="25.28515625" style="119" bestFit="1" customWidth="1"/>
    <col min="505" max="505" width="5.7109375" style="119" customWidth="1"/>
    <col min="506" max="506" width="10.42578125" style="119" customWidth="1"/>
    <col min="507" max="518" width="11.5703125" style="119" bestFit="1" customWidth="1"/>
    <col min="519" max="523" width="12.140625" style="119" customWidth="1"/>
    <col min="524" max="758" width="11.42578125" style="119"/>
    <col min="759" max="759" width="9.42578125" style="119" customWidth="1"/>
    <col min="760" max="760" width="25.28515625" style="119" bestFit="1" customWidth="1"/>
    <col min="761" max="761" width="5.7109375" style="119" customWidth="1"/>
    <col min="762" max="762" width="10.42578125" style="119" customWidth="1"/>
    <col min="763" max="774" width="11.5703125" style="119" bestFit="1" customWidth="1"/>
    <col min="775" max="779" width="12.140625" style="119" customWidth="1"/>
    <col min="780" max="1014" width="11.42578125" style="119"/>
    <col min="1015" max="1015" width="9.42578125" style="119" customWidth="1"/>
    <col min="1016" max="1016" width="25.28515625" style="119" bestFit="1" customWidth="1"/>
    <col min="1017" max="1017" width="5.7109375" style="119" customWidth="1"/>
    <col min="1018" max="1018" width="10.42578125" style="119" customWidth="1"/>
    <col min="1019" max="1030" width="11.5703125" style="119" bestFit="1" customWidth="1"/>
    <col min="1031" max="1035" width="12.140625" style="119" customWidth="1"/>
    <col min="1036" max="1270" width="11.42578125" style="119"/>
    <col min="1271" max="1271" width="9.42578125" style="119" customWidth="1"/>
    <col min="1272" max="1272" width="25.28515625" style="119" bestFit="1" customWidth="1"/>
    <col min="1273" max="1273" width="5.7109375" style="119" customWidth="1"/>
    <col min="1274" max="1274" width="10.42578125" style="119" customWidth="1"/>
    <col min="1275" max="1286" width="11.5703125" style="119" bestFit="1" customWidth="1"/>
    <col min="1287" max="1291" width="12.140625" style="119" customWidth="1"/>
    <col min="1292" max="1526" width="11.42578125" style="119"/>
    <col min="1527" max="1527" width="9.42578125" style="119" customWidth="1"/>
    <col min="1528" max="1528" width="25.28515625" style="119" bestFit="1" customWidth="1"/>
    <col min="1529" max="1529" width="5.7109375" style="119" customWidth="1"/>
    <col min="1530" max="1530" width="10.42578125" style="119" customWidth="1"/>
    <col min="1531" max="1542" width="11.5703125" style="119" bestFit="1" customWidth="1"/>
    <col min="1543" max="1547" width="12.140625" style="119" customWidth="1"/>
    <col min="1548" max="1782" width="11.42578125" style="119"/>
    <col min="1783" max="1783" width="9.42578125" style="119" customWidth="1"/>
    <col min="1784" max="1784" width="25.28515625" style="119" bestFit="1" customWidth="1"/>
    <col min="1785" max="1785" width="5.7109375" style="119" customWidth="1"/>
    <col min="1786" max="1786" width="10.42578125" style="119" customWidth="1"/>
    <col min="1787" max="1798" width="11.5703125" style="119" bestFit="1" customWidth="1"/>
    <col min="1799" max="1803" width="12.140625" style="119" customWidth="1"/>
    <col min="1804" max="2038" width="11.42578125" style="119"/>
    <col min="2039" max="2039" width="9.42578125" style="119" customWidth="1"/>
    <col min="2040" max="2040" width="25.28515625" style="119" bestFit="1" customWidth="1"/>
    <col min="2041" max="2041" width="5.7109375" style="119" customWidth="1"/>
    <col min="2042" max="2042" width="10.42578125" style="119" customWidth="1"/>
    <col min="2043" max="2054" width="11.5703125" style="119" bestFit="1" customWidth="1"/>
    <col min="2055" max="2059" width="12.140625" style="119" customWidth="1"/>
    <col min="2060" max="2294" width="11.42578125" style="119"/>
    <col min="2295" max="2295" width="9.42578125" style="119" customWidth="1"/>
    <col min="2296" max="2296" width="25.28515625" style="119" bestFit="1" customWidth="1"/>
    <col min="2297" max="2297" width="5.7109375" style="119" customWidth="1"/>
    <col min="2298" max="2298" width="10.42578125" style="119" customWidth="1"/>
    <col min="2299" max="2310" width="11.5703125" style="119" bestFit="1" customWidth="1"/>
    <col min="2311" max="2315" width="12.140625" style="119" customWidth="1"/>
    <col min="2316" max="2550" width="11.42578125" style="119"/>
    <col min="2551" max="2551" width="9.42578125" style="119" customWidth="1"/>
    <col min="2552" max="2552" width="25.28515625" style="119" bestFit="1" customWidth="1"/>
    <col min="2553" max="2553" width="5.7109375" style="119" customWidth="1"/>
    <col min="2554" max="2554" width="10.42578125" style="119" customWidth="1"/>
    <col min="2555" max="2566" width="11.5703125" style="119" bestFit="1" customWidth="1"/>
    <col min="2567" max="2571" width="12.140625" style="119" customWidth="1"/>
    <col min="2572" max="2806" width="11.42578125" style="119"/>
    <col min="2807" max="2807" width="9.42578125" style="119" customWidth="1"/>
    <col min="2808" max="2808" width="25.28515625" style="119" bestFit="1" customWidth="1"/>
    <col min="2809" max="2809" width="5.7109375" style="119" customWidth="1"/>
    <col min="2810" max="2810" width="10.42578125" style="119" customWidth="1"/>
    <col min="2811" max="2822" width="11.5703125" style="119" bestFit="1" customWidth="1"/>
    <col min="2823" max="2827" width="12.140625" style="119" customWidth="1"/>
    <col min="2828" max="3062" width="11.42578125" style="119"/>
    <col min="3063" max="3063" width="9.42578125" style="119" customWidth="1"/>
    <col min="3064" max="3064" width="25.28515625" style="119" bestFit="1" customWidth="1"/>
    <col min="3065" max="3065" width="5.7109375" style="119" customWidth="1"/>
    <col min="3066" max="3066" width="10.42578125" style="119" customWidth="1"/>
    <col min="3067" max="3078" width="11.5703125" style="119" bestFit="1" customWidth="1"/>
    <col min="3079" max="3083" width="12.140625" style="119" customWidth="1"/>
    <col min="3084" max="3318" width="11.42578125" style="119"/>
    <col min="3319" max="3319" width="9.42578125" style="119" customWidth="1"/>
    <col min="3320" max="3320" width="25.28515625" style="119" bestFit="1" customWidth="1"/>
    <col min="3321" max="3321" width="5.7109375" style="119" customWidth="1"/>
    <col min="3322" max="3322" width="10.42578125" style="119" customWidth="1"/>
    <col min="3323" max="3334" width="11.5703125" style="119" bestFit="1" customWidth="1"/>
    <col min="3335" max="3339" width="12.140625" style="119" customWidth="1"/>
    <col min="3340" max="3574" width="11.42578125" style="119"/>
    <col min="3575" max="3575" width="9.42578125" style="119" customWidth="1"/>
    <col min="3576" max="3576" width="25.28515625" style="119" bestFit="1" customWidth="1"/>
    <col min="3577" max="3577" width="5.7109375" style="119" customWidth="1"/>
    <col min="3578" max="3578" width="10.42578125" style="119" customWidth="1"/>
    <col min="3579" max="3590" width="11.5703125" style="119" bestFit="1" customWidth="1"/>
    <col min="3591" max="3595" width="12.140625" style="119" customWidth="1"/>
    <col min="3596" max="3830" width="11.42578125" style="119"/>
    <col min="3831" max="3831" width="9.42578125" style="119" customWidth="1"/>
    <col min="3832" max="3832" width="25.28515625" style="119" bestFit="1" customWidth="1"/>
    <col min="3833" max="3833" width="5.7109375" style="119" customWidth="1"/>
    <col min="3834" max="3834" width="10.42578125" style="119" customWidth="1"/>
    <col min="3835" max="3846" width="11.5703125" style="119" bestFit="1" customWidth="1"/>
    <col min="3847" max="3851" width="12.140625" style="119" customWidth="1"/>
    <col min="3852" max="4086" width="11.42578125" style="119"/>
    <col min="4087" max="4087" width="9.42578125" style="119" customWidth="1"/>
    <col min="4088" max="4088" width="25.28515625" style="119" bestFit="1" customWidth="1"/>
    <col min="4089" max="4089" width="5.7109375" style="119" customWidth="1"/>
    <col min="4090" max="4090" width="10.42578125" style="119" customWidth="1"/>
    <col min="4091" max="4102" width="11.5703125" style="119" bestFit="1" customWidth="1"/>
    <col min="4103" max="4107" width="12.140625" style="119" customWidth="1"/>
    <col min="4108" max="4342" width="11.42578125" style="119"/>
    <col min="4343" max="4343" width="9.42578125" style="119" customWidth="1"/>
    <col min="4344" max="4344" width="25.28515625" style="119" bestFit="1" customWidth="1"/>
    <col min="4345" max="4345" width="5.7109375" style="119" customWidth="1"/>
    <col min="4346" max="4346" width="10.42578125" style="119" customWidth="1"/>
    <col min="4347" max="4358" width="11.5703125" style="119" bestFit="1" customWidth="1"/>
    <col min="4359" max="4363" width="12.140625" style="119" customWidth="1"/>
    <col min="4364" max="4598" width="11.42578125" style="119"/>
    <col min="4599" max="4599" width="9.42578125" style="119" customWidth="1"/>
    <col min="4600" max="4600" width="25.28515625" style="119" bestFit="1" customWidth="1"/>
    <col min="4601" max="4601" width="5.7109375" style="119" customWidth="1"/>
    <col min="4602" max="4602" width="10.42578125" style="119" customWidth="1"/>
    <col min="4603" max="4614" width="11.5703125" style="119" bestFit="1" customWidth="1"/>
    <col min="4615" max="4619" width="12.140625" style="119" customWidth="1"/>
    <col min="4620" max="4854" width="11.42578125" style="119"/>
    <col min="4855" max="4855" width="9.42578125" style="119" customWidth="1"/>
    <col min="4856" max="4856" width="25.28515625" style="119" bestFit="1" customWidth="1"/>
    <col min="4857" max="4857" width="5.7109375" style="119" customWidth="1"/>
    <col min="4858" max="4858" width="10.42578125" style="119" customWidth="1"/>
    <col min="4859" max="4870" width="11.5703125" style="119" bestFit="1" customWidth="1"/>
    <col min="4871" max="4875" width="12.140625" style="119" customWidth="1"/>
    <col min="4876" max="5110" width="11.42578125" style="119"/>
    <col min="5111" max="5111" width="9.42578125" style="119" customWidth="1"/>
    <col min="5112" max="5112" width="25.28515625" style="119" bestFit="1" customWidth="1"/>
    <col min="5113" max="5113" width="5.7109375" style="119" customWidth="1"/>
    <col min="5114" max="5114" width="10.42578125" style="119" customWidth="1"/>
    <col min="5115" max="5126" width="11.5703125" style="119" bestFit="1" customWidth="1"/>
    <col min="5127" max="5131" width="12.140625" style="119" customWidth="1"/>
    <col min="5132" max="5366" width="11.42578125" style="119"/>
    <col min="5367" max="5367" width="9.42578125" style="119" customWidth="1"/>
    <col min="5368" max="5368" width="25.28515625" style="119" bestFit="1" customWidth="1"/>
    <col min="5369" max="5369" width="5.7109375" style="119" customWidth="1"/>
    <col min="5370" max="5370" width="10.42578125" style="119" customWidth="1"/>
    <col min="5371" max="5382" width="11.5703125" style="119" bestFit="1" customWidth="1"/>
    <col min="5383" max="5387" width="12.140625" style="119" customWidth="1"/>
    <col min="5388" max="5622" width="11.42578125" style="119"/>
    <col min="5623" max="5623" width="9.42578125" style="119" customWidth="1"/>
    <col min="5624" max="5624" width="25.28515625" style="119" bestFit="1" customWidth="1"/>
    <col min="5625" max="5625" width="5.7109375" style="119" customWidth="1"/>
    <col min="5626" max="5626" width="10.42578125" style="119" customWidth="1"/>
    <col min="5627" max="5638" width="11.5703125" style="119" bestFit="1" customWidth="1"/>
    <col min="5639" max="5643" width="12.140625" style="119" customWidth="1"/>
    <col min="5644" max="5878" width="11.42578125" style="119"/>
    <col min="5879" max="5879" width="9.42578125" style="119" customWidth="1"/>
    <col min="5880" max="5880" width="25.28515625" style="119" bestFit="1" customWidth="1"/>
    <col min="5881" max="5881" width="5.7109375" style="119" customWidth="1"/>
    <col min="5882" max="5882" width="10.42578125" style="119" customWidth="1"/>
    <col min="5883" max="5894" width="11.5703125" style="119" bestFit="1" customWidth="1"/>
    <col min="5895" max="5899" width="12.140625" style="119" customWidth="1"/>
    <col min="5900" max="6134" width="11.42578125" style="119"/>
    <col min="6135" max="6135" width="9.42578125" style="119" customWidth="1"/>
    <col min="6136" max="6136" width="25.28515625" style="119" bestFit="1" customWidth="1"/>
    <col min="6137" max="6137" width="5.7109375" style="119" customWidth="1"/>
    <col min="6138" max="6138" width="10.42578125" style="119" customWidth="1"/>
    <col min="6139" max="6150" width="11.5703125" style="119" bestFit="1" customWidth="1"/>
    <col min="6151" max="6155" width="12.140625" style="119" customWidth="1"/>
    <col min="6156" max="6390" width="11.42578125" style="119"/>
    <col min="6391" max="6391" width="9.42578125" style="119" customWidth="1"/>
    <col min="6392" max="6392" width="25.28515625" style="119" bestFit="1" customWidth="1"/>
    <col min="6393" max="6393" width="5.7109375" style="119" customWidth="1"/>
    <col min="6394" max="6394" width="10.42578125" style="119" customWidth="1"/>
    <col min="6395" max="6406" width="11.5703125" style="119" bestFit="1" customWidth="1"/>
    <col min="6407" max="6411" width="12.140625" style="119" customWidth="1"/>
    <col min="6412" max="6646" width="11.42578125" style="119"/>
    <col min="6647" max="6647" width="9.42578125" style="119" customWidth="1"/>
    <col min="6648" max="6648" width="25.28515625" style="119" bestFit="1" customWidth="1"/>
    <col min="6649" max="6649" width="5.7109375" style="119" customWidth="1"/>
    <col min="6650" max="6650" width="10.42578125" style="119" customWidth="1"/>
    <col min="6651" max="6662" width="11.5703125" style="119" bestFit="1" customWidth="1"/>
    <col min="6663" max="6667" width="12.140625" style="119" customWidth="1"/>
    <col min="6668" max="6902" width="11.42578125" style="119"/>
    <col min="6903" max="6903" width="9.42578125" style="119" customWidth="1"/>
    <col min="6904" max="6904" width="25.28515625" style="119" bestFit="1" customWidth="1"/>
    <col min="6905" max="6905" width="5.7109375" style="119" customWidth="1"/>
    <col min="6906" max="6906" width="10.42578125" style="119" customWidth="1"/>
    <col min="6907" max="6918" width="11.5703125" style="119" bestFit="1" customWidth="1"/>
    <col min="6919" max="6923" width="12.140625" style="119" customWidth="1"/>
    <col min="6924" max="7158" width="11.42578125" style="119"/>
    <col min="7159" max="7159" width="9.42578125" style="119" customWidth="1"/>
    <col min="7160" max="7160" width="25.28515625" style="119" bestFit="1" customWidth="1"/>
    <col min="7161" max="7161" width="5.7109375" style="119" customWidth="1"/>
    <col min="7162" max="7162" width="10.42578125" style="119" customWidth="1"/>
    <col min="7163" max="7174" width="11.5703125" style="119" bestFit="1" customWidth="1"/>
    <col min="7175" max="7179" width="12.140625" style="119" customWidth="1"/>
    <col min="7180" max="7414" width="11.42578125" style="119"/>
    <col min="7415" max="7415" width="9.42578125" style="119" customWidth="1"/>
    <col min="7416" max="7416" width="25.28515625" style="119" bestFit="1" customWidth="1"/>
    <col min="7417" max="7417" width="5.7109375" style="119" customWidth="1"/>
    <col min="7418" max="7418" width="10.42578125" style="119" customWidth="1"/>
    <col min="7419" max="7430" width="11.5703125" style="119" bestFit="1" customWidth="1"/>
    <col min="7431" max="7435" width="12.140625" style="119" customWidth="1"/>
    <col min="7436" max="7670" width="11.42578125" style="119"/>
    <col min="7671" max="7671" width="9.42578125" style="119" customWidth="1"/>
    <col min="7672" max="7672" width="25.28515625" style="119" bestFit="1" customWidth="1"/>
    <col min="7673" max="7673" width="5.7109375" style="119" customWidth="1"/>
    <col min="7674" max="7674" width="10.42578125" style="119" customWidth="1"/>
    <col min="7675" max="7686" width="11.5703125" style="119" bestFit="1" customWidth="1"/>
    <col min="7687" max="7691" width="12.140625" style="119" customWidth="1"/>
    <col min="7692" max="7926" width="11.42578125" style="119"/>
    <col min="7927" max="7927" width="9.42578125" style="119" customWidth="1"/>
    <col min="7928" max="7928" width="25.28515625" style="119" bestFit="1" customWidth="1"/>
    <col min="7929" max="7929" width="5.7109375" style="119" customWidth="1"/>
    <col min="7930" max="7930" width="10.42578125" style="119" customWidth="1"/>
    <col min="7931" max="7942" width="11.5703125" style="119" bestFit="1" customWidth="1"/>
    <col min="7943" max="7947" width="12.140625" style="119" customWidth="1"/>
    <col min="7948" max="8182" width="11.42578125" style="119"/>
    <col min="8183" max="8183" width="9.42578125" style="119" customWidth="1"/>
    <col min="8184" max="8184" width="25.28515625" style="119" bestFit="1" customWidth="1"/>
    <col min="8185" max="8185" width="5.7109375" style="119" customWidth="1"/>
    <col min="8186" max="8186" width="10.42578125" style="119" customWidth="1"/>
    <col min="8187" max="8198" width="11.5703125" style="119" bestFit="1" customWidth="1"/>
    <col min="8199" max="8203" width="12.140625" style="119" customWidth="1"/>
    <col min="8204" max="8438" width="11.42578125" style="119"/>
    <col min="8439" max="8439" width="9.42578125" style="119" customWidth="1"/>
    <col min="8440" max="8440" width="25.28515625" style="119" bestFit="1" customWidth="1"/>
    <col min="8441" max="8441" width="5.7109375" style="119" customWidth="1"/>
    <col min="8442" max="8442" width="10.42578125" style="119" customWidth="1"/>
    <col min="8443" max="8454" width="11.5703125" style="119" bestFit="1" customWidth="1"/>
    <col min="8455" max="8459" width="12.140625" style="119" customWidth="1"/>
    <col min="8460" max="8694" width="11.42578125" style="119"/>
    <col min="8695" max="8695" width="9.42578125" style="119" customWidth="1"/>
    <col min="8696" max="8696" width="25.28515625" style="119" bestFit="1" customWidth="1"/>
    <col min="8697" max="8697" width="5.7109375" style="119" customWidth="1"/>
    <col min="8698" max="8698" width="10.42578125" style="119" customWidth="1"/>
    <col min="8699" max="8710" width="11.5703125" style="119" bestFit="1" customWidth="1"/>
    <col min="8711" max="8715" width="12.140625" style="119" customWidth="1"/>
    <col min="8716" max="8950" width="11.42578125" style="119"/>
    <col min="8951" max="8951" width="9.42578125" style="119" customWidth="1"/>
    <col min="8952" max="8952" width="25.28515625" style="119" bestFit="1" customWidth="1"/>
    <col min="8953" max="8953" width="5.7109375" style="119" customWidth="1"/>
    <col min="8954" max="8954" width="10.42578125" style="119" customWidth="1"/>
    <col min="8955" max="8966" width="11.5703125" style="119" bestFit="1" customWidth="1"/>
    <col min="8967" max="8971" width="12.140625" style="119" customWidth="1"/>
    <col min="8972" max="9206" width="11.42578125" style="119"/>
    <col min="9207" max="9207" width="9.42578125" style="119" customWidth="1"/>
    <col min="9208" max="9208" width="25.28515625" style="119" bestFit="1" customWidth="1"/>
    <col min="9209" max="9209" width="5.7109375" style="119" customWidth="1"/>
    <col min="9210" max="9210" width="10.42578125" style="119" customWidth="1"/>
    <col min="9211" max="9222" width="11.5703125" style="119" bestFit="1" customWidth="1"/>
    <col min="9223" max="9227" width="12.140625" style="119" customWidth="1"/>
    <col min="9228" max="9462" width="11.42578125" style="119"/>
    <col min="9463" max="9463" width="9.42578125" style="119" customWidth="1"/>
    <col min="9464" max="9464" width="25.28515625" style="119" bestFit="1" customWidth="1"/>
    <col min="9465" max="9465" width="5.7109375" style="119" customWidth="1"/>
    <col min="9466" max="9466" width="10.42578125" style="119" customWidth="1"/>
    <col min="9467" max="9478" width="11.5703125" style="119" bestFit="1" customWidth="1"/>
    <col min="9479" max="9483" width="12.140625" style="119" customWidth="1"/>
    <col min="9484" max="9718" width="11.42578125" style="119"/>
    <col min="9719" max="9719" width="9.42578125" style="119" customWidth="1"/>
    <col min="9720" max="9720" width="25.28515625" style="119" bestFit="1" customWidth="1"/>
    <col min="9721" max="9721" width="5.7109375" style="119" customWidth="1"/>
    <col min="9722" max="9722" width="10.42578125" style="119" customWidth="1"/>
    <col min="9723" max="9734" width="11.5703125" style="119" bestFit="1" customWidth="1"/>
    <col min="9735" max="9739" width="12.140625" style="119" customWidth="1"/>
    <col min="9740" max="9974" width="11.42578125" style="119"/>
    <col min="9975" max="9975" width="9.42578125" style="119" customWidth="1"/>
    <col min="9976" max="9976" width="25.28515625" style="119" bestFit="1" customWidth="1"/>
    <col min="9977" max="9977" width="5.7109375" style="119" customWidth="1"/>
    <col min="9978" max="9978" width="10.42578125" style="119" customWidth="1"/>
    <col min="9979" max="9990" width="11.5703125" style="119" bestFit="1" customWidth="1"/>
    <col min="9991" max="9995" width="12.140625" style="119" customWidth="1"/>
    <col min="9996" max="10230" width="11.42578125" style="119"/>
    <col min="10231" max="10231" width="9.42578125" style="119" customWidth="1"/>
    <col min="10232" max="10232" width="25.28515625" style="119" bestFit="1" customWidth="1"/>
    <col min="10233" max="10233" width="5.7109375" style="119" customWidth="1"/>
    <col min="10234" max="10234" width="10.42578125" style="119" customWidth="1"/>
    <col min="10235" max="10246" width="11.5703125" style="119" bestFit="1" customWidth="1"/>
    <col min="10247" max="10251" width="12.140625" style="119" customWidth="1"/>
    <col min="10252" max="10486" width="11.42578125" style="119"/>
    <col min="10487" max="10487" width="9.42578125" style="119" customWidth="1"/>
    <col min="10488" max="10488" width="25.28515625" style="119" bestFit="1" customWidth="1"/>
    <col min="10489" max="10489" width="5.7109375" style="119" customWidth="1"/>
    <col min="10490" max="10490" width="10.42578125" style="119" customWidth="1"/>
    <col min="10491" max="10502" width="11.5703125" style="119" bestFit="1" customWidth="1"/>
    <col min="10503" max="10507" width="12.140625" style="119" customWidth="1"/>
    <col min="10508" max="10742" width="11.42578125" style="119"/>
    <col min="10743" max="10743" width="9.42578125" style="119" customWidth="1"/>
    <col min="10744" max="10744" width="25.28515625" style="119" bestFit="1" customWidth="1"/>
    <col min="10745" max="10745" width="5.7109375" style="119" customWidth="1"/>
    <col min="10746" max="10746" width="10.42578125" style="119" customWidth="1"/>
    <col min="10747" max="10758" width="11.5703125" style="119" bestFit="1" customWidth="1"/>
    <col min="10759" max="10763" width="12.140625" style="119" customWidth="1"/>
    <col min="10764" max="10998" width="11.42578125" style="119"/>
    <col min="10999" max="10999" width="9.42578125" style="119" customWidth="1"/>
    <col min="11000" max="11000" width="25.28515625" style="119" bestFit="1" customWidth="1"/>
    <col min="11001" max="11001" width="5.7109375" style="119" customWidth="1"/>
    <col min="11002" max="11002" width="10.42578125" style="119" customWidth="1"/>
    <col min="11003" max="11014" width="11.5703125" style="119" bestFit="1" customWidth="1"/>
    <col min="11015" max="11019" width="12.140625" style="119" customWidth="1"/>
    <col min="11020" max="11254" width="11.42578125" style="119"/>
    <col min="11255" max="11255" width="9.42578125" style="119" customWidth="1"/>
    <col min="11256" max="11256" width="25.28515625" style="119" bestFit="1" customWidth="1"/>
    <col min="11257" max="11257" width="5.7109375" style="119" customWidth="1"/>
    <col min="11258" max="11258" width="10.42578125" style="119" customWidth="1"/>
    <col min="11259" max="11270" width="11.5703125" style="119" bestFit="1" customWidth="1"/>
    <col min="11271" max="11275" width="12.140625" style="119" customWidth="1"/>
    <col min="11276" max="11510" width="11.42578125" style="119"/>
    <col min="11511" max="11511" width="9.42578125" style="119" customWidth="1"/>
    <col min="11512" max="11512" width="25.28515625" style="119" bestFit="1" customWidth="1"/>
    <col min="11513" max="11513" width="5.7109375" style="119" customWidth="1"/>
    <col min="11514" max="11514" width="10.42578125" style="119" customWidth="1"/>
    <col min="11515" max="11526" width="11.5703125" style="119" bestFit="1" customWidth="1"/>
    <col min="11527" max="11531" width="12.140625" style="119" customWidth="1"/>
    <col min="11532" max="11766" width="11.42578125" style="119"/>
    <col min="11767" max="11767" width="9.42578125" style="119" customWidth="1"/>
    <col min="11768" max="11768" width="25.28515625" style="119" bestFit="1" customWidth="1"/>
    <col min="11769" max="11769" width="5.7109375" style="119" customWidth="1"/>
    <col min="11770" max="11770" width="10.42578125" style="119" customWidth="1"/>
    <col min="11771" max="11782" width="11.5703125" style="119" bestFit="1" customWidth="1"/>
    <col min="11783" max="11787" width="12.140625" style="119" customWidth="1"/>
    <col min="11788" max="12022" width="11.42578125" style="119"/>
    <col min="12023" max="12023" width="9.42578125" style="119" customWidth="1"/>
    <col min="12024" max="12024" width="25.28515625" style="119" bestFit="1" customWidth="1"/>
    <col min="12025" max="12025" width="5.7109375" style="119" customWidth="1"/>
    <col min="12026" max="12026" width="10.42578125" style="119" customWidth="1"/>
    <col min="12027" max="12038" width="11.5703125" style="119" bestFit="1" customWidth="1"/>
    <col min="12039" max="12043" width="12.140625" style="119" customWidth="1"/>
    <col min="12044" max="12278" width="11.42578125" style="119"/>
    <col min="12279" max="12279" width="9.42578125" style="119" customWidth="1"/>
    <col min="12280" max="12280" width="25.28515625" style="119" bestFit="1" customWidth="1"/>
    <col min="12281" max="12281" width="5.7109375" style="119" customWidth="1"/>
    <col min="12282" max="12282" width="10.42578125" style="119" customWidth="1"/>
    <col min="12283" max="12294" width="11.5703125" style="119" bestFit="1" customWidth="1"/>
    <col min="12295" max="12299" width="12.140625" style="119" customWidth="1"/>
    <col min="12300" max="12534" width="11.42578125" style="119"/>
    <col min="12535" max="12535" width="9.42578125" style="119" customWidth="1"/>
    <col min="12536" max="12536" width="25.28515625" style="119" bestFit="1" customWidth="1"/>
    <col min="12537" max="12537" width="5.7109375" style="119" customWidth="1"/>
    <col min="12538" max="12538" width="10.42578125" style="119" customWidth="1"/>
    <col min="12539" max="12550" width="11.5703125" style="119" bestFit="1" customWidth="1"/>
    <col min="12551" max="12555" width="12.140625" style="119" customWidth="1"/>
    <col min="12556" max="12790" width="11.42578125" style="119"/>
    <col min="12791" max="12791" width="9.42578125" style="119" customWidth="1"/>
    <col min="12792" max="12792" width="25.28515625" style="119" bestFit="1" customWidth="1"/>
    <col min="12793" max="12793" width="5.7109375" style="119" customWidth="1"/>
    <col min="12794" max="12794" width="10.42578125" style="119" customWidth="1"/>
    <col min="12795" max="12806" width="11.5703125" style="119" bestFit="1" customWidth="1"/>
    <col min="12807" max="12811" width="12.140625" style="119" customWidth="1"/>
    <col min="12812" max="13046" width="11.42578125" style="119"/>
    <col min="13047" max="13047" width="9.42578125" style="119" customWidth="1"/>
    <col min="13048" max="13048" width="25.28515625" style="119" bestFit="1" customWidth="1"/>
    <col min="13049" max="13049" width="5.7109375" style="119" customWidth="1"/>
    <col min="13050" max="13050" width="10.42578125" style="119" customWidth="1"/>
    <col min="13051" max="13062" width="11.5703125" style="119" bestFit="1" customWidth="1"/>
    <col min="13063" max="13067" width="12.140625" style="119" customWidth="1"/>
    <col min="13068" max="13302" width="11.42578125" style="119"/>
    <col min="13303" max="13303" width="9.42578125" style="119" customWidth="1"/>
    <col min="13304" max="13304" width="25.28515625" style="119" bestFit="1" customWidth="1"/>
    <col min="13305" max="13305" width="5.7109375" style="119" customWidth="1"/>
    <col min="13306" max="13306" width="10.42578125" style="119" customWidth="1"/>
    <col min="13307" max="13318" width="11.5703125" style="119" bestFit="1" customWidth="1"/>
    <col min="13319" max="13323" width="12.140625" style="119" customWidth="1"/>
    <col min="13324" max="13558" width="11.42578125" style="119"/>
    <col min="13559" max="13559" width="9.42578125" style="119" customWidth="1"/>
    <col min="13560" max="13560" width="25.28515625" style="119" bestFit="1" customWidth="1"/>
    <col min="13561" max="13561" width="5.7109375" style="119" customWidth="1"/>
    <col min="13562" max="13562" width="10.42578125" style="119" customWidth="1"/>
    <col min="13563" max="13574" width="11.5703125" style="119" bestFit="1" customWidth="1"/>
    <col min="13575" max="13579" width="12.140625" style="119" customWidth="1"/>
    <col min="13580" max="13814" width="11.42578125" style="119"/>
    <col min="13815" max="13815" width="9.42578125" style="119" customWidth="1"/>
    <col min="13816" max="13816" width="25.28515625" style="119" bestFit="1" customWidth="1"/>
    <col min="13817" max="13817" width="5.7109375" style="119" customWidth="1"/>
    <col min="13818" max="13818" width="10.42578125" style="119" customWidth="1"/>
    <col min="13819" max="13830" width="11.5703125" style="119" bestFit="1" customWidth="1"/>
    <col min="13831" max="13835" width="12.140625" style="119" customWidth="1"/>
    <col min="13836" max="14070" width="11.42578125" style="119"/>
    <col min="14071" max="14071" width="9.42578125" style="119" customWidth="1"/>
    <col min="14072" max="14072" width="25.28515625" style="119" bestFit="1" customWidth="1"/>
    <col min="14073" max="14073" width="5.7109375" style="119" customWidth="1"/>
    <col min="14074" max="14074" width="10.42578125" style="119" customWidth="1"/>
    <col min="14075" max="14086" width="11.5703125" style="119" bestFit="1" customWidth="1"/>
    <col min="14087" max="14091" width="12.140625" style="119" customWidth="1"/>
    <col min="14092" max="14326" width="11.42578125" style="119"/>
    <col min="14327" max="14327" width="9.42578125" style="119" customWidth="1"/>
    <col min="14328" max="14328" width="25.28515625" style="119" bestFit="1" customWidth="1"/>
    <col min="14329" max="14329" width="5.7109375" style="119" customWidth="1"/>
    <col min="14330" max="14330" width="10.42578125" style="119" customWidth="1"/>
    <col min="14331" max="14342" width="11.5703125" style="119" bestFit="1" customWidth="1"/>
    <col min="14343" max="14347" width="12.140625" style="119" customWidth="1"/>
    <col min="14348" max="14582" width="11.42578125" style="119"/>
    <col min="14583" max="14583" width="9.42578125" style="119" customWidth="1"/>
    <col min="14584" max="14584" width="25.28515625" style="119" bestFit="1" customWidth="1"/>
    <col min="14585" max="14585" width="5.7109375" style="119" customWidth="1"/>
    <col min="14586" max="14586" width="10.42578125" style="119" customWidth="1"/>
    <col min="14587" max="14598" width="11.5703125" style="119" bestFit="1" customWidth="1"/>
    <col min="14599" max="14603" width="12.140625" style="119" customWidth="1"/>
    <col min="14604" max="14838" width="11.42578125" style="119"/>
    <col min="14839" max="14839" width="9.42578125" style="119" customWidth="1"/>
    <col min="14840" max="14840" width="25.28515625" style="119" bestFit="1" customWidth="1"/>
    <col min="14841" max="14841" width="5.7109375" style="119" customWidth="1"/>
    <col min="14842" max="14842" width="10.42578125" style="119" customWidth="1"/>
    <col min="14843" max="14854" width="11.5703125" style="119" bestFit="1" customWidth="1"/>
    <col min="14855" max="14859" width="12.140625" style="119" customWidth="1"/>
    <col min="14860" max="15094" width="11.42578125" style="119"/>
    <col min="15095" max="15095" width="9.42578125" style="119" customWidth="1"/>
    <col min="15096" max="15096" width="25.28515625" style="119" bestFit="1" customWidth="1"/>
    <col min="15097" max="15097" width="5.7109375" style="119" customWidth="1"/>
    <col min="15098" max="15098" width="10.42578125" style="119" customWidth="1"/>
    <col min="15099" max="15110" width="11.5703125" style="119" bestFit="1" customWidth="1"/>
    <col min="15111" max="15115" width="12.140625" style="119" customWidth="1"/>
    <col min="15116" max="15350" width="11.42578125" style="119"/>
    <col min="15351" max="15351" width="9.42578125" style="119" customWidth="1"/>
    <col min="15352" max="15352" width="25.28515625" style="119" bestFit="1" customWidth="1"/>
    <col min="15353" max="15353" width="5.7109375" style="119" customWidth="1"/>
    <col min="15354" max="15354" width="10.42578125" style="119" customWidth="1"/>
    <col min="15355" max="15366" width="11.5703125" style="119" bestFit="1" customWidth="1"/>
    <col min="15367" max="15371" width="12.140625" style="119" customWidth="1"/>
    <col min="15372" max="15606" width="11.42578125" style="119"/>
    <col min="15607" max="15607" width="9.42578125" style="119" customWidth="1"/>
    <col min="15608" max="15608" width="25.28515625" style="119" bestFit="1" customWidth="1"/>
    <col min="15609" max="15609" width="5.7109375" style="119" customWidth="1"/>
    <col min="15610" max="15610" width="10.42578125" style="119" customWidth="1"/>
    <col min="15611" max="15622" width="11.5703125" style="119" bestFit="1" customWidth="1"/>
    <col min="15623" max="15627" width="12.140625" style="119" customWidth="1"/>
    <col min="15628" max="15862" width="11.42578125" style="119"/>
    <col min="15863" max="15863" width="9.42578125" style="119" customWidth="1"/>
    <col min="15864" max="15864" width="25.28515625" style="119" bestFit="1" customWidth="1"/>
    <col min="15865" max="15865" width="5.7109375" style="119" customWidth="1"/>
    <col min="15866" max="15866" width="10.42578125" style="119" customWidth="1"/>
    <col min="15867" max="15878" width="11.5703125" style="119" bestFit="1" customWidth="1"/>
    <col min="15879" max="15883" width="12.140625" style="119" customWidth="1"/>
    <col min="15884" max="16118" width="11.42578125" style="119"/>
    <col min="16119" max="16119" width="9.42578125" style="119" customWidth="1"/>
    <col min="16120" max="16120" width="25.28515625" style="119" bestFit="1" customWidth="1"/>
    <col min="16121" max="16121" width="5.7109375" style="119" customWidth="1"/>
    <col min="16122" max="16122" width="10.42578125" style="119" customWidth="1"/>
    <col min="16123" max="16134" width="11.5703125" style="119" bestFit="1" customWidth="1"/>
    <col min="16135" max="16139" width="12.140625" style="119" customWidth="1"/>
    <col min="16140" max="16384" width="11.42578125" style="119"/>
  </cols>
  <sheetData>
    <row r="1" spans="1:16" ht="14.25" customHeight="1">
      <c r="A1" s="339"/>
      <c r="E1" s="444" t="s">
        <v>555</v>
      </c>
      <c r="F1" s="444"/>
      <c r="G1" s="444"/>
      <c r="H1" s="444"/>
    </row>
    <row r="2" spans="1:16" s="122" customFormat="1" ht="14.25" customHeight="1"/>
    <row r="3" spans="1:16" ht="9.75" thickBot="1">
      <c r="B3" s="88" t="s">
        <v>0</v>
      </c>
      <c r="C3" s="88">
        <v>2001</v>
      </c>
      <c r="D3" s="88">
        <v>2002</v>
      </c>
      <c r="E3" s="88">
        <v>2003</v>
      </c>
      <c r="F3" s="88">
        <v>2004</v>
      </c>
      <c r="G3" s="49" t="s">
        <v>469</v>
      </c>
      <c r="H3" s="88">
        <v>2005</v>
      </c>
      <c r="I3" s="88">
        <v>2006</v>
      </c>
      <c r="J3" s="88">
        <v>2007</v>
      </c>
      <c r="K3" s="88">
        <v>2008</v>
      </c>
      <c r="L3" s="88">
        <v>2009</v>
      </c>
      <c r="M3" s="88">
        <v>2010</v>
      </c>
      <c r="N3" s="88">
        <v>2011</v>
      </c>
      <c r="O3" s="88">
        <v>2012</v>
      </c>
    </row>
    <row r="4" spans="1:16" ht="15.75" customHeight="1" thickTop="1">
      <c r="B4" s="225" t="s">
        <v>340</v>
      </c>
      <c r="C4" s="219">
        <f>+GastoMateriales!C6/IPMajustadoUS!$C$20</f>
        <v>125300554.24282844</v>
      </c>
      <c r="D4" s="219">
        <f>+GastoMateriales!D6/IPMajustadoUS!$D$20</f>
        <v>115645356.58388735</v>
      </c>
      <c r="E4" s="219">
        <f>+GastoMateriales!E6/IPMajustadoUS!$E$20</f>
        <v>136748633.63733697</v>
      </c>
      <c r="F4" s="219">
        <f>+GastoMateriales!F6/IPMajustadoUS!$F$20</f>
        <v>110168145.2407264</v>
      </c>
      <c r="G4" s="219">
        <f>+GastoMateriales!G6/IPMajustadoUS!$G$20</f>
        <v>116014509.45952502</v>
      </c>
      <c r="H4" s="219">
        <f>+GastoMateriales!H6/IPMajustadoUS!$G$20</f>
        <v>116014509.45952502</v>
      </c>
      <c r="I4" s="219">
        <f>+GastoMateriales!I6/IPMajustadoUS!H20</f>
        <v>93929456.718540937</v>
      </c>
      <c r="J4" s="219">
        <f>+GastoMateriales!J6/IPMajustadoUS!I20</f>
        <v>80049901.925840527</v>
      </c>
      <c r="K4" s="219">
        <f>+GastoMateriales!K6/IPMajustadoUS!J20</f>
        <v>75694969.707577512</v>
      </c>
      <c r="L4" s="219">
        <f>+GastoMateriales!L6/IPMajustadoUS!K20</f>
        <v>66538301.709617175</v>
      </c>
      <c r="M4" s="219">
        <f>+GastoMateriales!M6/IPMajustadoUS!L20</f>
        <v>61165267.286467262</v>
      </c>
      <c r="N4" s="219">
        <f>+GastoMateriales!N6/IPMajustadoUS!M20</f>
        <v>76493028.293672308</v>
      </c>
      <c r="O4" s="219">
        <f>+GastoMateriales!O6/IPMajustadoUS!N20</f>
        <v>91369274.662823498</v>
      </c>
      <c r="P4" s="183"/>
    </row>
    <row r="5" spans="1:16" ht="15.75" customHeight="1">
      <c r="B5" s="243" t="s">
        <v>341</v>
      </c>
      <c r="C5" s="220">
        <f>+GastoMateriales!C7/IPMajustadoUS!$C$20</f>
        <v>209833995.53608412</v>
      </c>
      <c r="D5" s="220">
        <f>+GastoMateriales!D7/IPMajustadoUS!$D$20</f>
        <v>247201651.48971894</v>
      </c>
      <c r="E5" s="220">
        <f>+GastoMateriales!E7/IPMajustadoUS!$E$20</f>
        <v>232491106.91846439</v>
      </c>
      <c r="F5" s="220">
        <f>+GastoMateriales!F7/IPMajustadoUS!$F$20</f>
        <v>205377357.02224874</v>
      </c>
      <c r="G5" s="220">
        <f>+GastoMateriales!G7/IPMajustadoUS!$G$20</f>
        <v>172225113.71156463</v>
      </c>
      <c r="H5" s="220">
        <f>+GastoMateriales!H7/IPMajustadoUS!$G$20</f>
        <v>174104515.6889061</v>
      </c>
      <c r="I5" s="220">
        <f>+GastoMateriales!I7/IPMajustadoUS!H20</f>
        <v>214519150.1073207</v>
      </c>
      <c r="J5" s="220">
        <f>+GastoMateriales!J7/IPMajustadoUS!I20</f>
        <v>195815907.17694756</v>
      </c>
      <c r="K5" s="220">
        <f>+GastoMateriales!K7/IPMajustadoUS!J20</f>
        <v>220046717.92786461</v>
      </c>
      <c r="L5" s="220">
        <f>+GastoMateriales!L7/IPMajustadoUS!K20</f>
        <v>229610714.62022775</v>
      </c>
      <c r="M5" s="220">
        <f>+GastoMateriales!M7/IPMajustadoUS!L20</f>
        <v>206000789.33550277</v>
      </c>
      <c r="N5" s="220">
        <f>+GastoMateriales!N7/IPMajustadoUS!M20</f>
        <v>225441809.47723123</v>
      </c>
      <c r="O5" s="220">
        <f>+GastoMateriales!O7/IPMajustadoUS!N20</f>
        <v>259023993.24968129</v>
      </c>
      <c r="P5" s="183"/>
    </row>
    <row r="6" spans="1:16" ht="15.75" customHeight="1">
      <c r="B6" s="225" t="s">
        <v>342</v>
      </c>
      <c r="C6" s="219">
        <f>+GastoMateriales!C8/IPMajustadoUS!$C$20</f>
        <v>3998953.8588136737</v>
      </c>
      <c r="D6" s="219">
        <f>+GastoMateriales!D8/IPMajustadoUS!$D$20</f>
        <v>5433003.329444373</v>
      </c>
      <c r="E6" s="219">
        <f>+GastoMateriales!E8/IPMajustadoUS!$E$20</f>
        <v>5621069.1724242279</v>
      </c>
      <c r="F6" s="219">
        <f>+GastoMateriales!F8/IPMajustadoUS!$F$20</f>
        <v>6951504.3722183593</v>
      </c>
      <c r="G6" s="219">
        <f>+GastoMateriales!G8/IPMajustadoUS!$G$20</f>
        <v>6868191.4459026642</v>
      </c>
      <c r="H6" s="219">
        <f>+GastoMateriales!H8/IPMajustadoUS!$G$20</f>
        <v>6868191.4459026642</v>
      </c>
      <c r="I6" s="219">
        <f>+GastoMateriales!I8/IPMajustadoUS!H20</f>
        <v>15812618.811972491</v>
      </c>
      <c r="J6" s="219">
        <f>+GastoMateriales!J8/IPMajustadoUS!I20</f>
        <v>19018639.003200036</v>
      </c>
      <c r="K6" s="219">
        <f>+GastoMateriales!K8/IPMajustadoUS!J20</f>
        <v>18263125.174616057</v>
      </c>
      <c r="L6" s="219">
        <f>+GastoMateriales!L8/IPMajustadoUS!K20</f>
        <v>22444705.537089728</v>
      </c>
      <c r="M6" s="219">
        <f>+GastoMateriales!M8/IPMajustadoUS!L20</f>
        <v>21956592.553983144</v>
      </c>
      <c r="N6" s="219">
        <f>+GastoMateriales!N8/IPMajustadoUS!M20</f>
        <v>27290324.305138521</v>
      </c>
      <c r="O6" s="219">
        <f>+GastoMateriales!O8/IPMajustadoUS!N20</f>
        <v>27192676.215377271</v>
      </c>
      <c r="P6" s="183"/>
    </row>
    <row r="7" spans="1:16" ht="15.75" customHeight="1">
      <c r="B7" s="243" t="s">
        <v>334</v>
      </c>
      <c r="C7" s="220">
        <f>+GastoMateriales!C9/IPMajustadoUS!$C$20</f>
        <v>128188687.58530499</v>
      </c>
      <c r="D7" s="220">
        <f>+GastoMateriales!D9/IPMajustadoUS!$D$20</f>
        <v>117585714.91583177</v>
      </c>
      <c r="E7" s="220">
        <f>+GastoMateriales!E9/IPMajustadoUS!$E$20</f>
        <v>118134601.29586656</v>
      </c>
      <c r="F7" s="220">
        <f>+GastoMateriales!F9/IPMajustadoUS!$F$20</f>
        <v>100136860.45043661</v>
      </c>
      <c r="G7" s="220">
        <f>+GastoMateriales!G9/IPMajustadoUS!$G$20</f>
        <v>133713509.28849782</v>
      </c>
      <c r="H7" s="220">
        <f>+GastoMateriales!H9/IPMajustadoUS!$G$20</f>
        <v>134881350.08218485</v>
      </c>
      <c r="I7" s="220">
        <f>+GastoMateriales!I9/IPMajustadoUS!H20</f>
        <v>139570564.00363475</v>
      </c>
      <c r="J7" s="220">
        <f>+GastoMateriales!J9/IPMajustadoUS!I20</f>
        <v>139216437.50342426</v>
      </c>
      <c r="K7" s="220">
        <f>+GastoMateriales!K9/IPMajustadoUS!J20</f>
        <v>128594289.61901942</v>
      </c>
      <c r="L7" s="220">
        <f>+GastoMateriales!L9/IPMajustadoUS!K20</f>
        <v>176597146.32710171</v>
      </c>
      <c r="M7" s="220">
        <f>+GastoMateriales!M9/IPMajustadoUS!L20</f>
        <v>170605247.89071959</v>
      </c>
      <c r="N7" s="220">
        <f>+GastoMateriales!N9/IPMajustadoUS!M20</f>
        <v>180294120.7898173</v>
      </c>
      <c r="O7" s="220">
        <f>+GastoMateriales!O9/IPMajustadoUS!N20</f>
        <v>203999358.76051965</v>
      </c>
      <c r="P7" s="183"/>
    </row>
    <row r="8" spans="1:16" ht="15.75" customHeight="1">
      <c r="B8" s="225" t="s">
        <v>335</v>
      </c>
      <c r="C8" s="219">
        <f>+GastoMateriales!C10/IPMajustadoUS!$C$20</f>
        <v>17662046.20976039</v>
      </c>
      <c r="D8" s="219">
        <f>+GastoMateriales!D10/IPMajustadoUS!$D$20</f>
        <v>31045733.311110701</v>
      </c>
      <c r="E8" s="219">
        <f>+GastoMateriales!E10/IPMajustadoUS!$E$20</f>
        <v>25525182.963303462</v>
      </c>
      <c r="F8" s="219">
        <f>+GastoMateriales!F10/IPMajustadoUS!$F$20</f>
        <v>35197490.492244855</v>
      </c>
      <c r="G8" s="219">
        <f>+GastoMateriales!G10/IPMajustadoUS!$G$20</f>
        <v>73496001.13449949</v>
      </c>
      <c r="H8" s="219">
        <f>+GastoMateriales!H10/IPMajustadoUS!$G$20</f>
        <v>83990533.94688198</v>
      </c>
      <c r="I8" s="219">
        <f>+GastoMateriales!I10/IPMajustadoUS!H20</f>
        <v>130696135.07854815</v>
      </c>
      <c r="J8" s="219">
        <f>+GastoMateriales!J10/IPMajustadoUS!I20</f>
        <v>128109552.32555543</v>
      </c>
      <c r="K8" s="219">
        <f>+GastoMateriales!K10/IPMajustadoUS!J20</f>
        <v>124558617.76395445</v>
      </c>
      <c r="L8" s="219">
        <f>+GastoMateriales!L10/IPMajustadoUS!K20</f>
        <v>147887200.90082434</v>
      </c>
      <c r="M8" s="219">
        <f>+GastoMateriales!M10/IPMajustadoUS!L20</f>
        <v>169911217.6663121</v>
      </c>
      <c r="N8" s="219">
        <f>+GastoMateriales!N10/IPMajustadoUS!M20</f>
        <v>155732828.91519263</v>
      </c>
      <c r="O8" s="219">
        <f>+GastoMateriales!O10/IPMajustadoUS!N20</f>
        <v>167687494.84285629</v>
      </c>
      <c r="P8" s="183"/>
    </row>
    <row r="9" spans="1:16" ht="15.75" customHeight="1">
      <c r="B9" s="243" t="s">
        <v>336</v>
      </c>
      <c r="C9" s="220">
        <f>+GastoMateriales!C11/IPMajustadoUS!$C$20</f>
        <v>35213010.367887065</v>
      </c>
      <c r="D9" s="220">
        <f>+GastoMateriales!D11/IPMajustadoUS!$D$20</f>
        <v>38128041.22270783</v>
      </c>
      <c r="E9" s="220">
        <f>+GastoMateriales!E11/IPMajustadoUS!$E$20</f>
        <v>36859469.98310969</v>
      </c>
      <c r="F9" s="220">
        <f>+GastoMateriales!F11/IPMajustadoUS!$F$20</f>
        <v>31061785.359406084</v>
      </c>
      <c r="G9" s="220">
        <f>+GastoMateriales!G11/IPMajustadoUS!$G$20</f>
        <v>31524574.232812297</v>
      </c>
      <c r="H9" s="220">
        <f>+GastoMateriales!H11/IPMajustadoUS!$G$20</f>
        <v>32685971.338934366</v>
      </c>
      <c r="I9" s="220">
        <f>+GastoMateriales!I11/IPMajustadoUS!H20</f>
        <v>40903049.681990065</v>
      </c>
      <c r="J9" s="220">
        <f>+GastoMateriales!J11/IPMajustadoUS!I20</f>
        <v>44883988.047552079</v>
      </c>
      <c r="K9" s="220">
        <f>+GastoMateriales!K11/IPMajustadoUS!J20</f>
        <v>50206493.925723538</v>
      </c>
      <c r="L9" s="220">
        <f>+GastoMateriales!L11/IPMajustadoUS!K20</f>
        <v>53908602.563009992</v>
      </c>
      <c r="M9" s="220">
        <f>+GastoMateriales!M11/IPMajustadoUS!L20</f>
        <v>35900290.698897727</v>
      </c>
      <c r="N9" s="220">
        <f>+GastoMateriales!N11/IPMajustadoUS!M20</f>
        <v>56657086.329146273</v>
      </c>
      <c r="O9" s="220">
        <f>+GastoMateriales!O11/IPMajustadoUS!N20</f>
        <v>65304975.555906169</v>
      </c>
      <c r="P9" s="183"/>
    </row>
    <row r="10" spans="1:16" ht="15.75" customHeight="1">
      <c r="B10" s="225" t="s">
        <v>344</v>
      </c>
      <c r="C10" s="219">
        <v>0</v>
      </c>
      <c r="D10" s="219">
        <v>0</v>
      </c>
      <c r="E10" s="219">
        <v>0</v>
      </c>
      <c r="F10" s="219">
        <v>0</v>
      </c>
      <c r="G10" s="219">
        <v>0</v>
      </c>
      <c r="H10" s="219">
        <v>0</v>
      </c>
      <c r="I10" s="219">
        <v>0</v>
      </c>
      <c r="J10" s="219">
        <v>0</v>
      </c>
      <c r="K10" s="219">
        <v>0</v>
      </c>
      <c r="L10" s="219">
        <v>0</v>
      </c>
      <c r="M10" s="219">
        <v>0</v>
      </c>
      <c r="N10" s="219">
        <v>0</v>
      </c>
      <c r="O10" s="219">
        <v>0</v>
      </c>
      <c r="P10" s="183"/>
    </row>
    <row r="11" spans="1:16" ht="15.75" customHeight="1">
      <c r="B11" s="243" t="s">
        <v>345</v>
      </c>
      <c r="C11" s="220">
        <f>+GastoMateriales!C13/IPMajustadoUS!$C$20</f>
        <v>35879502.677689351</v>
      </c>
      <c r="D11" s="220">
        <f>+GastoMateriales!D13/IPMajustadoUS!$D$20</f>
        <v>93040182.016734883</v>
      </c>
      <c r="E11" s="220">
        <f>+GastoMateriales!E13/IPMajustadoUS!$E$20</f>
        <v>139328796.53615463</v>
      </c>
      <c r="F11" s="220">
        <f>+GastoMateriales!F13/IPMajustadoUS!$F$20</f>
        <v>123015229.27039577</v>
      </c>
      <c r="G11" s="220">
        <f>+GastoMateriales!G13/IPMajustadoUS!$G$20</f>
        <v>124123941.79342164</v>
      </c>
      <c r="H11" s="220">
        <f>+GastoMateriales!H13/IPMajustadoUS!$G$20</f>
        <v>124123941.79342164</v>
      </c>
      <c r="I11" s="220">
        <f>+GastoMateriales!I13/IPMajustadoUS!H20</f>
        <v>125210124.47031279</v>
      </c>
      <c r="J11" s="220">
        <f>+GastoMateriales!J13/IPMajustadoUS!I20</f>
        <v>106276154.74988179</v>
      </c>
      <c r="K11" s="220">
        <f>+GastoMateriales!K13/IPMajustadoUS!J20</f>
        <v>93641267.281083822</v>
      </c>
      <c r="L11" s="220">
        <f>+GastoMateriales!L13/IPMajustadoUS!K20</f>
        <v>101070023.70689484</v>
      </c>
      <c r="M11" s="220">
        <f>+GastoMateriales!M13/IPMajustadoUS!L20</f>
        <v>91927457.905613333</v>
      </c>
      <c r="N11" s="220">
        <f>+GastoMateriales!N13/IPMajustadoUS!M20</f>
        <v>88515573.615797117</v>
      </c>
      <c r="O11" s="220">
        <f>+GastoMateriales!O13/IPMajustadoUS!N20</f>
        <v>93828322.657371014</v>
      </c>
      <c r="P11" s="183"/>
    </row>
    <row r="12" spans="1:16" ht="15.75" customHeight="1">
      <c r="B12" s="225" t="s">
        <v>346</v>
      </c>
      <c r="C12" s="219">
        <f>+GastoMateriales!C14/IPMajustadoUS!$C$20</f>
        <v>136853087.61273459</v>
      </c>
      <c r="D12" s="219">
        <f>+GastoMateriales!D14/IPMajustadoUS!$D$20</f>
        <v>38419094.97249949</v>
      </c>
      <c r="E12" s="219">
        <f>+GastoMateriales!E14/IPMajustadoUS!$E$20</f>
        <v>53722677.500382379</v>
      </c>
      <c r="F12" s="219">
        <f>+GastoMateriales!F14/IPMajustadoUS!$F$20</f>
        <v>82538115.204314187</v>
      </c>
      <c r="G12" s="219">
        <f>+GastoMateriales!G14/IPMajustadoUS!$G$20</f>
        <v>72736629.890945077</v>
      </c>
      <c r="H12" s="219">
        <f>+GastoMateriales!H14/IPMajustadoUS!$G$20</f>
        <v>72736629.890945077</v>
      </c>
      <c r="I12" s="219">
        <f>+GastoMateriales!I14/IPMajustadoUS!H20</f>
        <v>57845141.266246311</v>
      </c>
      <c r="J12" s="219">
        <f>+GastoMateriales!J14/IPMajustadoUS!I20</f>
        <v>46253330.055782482</v>
      </c>
      <c r="K12" s="219">
        <f>+GastoMateriales!K14/IPMajustadoUS!J20</f>
        <v>42271952.651358515</v>
      </c>
      <c r="L12" s="219">
        <f>+GastoMateriales!L14/IPMajustadoUS!K20</f>
        <v>54046300.142992139</v>
      </c>
      <c r="M12" s="219">
        <f>+GastoMateriales!M14/IPMajustadoUS!L20</f>
        <v>41831094.434743747</v>
      </c>
      <c r="N12" s="219">
        <f>+GastoMateriales!N14/IPMajustadoUS!M20</f>
        <v>32689062.37419853</v>
      </c>
      <c r="O12" s="219">
        <f>+GastoMateriales!O14/IPMajustadoUS!N20</f>
        <v>48425913.721100777</v>
      </c>
    </row>
    <row r="13" spans="1:16" ht="15.75" customHeight="1">
      <c r="B13" s="243" t="s">
        <v>347</v>
      </c>
      <c r="C13" s="220">
        <f>+GastoMateriales!C15/IPMajustadoUS!$C$20</f>
        <v>143295846.60748997</v>
      </c>
      <c r="D13" s="220">
        <f>+GastoMateriales!D15/IPMajustadoUS!$D$20</f>
        <v>124473986.99423447</v>
      </c>
      <c r="E13" s="220">
        <f>+GastoMateriales!E15/IPMajustadoUS!$E$20</f>
        <v>123939967.81820634</v>
      </c>
      <c r="F13" s="220">
        <f>+GastoMateriales!F15/IPMajustadoUS!$F$20</f>
        <v>117823599.42278965</v>
      </c>
      <c r="G13" s="220">
        <f>+GastoMateriales!G15/IPMajustadoUS!$G$20</f>
        <v>90301237.771695927</v>
      </c>
      <c r="H13" s="220">
        <f>+GastoMateriales!H15/IPMajustadoUS!$G$20</f>
        <v>91851716.92713201</v>
      </c>
      <c r="I13" s="220">
        <f>+GastoMateriales!I15/IPMajustadoUS!H20</f>
        <v>105847734.08830565</v>
      </c>
      <c r="J13" s="220">
        <f>+GastoMateriales!J15/IPMajustadoUS!I20</f>
        <v>163712444.53954589</v>
      </c>
      <c r="K13" s="220">
        <f>+GastoMateriales!K15/IPMajustadoUS!J20</f>
        <v>149525062.2910513</v>
      </c>
      <c r="L13" s="220">
        <f>+GastoMateriales!L15/IPMajustadoUS!K20</f>
        <v>122757392.55408278</v>
      </c>
      <c r="M13" s="220">
        <f>+GastoMateriales!M15/IPMajustadoUS!L20</f>
        <v>137859640.03003785</v>
      </c>
      <c r="N13" s="220">
        <f>+GastoMateriales!N15/IPMajustadoUS!M20</f>
        <v>192990054.2709035</v>
      </c>
      <c r="O13" s="220">
        <f>+GastoMateriales!O15/IPMajustadoUS!N20</f>
        <v>120640807.11280605</v>
      </c>
    </row>
    <row r="14" spans="1:16" ht="15.75" customHeight="1">
      <c r="B14" s="225" t="s">
        <v>348</v>
      </c>
      <c r="C14" s="219">
        <f>+GastoMateriales!C16/IPMajustadoUS!$C$20</f>
        <v>25326707.772486597</v>
      </c>
      <c r="D14" s="219">
        <f>+GastoMateriales!D16/IPMajustadoUS!$D$20</f>
        <v>81106978.275276706</v>
      </c>
      <c r="E14" s="219">
        <f>+GastoMateriales!E16/IPMajustadoUS!$E$20</f>
        <v>73534642.616303831</v>
      </c>
      <c r="F14" s="219">
        <f>+GastoMateriales!F16/IPMajustadoUS!$F$20</f>
        <v>101192785.16520396</v>
      </c>
      <c r="G14" s="219">
        <f>+GastoMateriales!G16/IPMajustadoUS!$G$20</f>
        <v>67937170.808266118</v>
      </c>
      <c r="H14" s="219">
        <f>+GastoMateriales!H16/IPMajustadoUS!$G$20</f>
        <v>67937170.808266118</v>
      </c>
      <c r="I14" s="219">
        <f>+GastoMateriales!I16/IPMajustadoUS!H20</f>
        <v>60023410.18422211</v>
      </c>
      <c r="J14" s="219">
        <f>+GastoMateriales!J16/IPMajustadoUS!I20</f>
        <v>56903767.897574499</v>
      </c>
      <c r="K14" s="219">
        <f>+GastoMateriales!K16/IPMajustadoUS!$J$20</f>
        <v>57457023.021263994</v>
      </c>
      <c r="L14" s="219">
        <f>+GastoMateriales!L16/IPMajustadoUS!$K$20</f>
        <v>44682864.704206236</v>
      </c>
      <c r="M14" s="219">
        <f>+GastoMateriales!M16/IPMajustadoUS!$L$20</f>
        <v>42020375.40503671</v>
      </c>
      <c r="N14" s="219">
        <f>+GastoMateriales!N16/IPMajustadoUS!$M$20</f>
        <v>52385557.307472415</v>
      </c>
      <c r="O14" s="219">
        <f>+GastoMateriales!O16/IPMajustadoUS!$N$20</f>
        <v>64603303.433825292</v>
      </c>
    </row>
    <row r="15" spans="1:16"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</row>
    <row r="16" spans="1:16">
      <c r="B16" s="146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365"/>
    </row>
    <row r="17" spans="2:16">
      <c r="B17" s="146"/>
      <c r="C17" s="183"/>
      <c r="D17" s="183"/>
      <c r="E17" s="183"/>
      <c r="F17" s="185"/>
      <c r="G17" s="183"/>
      <c r="H17" s="183"/>
      <c r="I17" s="183"/>
      <c r="J17" s="183"/>
      <c r="K17" s="183"/>
      <c r="L17" s="183"/>
      <c r="M17" s="183"/>
      <c r="N17" s="183"/>
      <c r="O17" s="183"/>
      <c r="P17" s="183"/>
    </row>
    <row r="18" spans="2:16">
      <c r="B18" s="183"/>
      <c r="C18" s="183"/>
      <c r="D18" s="183"/>
      <c r="E18" s="183"/>
      <c r="F18" s="183"/>
      <c r="G18" s="183" t="s">
        <v>427</v>
      </c>
      <c r="H18" s="183"/>
      <c r="I18" s="183"/>
      <c r="J18" s="183"/>
      <c r="K18" s="183"/>
      <c r="L18" s="183"/>
      <c r="M18" s="183"/>
      <c r="N18" s="183"/>
      <c r="O18" s="183"/>
      <c r="P18" s="183"/>
    </row>
    <row r="19" spans="2:16"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</row>
    <row r="42" spans="6:6">
      <c r="F42" s="368"/>
    </row>
    <row r="43" spans="6:6">
      <c r="F43" s="368"/>
    </row>
    <row r="44" spans="6:6">
      <c r="F44" s="368"/>
    </row>
    <row r="45" spans="6:6">
      <c r="F45" s="368"/>
    </row>
    <row r="46" spans="6:6">
      <c r="F46" s="368"/>
    </row>
    <row r="47" spans="6:6">
      <c r="F47" s="368"/>
    </row>
    <row r="48" spans="6:6">
      <c r="F48" s="368"/>
    </row>
    <row r="49" spans="6:6">
      <c r="F49" s="368"/>
    </row>
    <row r="50" spans="6:6">
      <c r="F50" s="368"/>
    </row>
  </sheetData>
  <mergeCells count="1">
    <mergeCell ref="E1:H1"/>
  </mergeCells>
  <hyperlinks>
    <hyperlink ref="E1:H1" location="Indice!D3" display="ÍNDICE"/>
  </hyperlinks>
  <pageMargins left="0.75" right="0.75" top="1" bottom="1" header="0" footer="0"/>
  <pageSetup scale="29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sheetPr codeName="Hoja14">
    <tabColor theme="6" tint="0.39997558519241921"/>
    <pageSetUpPr fitToPage="1"/>
  </sheetPr>
  <dimension ref="A1:AC33"/>
  <sheetViews>
    <sheetView showGridLines="0" workbookViewId="0">
      <selection activeCell="E2" sqref="E2:H2"/>
    </sheetView>
  </sheetViews>
  <sheetFormatPr baseColWidth="10" defaultRowHeight="9"/>
  <cols>
    <col min="1" max="1" width="15.85546875" style="119" customWidth="1"/>
    <col min="2" max="2" width="21.140625" style="119" customWidth="1"/>
    <col min="3" max="15" width="8" style="119" customWidth="1"/>
    <col min="16" max="17" width="12.140625" style="119" customWidth="1"/>
    <col min="18" max="21" width="8" style="119" customWidth="1"/>
    <col min="22" max="255" width="11.42578125" style="119"/>
    <col min="256" max="256" width="9.42578125" style="119" customWidth="1"/>
    <col min="257" max="257" width="25.28515625" style="119" bestFit="1" customWidth="1"/>
    <col min="258" max="258" width="5.7109375" style="119" customWidth="1"/>
    <col min="259" max="259" width="10.42578125" style="119" customWidth="1"/>
    <col min="260" max="271" width="11.5703125" style="119" bestFit="1" customWidth="1"/>
    <col min="272" max="276" width="12.140625" style="119" customWidth="1"/>
    <col min="277" max="511" width="11.42578125" style="119"/>
    <col min="512" max="512" width="9.42578125" style="119" customWidth="1"/>
    <col min="513" max="513" width="25.28515625" style="119" bestFit="1" customWidth="1"/>
    <col min="514" max="514" width="5.7109375" style="119" customWidth="1"/>
    <col min="515" max="515" width="10.42578125" style="119" customWidth="1"/>
    <col min="516" max="527" width="11.5703125" style="119" bestFit="1" customWidth="1"/>
    <col min="528" max="532" width="12.140625" style="119" customWidth="1"/>
    <col min="533" max="767" width="11.42578125" style="119"/>
    <col min="768" max="768" width="9.42578125" style="119" customWidth="1"/>
    <col min="769" max="769" width="25.28515625" style="119" bestFit="1" customWidth="1"/>
    <col min="770" max="770" width="5.7109375" style="119" customWidth="1"/>
    <col min="771" max="771" width="10.42578125" style="119" customWidth="1"/>
    <col min="772" max="783" width="11.5703125" style="119" bestFit="1" customWidth="1"/>
    <col min="784" max="788" width="12.140625" style="119" customWidth="1"/>
    <col min="789" max="1023" width="11.42578125" style="119"/>
    <col min="1024" max="1024" width="9.42578125" style="119" customWidth="1"/>
    <col min="1025" max="1025" width="25.28515625" style="119" bestFit="1" customWidth="1"/>
    <col min="1026" max="1026" width="5.7109375" style="119" customWidth="1"/>
    <col min="1027" max="1027" width="10.42578125" style="119" customWidth="1"/>
    <col min="1028" max="1039" width="11.5703125" style="119" bestFit="1" customWidth="1"/>
    <col min="1040" max="1044" width="12.140625" style="119" customWidth="1"/>
    <col min="1045" max="1279" width="11.42578125" style="119"/>
    <col min="1280" max="1280" width="9.42578125" style="119" customWidth="1"/>
    <col min="1281" max="1281" width="25.28515625" style="119" bestFit="1" customWidth="1"/>
    <col min="1282" max="1282" width="5.7109375" style="119" customWidth="1"/>
    <col min="1283" max="1283" width="10.42578125" style="119" customWidth="1"/>
    <col min="1284" max="1295" width="11.5703125" style="119" bestFit="1" customWidth="1"/>
    <col min="1296" max="1300" width="12.140625" style="119" customWidth="1"/>
    <col min="1301" max="1535" width="11.42578125" style="119"/>
    <col min="1536" max="1536" width="9.42578125" style="119" customWidth="1"/>
    <col min="1537" max="1537" width="25.28515625" style="119" bestFit="1" customWidth="1"/>
    <col min="1538" max="1538" width="5.7109375" style="119" customWidth="1"/>
    <col min="1539" max="1539" width="10.42578125" style="119" customWidth="1"/>
    <col min="1540" max="1551" width="11.5703125" style="119" bestFit="1" customWidth="1"/>
    <col min="1552" max="1556" width="12.140625" style="119" customWidth="1"/>
    <col min="1557" max="1791" width="11.42578125" style="119"/>
    <col min="1792" max="1792" width="9.42578125" style="119" customWidth="1"/>
    <col min="1793" max="1793" width="25.28515625" style="119" bestFit="1" customWidth="1"/>
    <col min="1794" max="1794" width="5.7109375" style="119" customWidth="1"/>
    <col min="1795" max="1795" width="10.42578125" style="119" customWidth="1"/>
    <col min="1796" max="1807" width="11.5703125" style="119" bestFit="1" customWidth="1"/>
    <col min="1808" max="1812" width="12.140625" style="119" customWidth="1"/>
    <col min="1813" max="2047" width="11.42578125" style="119"/>
    <col min="2048" max="2048" width="9.42578125" style="119" customWidth="1"/>
    <col min="2049" max="2049" width="25.28515625" style="119" bestFit="1" customWidth="1"/>
    <col min="2050" max="2050" width="5.7109375" style="119" customWidth="1"/>
    <col min="2051" max="2051" width="10.42578125" style="119" customWidth="1"/>
    <col min="2052" max="2063" width="11.5703125" style="119" bestFit="1" customWidth="1"/>
    <col min="2064" max="2068" width="12.140625" style="119" customWidth="1"/>
    <col min="2069" max="2303" width="11.42578125" style="119"/>
    <col min="2304" max="2304" width="9.42578125" style="119" customWidth="1"/>
    <col min="2305" max="2305" width="25.28515625" style="119" bestFit="1" customWidth="1"/>
    <col min="2306" max="2306" width="5.7109375" style="119" customWidth="1"/>
    <col min="2307" max="2307" width="10.42578125" style="119" customWidth="1"/>
    <col min="2308" max="2319" width="11.5703125" style="119" bestFit="1" customWidth="1"/>
    <col min="2320" max="2324" width="12.140625" style="119" customWidth="1"/>
    <col min="2325" max="2559" width="11.42578125" style="119"/>
    <col min="2560" max="2560" width="9.42578125" style="119" customWidth="1"/>
    <col min="2561" max="2561" width="25.28515625" style="119" bestFit="1" customWidth="1"/>
    <col min="2562" max="2562" width="5.7109375" style="119" customWidth="1"/>
    <col min="2563" max="2563" width="10.42578125" style="119" customWidth="1"/>
    <col min="2564" max="2575" width="11.5703125" style="119" bestFit="1" customWidth="1"/>
    <col min="2576" max="2580" width="12.140625" style="119" customWidth="1"/>
    <col min="2581" max="2815" width="11.42578125" style="119"/>
    <col min="2816" max="2816" width="9.42578125" style="119" customWidth="1"/>
    <col min="2817" max="2817" width="25.28515625" style="119" bestFit="1" customWidth="1"/>
    <col min="2818" max="2818" width="5.7109375" style="119" customWidth="1"/>
    <col min="2819" max="2819" width="10.42578125" style="119" customWidth="1"/>
    <col min="2820" max="2831" width="11.5703125" style="119" bestFit="1" customWidth="1"/>
    <col min="2832" max="2836" width="12.140625" style="119" customWidth="1"/>
    <col min="2837" max="3071" width="11.42578125" style="119"/>
    <col min="3072" max="3072" width="9.42578125" style="119" customWidth="1"/>
    <col min="3073" max="3073" width="25.28515625" style="119" bestFit="1" customWidth="1"/>
    <col min="3074" max="3074" width="5.7109375" style="119" customWidth="1"/>
    <col min="3075" max="3075" width="10.42578125" style="119" customWidth="1"/>
    <col min="3076" max="3087" width="11.5703125" style="119" bestFit="1" customWidth="1"/>
    <col min="3088" max="3092" width="12.140625" style="119" customWidth="1"/>
    <col min="3093" max="3327" width="11.42578125" style="119"/>
    <col min="3328" max="3328" width="9.42578125" style="119" customWidth="1"/>
    <col min="3329" max="3329" width="25.28515625" style="119" bestFit="1" customWidth="1"/>
    <col min="3330" max="3330" width="5.7109375" style="119" customWidth="1"/>
    <col min="3331" max="3331" width="10.42578125" style="119" customWidth="1"/>
    <col min="3332" max="3343" width="11.5703125" style="119" bestFit="1" customWidth="1"/>
    <col min="3344" max="3348" width="12.140625" style="119" customWidth="1"/>
    <col min="3349" max="3583" width="11.42578125" style="119"/>
    <col min="3584" max="3584" width="9.42578125" style="119" customWidth="1"/>
    <col min="3585" max="3585" width="25.28515625" style="119" bestFit="1" customWidth="1"/>
    <col min="3586" max="3586" width="5.7109375" style="119" customWidth="1"/>
    <col min="3587" max="3587" width="10.42578125" style="119" customWidth="1"/>
    <col min="3588" max="3599" width="11.5703125" style="119" bestFit="1" customWidth="1"/>
    <col min="3600" max="3604" width="12.140625" style="119" customWidth="1"/>
    <col min="3605" max="3839" width="11.42578125" style="119"/>
    <col min="3840" max="3840" width="9.42578125" style="119" customWidth="1"/>
    <col min="3841" max="3841" width="25.28515625" style="119" bestFit="1" customWidth="1"/>
    <col min="3842" max="3842" width="5.7109375" style="119" customWidth="1"/>
    <col min="3843" max="3843" width="10.42578125" style="119" customWidth="1"/>
    <col min="3844" max="3855" width="11.5703125" style="119" bestFit="1" customWidth="1"/>
    <col min="3856" max="3860" width="12.140625" style="119" customWidth="1"/>
    <col min="3861" max="4095" width="11.42578125" style="119"/>
    <col min="4096" max="4096" width="9.42578125" style="119" customWidth="1"/>
    <col min="4097" max="4097" width="25.28515625" style="119" bestFit="1" customWidth="1"/>
    <col min="4098" max="4098" width="5.7109375" style="119" customWidth="1"/>
    <col min="4099" max="4099" width="10.42578125" style="119" customWidth="1"/>
    <col min="4100" max="4111" width="11.5703125" style="119" bestFit="1" customWidth="1"/>
    <col min="4112" max="4116" width="12.140625" style="119" customWidth="1"/>
    <col min="4117" max="4351" width="11.42578125" style="119"/>
    <col min="4352" max="4352" width="9.42578125" style="119" customWidth="1"/>
    <col min="4353" max="4353" width="25.28515625" style="119" bestFit="1" customWidth="1"/>
    <col min="4354" max="4354" width="5.7109375" style="119" customWidth="1"/>
    <col min="4355" max="4355" width="10.42578125" style="119" customWidth="1"/>
    <col min="4356" max="4367" width="11.5703125" style="119" bestFit="1" customWidth="1"/>
    <col min="4368" max="4372" width="12.140625" style="119" customWidth="1"/>
    <col min="4373" max="4607" width="11.42578125" style="119"/>
    <col min="4608" max="4608" width="9.42578125" style="119" customWidth="1"/>
    <col min="4609" max="4609" width="25.28515625" style="119" bestFit="1" customWidth="1"/>
    <col min="4610" max="4610" width="5.7109375" style="119" customWidth="1"/>
    <col min="4611" max="4611" width="10.42578125" style="119" customWidth="1"/>
    <col min="4612" max="4623" width="11.5703125" style="119" bestFit="1" customWidth="1"/>
    <col min="4624" max="4628" width="12.140625" style="119" customWidth="1"/>
    <col min="4629" max="4863" width="11.42578125" style="119"/>
    <col min="4864" max="4864" width="9.42578125" style="119" customWidth="1"/>
    <col min="4865" max="4865" width="25.28515625" style="119" bestFit="1" customWidth="1"/>
    <col min="4866" max="4866" width="5.7109375" style="119" customWidth="1"/>
    <col min="4867" max="4867" width="10.42578125" style="119" customWidth="1"/>
    <col min="4868" max="4879" width="11.5703125" style="119" bestFit="1" customWidth="1"/>
    <col min="4880" max="4884" width="12.140625" style="119" customWidth="1"/>
    <col min="4885" max="5119" width="11.42578125" style="119"/>
    <col min="5120" max="5120" width="9.42578125" style="119" customWidth="1"/>
    <col min="5121" max="5121" width="25.28515625" style="119" bestFit="1" customWidth="1"/>
    <col min="5122" max="5122" width="5.7109375" style="119" customWidth="1"/>
    <col min="5123" max="5123" width="10.42578125" style="119" customWidth="1"/>
    <col min="5124" max="5135" width="11.5703125" style="119" bestFit="1" customWidth="1"/>
    <col min="5136" max="5140" width="12.140625" style="119" customWidth="1"/>
    <col min="5141" max="5375" width="11.42578125" style="119"/>
    <col min="5376" max="5376" width="9.42578125" style="119" customWidth="1"/>
    <col min="5377" max="5377" width="25.28515625" style="119" bestFit="1" customWidth="1"/>
    <col min="5378" max="5378" width="5.7109375" style="119" customWidth="1"/>
    <col min="5379" max="5379" width="10.42578125" style="119" customWidth="1"/>
    <col min="5380" max="5391" width="11.5703125" style="119" bestFit="1" customWidth="1"/>
    <col min="5392" max="5396" width="12.140625" style="119" customWidth="1"/>
    <col min="5397" max="5631" width="11.42578125" style="119"/>
    <col min="5632" max="5632" width="9.42578125" style="119" customWidth="1"/>
    <col min="5633" max="5633" width="25.28515625" style="119" bestFit="1" customWidth="1"/>
    <col min="5634" max="5634" width="5.7109375" style="119" customWidth="1"/>
    <col min="5635" max="5635" width="10.42578125" style="119" customWidth="1"/>
    <col min="5636" max="5647" width="11.5703125" style="119" bestFit="1" customWidth="1"/>
    <col min="5648" max="5652" width="12.140625" style="119" customWidth="1"/>
    <col min="5653" max="5887" width="11.42578125" style="119"/>
    <col min="5888" max="5888" width="9.42578125" style="119" customWidth="1"/>
    <col min="5889" max="5889" width="25.28515625" style="119" bestFit="1" customWidth="1"/>
    <col min="5890" max="5890" width="5.7109375" style="119" customWidth="1"/>
    <col min="5891" max="5891" width="10.42578125" style="119" customWidth="1"/>
    <col min="5892" max="5903" width="11.5703125" style="119" bestFit="1" customWidth="1"/>
    <col min="5904" max="5908" width="12.140625" style="119" customWidth="1"/>
    <col min="5909" max="6143" width="11.42578125" style="119"/>
    <col min="6144" max="6144" width="9.42578125" style="119" customWidth="1"/>
    <col min="6145" max="6145" width="25.28515625" style="119" bestFit="1" customWidth="1"/>
    <col min="6146" max="6146" width="5.7109375" style="119" customWidth="1"/>
    <col min="6147" max="6147" width="10.42578125" style="119" customWidth="1"/>
    <col min="6148" max="6159" width="11.5703125" style="119" bestFit="1" customWidth="1"/>
    <col min="6160" max="6164" width="12.140625" style="119" customWidth="1"/>
    <col min="6165" max="6399" width="11.42578125" style="119"/>
    <col min="6400" max="6400" width="9.42578125" style="119" customWidth="1"/>
    <col min="6401" max="6401" width="25.28515625" style="119" bestFit="1" customWidth="1"/>
    <col min="6402" max="6402" width="5.7109375" style="119" customWidth="1"/>
    <col min="6403" max="6403" width="10.42578125" style="119" customWidth="1"/>
    <col min="6404" max="6415" width="11.5703125" style="119" bestFit="1" customWidth="1"/>
    <col min="6416" max="6420" width="12.140625" style="119" customWidth="1"/>
    <col min="6421" max="6655" width="11.42578125" style="119"/>
    <col min="6656" max="6656" width="9.42578125" style="119" customWidth="1"/>
    <col min="6657" max="6657" width="25.28515625" style="119" bestFit="1" customWidth="1"/>
    <col min="6658" max="6658" width="5.7109375" style="119" customWidth="1"/>
    <col min="6659" max="6659" width="10.42578125" style="119" customWidth="1"/>
    <col min="6660" max="6671" width="11.5703125" style="119" bestFit="1" customWidth="1"/>
    <col min="6672" max="6676" width="12.140625" style="119" customWidth="1"/>
    <col min="6677" max="6911" width="11.42578125" style="119"/>
    <col min="6912" max="6912" width="9.42578125" style="119" customWidth="1"/>
    <col min="6913" max="6913" width="25.28515625" style="119" bestFit="1" customWidth="1"/>
    <col min="6914" max="6914" width="5.7109375" style="119" customWidth="1"/>
    <col min="6915" max="6915" width="10.42578125" style="119" customWidth="1"/>
    <col min="6916" max="6927" width="11.5703125" style="119" bestFit="1" customWidth="1"/>
    <col min="6928" max="6932" width="12.140625" style="119" customWidth="1"/>
    <col min="6933" max="7167" width="11.42578125" style="119"/>
    <col min="7168" max="7168" width="9.42578125" style="119" customWidth="1"/>
    <col min="7169" max="7169" width="25.28515625" style="119" bestFit="1" customWidth="1"/>
    <col min="7170" max="7170" width="5.7109375" style="119" customWidth="1"/>
    <col min="7171" max="7171" width="10.42578125" style="119" customWidth="1"/>
    <col min="7172" max="7183" width="11.5703125" style="119" bestFit="1" customWidth="1"/>
    <col min="7184" max="7188" width="12.140625" style="119" customWidth="1"/>
    <col min="7189" max="7423" width="11.42578125" style="119"/>
    <col min="7424" max="7424" width="9.42578125" style="119" customWidth="1"/>
    <col min="7425" max="7425" width="25.28515625" style="119" bestFit="1" customWidth="1"/>
    <col min="7426" max="7426" width="5.7109375" style="119" customWidth="1"/>
    <col min="7427" max="7427" width="10.42578125" style="119" customWidth="1"/>
    <col min="7428" max="7439" width="11.5703125" style="119" bestFit="1" customWidth="1"/>
    <col min="7440" max="7444" width="12.140625" style="119" customWidth="1"/>
    <col min="7445" max="7679" width="11.42578125" style="119"/>
    <col min="7680" max="7680" width="9.42578125" style="119" customWidth="1"/>
    <col min="7681" max="7681" width="25.28515625" style="119" bestFit="1" customWidth="1"/>
    <col min="7682" max="7682" width="5.7109375" style="119" customWidth="1"/>
    <col min="7683" max="7683" width="10.42578125" style="119" customWidth="1"/>
    <col min="7684" max="7695" width="11.5703125" style="119" bestFit="1" customWidth="1"/>
    <col min="7696" max="7700" width="12.140625" style="119" customWidth="1"/>
    <col min="7701" max="7935" width="11.42578125" style="119"/>
    <col min="7936" max="7936" width="9.42578125" style="119" customWidth="1"/>
    <col min="7937" max="7937" width="25.28515625" style="119" bestFit="1" customWidth="1"/>
    <col min="7938" max="7938" width="5.7109375" style="119" customWidth="1"/>
    <col min="7939" max="7939" width="10.42578125" style="119" customWidth="1"/>
    <col min="7940" max="7951" width="11.5703125" style="119" bestFit="1" customWidth="1"/>
    <col min="7952" max="7956" width="12.140625" style="119" customWidth="1"/>
    <col min="7957" max="8191" width="11.42578125" style="119"/>
    <col min="8192" max="8192" width="9.42578125" style="119" customWidth="1"/>
    <col min="8193" max="8193" width="25.28515625" style="119" bestFit="1" customWidth="1"/>
    <col min="8194" max="8194" width="5.7109375" style="119" customWidth="1"/>
    <col min="8195" max="8195" width="10.42578125" style="119" customWidth="1"/>
    <col min="8196" max="8207" width="11.5703125" style="119" bestFit="1" customWidth="1"/>
    <col min="8208" max="8212" width="12.140625" style="119" customWidth="1"/>
    <col min="8213" max="8447" width="11.42578125" style="119"/>
    <col min="8448" max="8448" width="9.42578125" style="119" customWidth="1"/>
    <col min="8449" max="8449" width="25.28515625" style="119" bestFit="1" customWidth="1"/>
    <col min="8450" max="8450" width="5.7109375" style="119" customWidth="1"/>
    <col min="8451" max="8451" width="10.42578125" style="119" customWidth="1"/>
    <col min="8452" max="8463" width="11.5703125" style="119" bestFit="1" customWidth="1"/>
    <col min="8464" max="8468" width="12.140625" style="119" customWidth="1"/>
    <col min="8469" max="8703" width="11.42578125" style="119"/>
    <col min="8704" max="8704" width="9.42578125" style="119" customWidth="1"/>
    <col min="8705" max="8705" width="25.28515625" style="119" bestFit="1" customWidth="1"/>
    <col min="8706" max="8706" width="5.7109375" style="119" customWidth="1"/>
    <col min="8707" max="8707" width="10.42578125" style="119" customWidth="1"/>
    <col min="8708" max="8719" width="11.5703125" style="119" bestFit="1" customWidth="1"/>
    <col min="8720" max="8724" width="12.140625" style="119" customWidth="1"/>
    <col min="8725" max="8959" width="11.42578125" style="119"/>
    <col min="8960" max="8960" width="9.42578125" style="119" customWidth="1"/>
    <col min="8961" max="8961" width="25.28515625" style="119" bestFit="1" customWidth="1"/>
    <col min="8962" max="8962" width="5.7109375" style="119" customWidth="1"/>
    <col min="8963" max="8963" width="10.42578125" style="119" customWidth="1"/>
    <col min="8964" max="8975" width="11.5703125" style="119" bestFit="1" customWidth="1"/>
    <col min="8976" max="8980" width="12.140625" style="119" customWidth="1"/>
    <col min="8981" max="9215" width="11.42578125" style="119"/>
    <col min="9216" max="9216" width="9.42578125" style="119" customWidth="1"/>
    <col min="9217" max="9217" width="25.28515625" style="119" bestFit="1" customWidth="1"/>
    <col min="9218" max="9218" width="5.7109375" style="119" customWidth="1"/>
    <col min="9219" max="9219" width="10.42578125" style="119" customWidth="1"/>
    <col min="9220" max="9231" width="11.5703125" style="119" bestFit="1" customWidth="1"/>
    <col min="9232" max="9236" width="12.140625" style="119" customWidth="1"/>
    <col min="9237" max="9471" width="11.42578125" style="119"/>
    <col min="9472" max="9472" width="9.42578125" style="119" customWidth="1"/>
    <col min="9473" max="9473" width="25.28515625" style="119" bestFit="1" customWidth="1"/>
    <col min="9474" max="9474" width="5.7109375" style="119" customWidth="1"/>
    <col min="9475" max="9475" width="10.42578125" style="119" customWidth="1"/>
    <col min="9476" max="9487" width="11.5703125" style="119" bestFit="1" customWidth="1"/>
    <col min="9488" max="9492" width="12.140625" style="119" customWidth="1"/>
    <col min="9493" max="9727" width="11.42578125" style="119"/>
    <col min="9728" max="9728" width="9.42578125" style="119" customWidth="1"/>
    <col min="9729" max="9729" width="25.28515625" style="119" bestFit="1" customWidth="1"/>
    <col min="9730" max="9730" width="5.7109375" style="119" customWidth="1"/>
    <col min="9731" max="9731" width="10.42578125" style="119" customWidth="1"/>
    <col min="9732" max="9743" width="11.5703125" style="119" bestFit="1" customWidth="1"/>
    <col min="9744" max="9748" width="12.140625" style="119" customWidth="1"/>
    <col min="9749" max="9983" width="11.42578125" style="119"/>
    <col min="9984" max="9984" width="9.42578125" style="119" customWidth="1"/>
    <col min="9985" max="9985" width="25.28515625" style="119" bestFit="1" customWidth="1"/>
    <col min="9986" max="9986" width="5.7109375" style="119" customWidth="1"/>
    <col min="9987" max="9987" width="10.42578125" style="119" customWidth="1"/>
    <col min="9988" max="9999" width="11.5703125" style="119" bestFit="1" customWidth="1"/>
    <col min="10000" max="10004" width="12.140625" style="119" customWidth="1"/>
    <col min="10005" max="10239" width="11.42578125" style="119"/>
    <col min="10240" max="10240" width="9.42578125" style="119" customWidth="1"/>
    <col min="10241" max="10241" width="25.28515625" style="119" bestFit="1" customWidth="1"/>
    <col min="10242" max="10242" width="5.7109375" style="119" customWidth="1"/>
    <col min="10243" max="10243" width="10.42578125" style="119" customWidth="1"/>
    <col min="10244" max="10255" width="11.5703125" style="119" bestFit="1" customWidth="1"/>
    <col min="10256" max="10260" width="12.140625" style="119" customWidth="1"/>
    <col min="10261" max="10495" width="11.42578125" style="119"/>
    <col min="10496" max="10496" width="9.42578125" style="119" customWidth="1"/>
    <col min="10497" max="10497" width="25.28515625" style="119" bestFit="1" customWidth="1"/>
    <col min="10498" max="10498" width="5.7109375" style="119" customWidth="1"/>
    <col min="10499" max="10499" width="10.42578125" style="119" customWidth="1"/>
    <col min="10500" max="10511" width="11.5703125" style="119" bestFit="1" customWidth="1"/>
    <col min="10512" max="10516" width="12.140625" style="119" customWidth="1"/>
    <col min="10517" max="10751" width="11.42578125" style="119"/>
    <col min="10752" max="10752" width="9.42578125" style="119" customWidth="1"/>
    <col min="10753" max="10753" width="25.28515625" style="119" bestFit="1" customWidth="1"/>
    <col min="10754" max="10754" width="5.7109375" style="119" customWidth="1"/>
    <col min="10755" max="10755" width="10.42578125" style="119" customWidth="1"/>
    <col min="10756" max="10767" width="11.5703125" style="119" bestFit="1" customWidth="1"/>
    <col min="10768" max="10772" width="12.140625" style="119" customWidth="1"/>
    <col min="10773" max="11007" width="11.42578125" style="119"/>
    <col min="11008" max="11008" width="9.42578125" style="119" customWidth="1"/>
    <col min="11009" max="11009" width="25.28515625" style="119" bestFit="1" customWidth="1"/>
    <col min="11010" max="11010" width="5.7109375" style="119" customWidth="1"/>
    <col min="11011" max="11011" width="10.42578125" style="119" customWidth="1"/>
    <col min="11012" max="11023" width="11.5703125" style="119" bestFit="1" customWidth="1"/>
    <col min="11024" max="11028" width="12.140625" style="119" customWidth="1"/>
    <col min="11029" max="11263" width="11.42578125" style="119"/>
    <col min="11264" max="11264" width="9.42578125" style="119" customWidth="1"/>
    <col min="11265" max="11265" width="25.28515625" style="119" bestFit="1" customWidth="1"/>
    <col min="11266" max="11266" width="5.7109375" style="119" customWidth="1"/>
    <col min="11267" max="11267" width="10.42578125" style="119" customWidth="1"/>
    <col min="11268" max="11279" width="11.5703125" style="119" bestFit="1" customWidth="1"/>
    <col min="11280" max="11284" width="12.140625" style="119" customWidth="1"/>
    <col min="11285" max="11519" width="11.42578125" style="119"/>
    <col min="11520" max="11520" width="9.42578125" style="119" customWidth="1"/>
    <col min="11521" max="11521" width="25.28515625" style="119" bestFit="1" customWidth="1"/>
    <col min="11522" max="11522" width="5.7109375" style="119" customWidth="1"/>
    <col min="11523" max="11523" width="10.42578125" style="119" customWidth="1"/>
    <col min="11524" max="11535" width="11.5703125" style="119" bestFit="1" customWidth="1"/>
    <col min="11536" max="11540" width="12.140625" style="119" customWidth="1"/>
    <col min="11541" max="11775" width="11.42578125" style="119"/>
    <col min="11776" max="11776" width="9.42578125" style="119" customWidth="1"/>
    <col min="11777" max="11777" width="25.28515625" style="119" bestFit="1" customWidth="1"/>
    <col min="11778" max="11778" width="5.7109375" style="119" customWidth="1"/>
    <col min="11779" max="11779" width="10.42578125" style="119" customWidth="1"/>
    <col min="11780" max="11791" width="11.5703125" style="119" bestFit="1" customWidth="1"/>
    <col min="11792" max="11796" width="12.140625" style="119" customWidth="1"/>
    <col min="11797" max="12031" width="11.42578125" style="119"/>
    <col min="12032" max="12032" width="9.42578125" style="119" customWidth="1"/>
    <col min="12033" max="12033" width="25.28515625" style="119" bestFit="1" customWidth="1"/>
    <col min="12034" max="12034" width="5.7109375" style="119" customWidth="1"/>
    <col min="12035" max="12035" width="10.42578125" style="119" customWidth="1"/>
    <col min="12036" max="12047" width="11.5703125" style="119" bestFit="1" customWidth="1"/>
    <col min="12048" max="12052" width="12.140625" style="119" customWidth="1"/>
    <col min="12053" max="12287" width="11.42578125" style="119"/>
    <col min="12288" max="12288" width="9.42578125" style="119" customWidth="1"/>
    <col min="12289" max="12289" width="25.28515625" style="119" bestFit="1" customWidth="1"/>
    <col min="12290" max="12290" width="5.7109375" style="119" customWidth="1"/>
    <col min="12291" max="12291" width="10.42578125" style="119" customWidth="1"/>
    <col min="12292" max="12303" width="11.5703125" style="119" bestFit="1" customWidth="1"/>
    <col min="12304" max="12308" width="12.140625" style="119" customWidth="1"/>
    <col min="12309" max="12543" width="11.42578125" style="119"/>
    <col min="12544" max="12544" width="9.42578125" style="119" customWidth="1"/>
    <col min="12545" max="12545" width="25.28515625" style="119" bestFit="1" customWidth="1"/>
    <col min="12546" max="12546" width="5.7109375" style="119" customWidth="1"/>
    <col min="12547" max="12547" width="10.42578125" style="119" customWidth="1"/>
    <col min="12548" max="12559" width="11.5703125" style="119" bestFit="1" customWidth="1"/>
    <col min="12560" max="12564" width="12.140625" style="119" customWidth="1"/>
    <col min="12565" max="12799" width="11.42578125" style="119"/>
    <col min="12800" max="12800" width="9.42578125" style="119" customWidth="1"/>
    <col min="12801" max="12801" width="25.28515625" style="119" bestFit="1" customWidth="1"/>
    <col min="12802" max="12802" width="5.7109375" style="119" customWidth="1"/>
    <col min="12803" max="12803" width="10.42578125" style="119" customWidth="1"/>
    <col min="12804" max="12815" width="11.5703125" style="119" bestFit="1" customWidth="1"/>
    <col min="12816" max="12820" width="12.140625" style="119" customWidth="1"/>
    <col min="12821" max="13055" width="11.42578125" style="119"/>
    <col min="13056" max="13056" width="9.42578125" style="119" customWidth="1"/>
    <col min="13057" max="13057" width="25.28515625" style="119" bestFit="1" customWidth="1"/>
    <col min="13058" max="13058" width="5.7109375" style="119" customWidth="1"/>
    <col min="13059" max="13059" width="10.42578125" style="119" customWidth="1"/>
    <col min="13060" max="13071" width="11.5703125" style="119" bestFit="1" customWidth="1"/>
    <col min="13072" max="13076" width="12.140625" style="119" customWidth="1"/>
    <col min="13077" max="13311" width="11.42578125" style="119"/>
    <col min="13312" max="13312" width="9.42578125" style="119" customWidth="1"/>
    <col min="13313" max="13313" width="25.28515625" style="119" bestFit="1" customWidth="1"/>
    <col min="13314" max="13314" width="5.7109375" style="119" customWidth="1"/>
    <col min="13315" max="13315" width="10.42578125" style="119" customWidth="1"/>
    <col min="13316" max="13327" width="11.5703125" style="119" bestFit="1" customWidth="1"/>
    <col min="13328" max="13332" width="12.140625" style="119" customWidth="1"/>
    <col min="13333" max="13567" width="11.42578125" style="119"/>
    <col min="13568" max="13568" width="9.42578125" style="119" customWidth="1"/>
    <col min="13569" max="13569" width="25.28515625" style="119" bestFit="1" customWidth="1"/>
    <col min="13570" max="13570" width="5.7109375" style="119" customWidth="1"/>
    <col min="13571" max="13571" width="10.42578125" style="119" customWidth="1"/>
    <col min="13572" max="13583" width="11.5703125" style="119" bestFit="1" customWidth="1"/>
    <col min="13584" max="13588" width="12.140625" style="119" customWidth="1"/>
    <col min="13589" max="13823" width="11.42578125" style="119"/>
    <col min="13824" max="13824" width="9.42578125" style="119" customWidth="1"/>
    <col min="13825" max="13825" width="25.28515625" style="119" bestFit="1" customWidth="1"/>
    <col min="13826" max="13826" width="5.7109375" style="119" customWidth="1"/>
    <col min="13827" max="13827" width="10.42578125" style="119" customWidth="1"/>
    <col min="13828" max="13839" width="11.5703125" style="119" bestFit="1" customWidth="1"/>
    <col min="13840" max="13844" width="12.140625" style="119" customWidth="1"/>
    <col min="13845" max="14079" width="11.42578125" style="119"/>
    <col min="14080" max="14080" width="9.42578125" style="119" customWidth="1"/>
    <col min="14081" max="14081" width="25.28515625" style="119" bestFit="1" customWidth="1"/>
    <col min="14082" max="14082" width="5.7109375" style="119" customWidth="1"/>
    <col min="14083" max="14083" width="10.42578125" style="119" customWidth="1"/>
    <col min="14084" max="14095" width="11.5703125" style="119" bestFit="1" customWidth="1"/>
    <col min="14096" max="14100" width="12.140625" style="119" customWidth="1"/>
    <col min="14101" max="14335" width="11.42578125" style="119"/>
    <col min="14336" max="14336" width="9.42578125" style="119" customWidth="1"/>
    <col min="14337" max="14337" width="25.28515625" style="119" bestFit="1" customWidth="1"/>
    <col min="14338" max="14338" width="5.7109375" style="119" customWidth="1"/>
    <col min="14339" max="14339" width="10.42578125" style="119" customWidth="1"/>
    <col min="14340" max="14351" width="11.5703125" style="119" bestFit="1" customWidth="1"/>
    <col min="14352" max="14356" width="12.140625" style="119" customWidth="1"/>
    <col min="14357" max="14591" width="11.42578125" style="119"/>
    <col min="14592" max="14592" width="9.42578125" style="119" customWidth="1"/>
    <col min="14593" max="14593" width="25.28515625" style="119" bestFit="1" customWidth="1"/>
    <col min="14594" max="14594" width="5.7109375" style="119" customWidth="1"/>
    <col min="14595" max="14595" width="10.42578125" style="119" customWidth="1"/>
    <col min="14596" max="14607" width="11.5703125" style="119" bestFit="1" customWidth="1"/>
    <col min="14608" max="14612" width="12.140625" style="119" customWidth="1"/>
    <col min="14613" max="14847" width="11.42578125" style="119"/>
    <col min="14848" max="14848" width="9.42578125" style="119" customWidth="1"/>
    <col min="14849" max="14849" width="25.28515625" style="119" bestFit="1" customWidth="1"/>
    <col min="14850" max="14850" width="5.7109375" style="119" customWidth="1"/>
    <col min="14851" max="14851" width="10.42578125" style="119" customWidth="1"/>
    <col min="14852" max="14863" width="11.5703125" style="119" bestFit="1" customWidth="1"/>
    <col min="14864" max="14868" width="12.140625" style="119" customWidth="1"/>
    <col min="14869" max="15103" width="11.42578125" style="119"/>
    <col min="15104" max="15104" width="9.42578125" style="119" customWidth="1"/>
    <col min="15105" max="15105" width="25.28515625" style="119" bestFit="1" customWidth="1"/>
    <col min="15106" max="15106" width="5.7109375" style="119" customWidth="1"/>
    <col min="15107" max="15107" width="10.42578125" style="119" customWidth="1"/>
    <col min="15108" max="15119" width="11.5703125" style="119" bestFit="1" customWidth="1"/>
    <col min="15120" max="15124" width="12.140625" style="119" customWidth="1"/>
    <col min="15125" max="15359" width="11.42578125" style="119"/>
    <col min="15360" max="15360" width="9.42578125" style="119" customWidth="1"/>
    <col min="15361" max="15361" width="25.28515625" style="119" bestFit="1" customWidth="1"/>
    <col min="15362" max="15362" width="5.7109375" style="119" customWidth="1"/>
    <col min="15363" max="15363" width="10.42578125" style="119" customWidth="1"/>
    <col min="15364" max="15375" width="11.5703125" style="119" bestFit="1" customWidth="1"/>
    <col min="15376" max="15380" width="12.140625" style="119" customWidth="1"/>
    <col min="15381" max="15615" width="11.42578125" style="119"/>
    <col min="15616" max="15616" width="9.42578125" style="119" customWidth="1"/>
    <col min="15617" max="15617" width="25.28515625" style="119" bestFit="1" customWidth="1"/>
    <col min="15618" max="15618" width="5.7109375" style="119" customWidth="1"/>
    <col min="15619" max="15619" width="10.42578125" style="119" customWidth="1"/>
    <col min="15620" max="15631" width="11.5703125" style="119" bestFit="1" customWidth="1"/>
    <col min="15632" max="15636" width="12.140625" style="119" customWidth="1"/>
    <col min="15637" max="15871" width="11.42578125" style="119"/>
    <col min="15872" max="15872" width="9.42578125" style="119" customWidth="1"/>
    <col min="15873" max="15873" width="25.28515625" style="119" bestFit="1" customWidth="1"/>
    <col min="15874" max="15874" width="5.7109375" style="119" customWidth="1"/>
    <col min="15875" max="15875" width="10.42578125" style="119" customWidth="1"/>
    <col min="15876" max="15887" width="11.5703125" style="119" bestFit="1" customWidth="1"/>
    <col min="15888" max="15892" width="12.140625" style="119" customWidth="1"/>
    <col min="15893" max="16127" width="11.42578125" style="119"/>
    <col min="16128" max="16128" width="9.42578125" style="119" customWidth="1"/>
    <col min="16129" max="16129" width="25.28515625" style="119" bestFit="1" customWidth="1"/>
    <col min="16130" max="16130" width="5.7109375" style="119" customWidth="1"/>
    <col min="16131" max="16131" width="10.42578125" style="119" customWidth="1"/>
    <col min="16132" max="16143" width="11.5703125" style="119" bestFit="1" customWidth="1"/>
    <col min="16144" max="16148" width="12.140625" style="119" customWidth="1"/>
    <col min="16149" max="16384" width="11.42578125" style="119"/>
  </cols>
  <sheetData>
    <row r="1" spans="1:17">
      <c r="A1" s="367"/>
    </row>
    <row r="2" spans="1:17" ht="15">
      <c r="E2" s="444" t="s">
        <v>555</v>
      </c>
      <c r="F2" s="444"/>
      <c r="G2" s="444"/>
      <c r="H2" s="444"/>
    </row>
    <row r="4" spans="1:17">
      <c r="B4" s="150"/>
    </row>
    <row r="5" spans="1:17" ht="9.75" thickBot="1">
      <c r="B5" s="88" t="s">
        <v>349</v>
      </c>
      <c r="C5" s="88">
        <v>2001</v>
      </c>
      <c r="D5" s="88">
        <v>2002</v>
      </c>
      <c r="E5" s="88">
        <v>2003</v>
      </c>
      <c r="F5" s="88">
        <v>2004</v>
      </c>
      <c r="G5" s="49" t="s">
        <v>469</v>
      </c>
      <c r="H5" s="88">
        <v>2005</v>
      </c>
      <c r="I5" s="88">
        <v>2006</v>
      </c>
      <c r="J5" s="88">
        <v>2007</v>
      </c>
      <c r="K5" s="88">
        <v>2008</v>
      </c>
      <c r="L5" s="88">
        <v>2009</v>
      </c>
      <c r="M5" s="88">
        <v>2010</v>
      </c>
      <c r="N5" s="88">
        <v>2011</v>
      </c>
      <c r="O5" s="88">
        <v>2012</v>
      </c>
    </row>
    <row r="6" spans="1:17" ht="13.5" customHeight="1" thickTop="1">
      <c r="B6" s="225" t="s">
        <v>340</v>
      </c>
      <c r="C6" s="219">
        <f>+(GastoMateriales!$C$6/CantidadesMateralialesIndexados!$C$4)*CantidadesMateralialesIndexados!C4</f>
        <v>1289142.8571428573</v>
      </c>
      <c r="D6" s="219">
        <f>+(GastoMateriales!$C$6/CantidadesMateralialesIndexados!$C$4)*CantidadesMateralialesIndexados!D4</f>
        <v>1189806.2726277993</v>
      </c>
      <c r="E6" s="219">
        <f>+(GastoMateriales!$C$6/CantidadesMateralialesIndexados!$C$4)*CantidadesMateralialesIndexados!E4</f>
        <v>1406925.3351902731</v>
      </c>
      <c r="F6" s="219">
        <f>+(GastoMateriales!$C$6/CantidadesMateralialesIndexados!$C$4)*CantidadesMateralialesIndexados!F4</f>
        <v>1133454.5036929708</v>
      </c>
      <c r="G6" s="219">
        <f>+(GastoMateriales!$C$6/CantidadesMateralialesIndexados!$C$4)*CantidadesMateralialesIndexados!G4</f>
        <v>1193604.2669439279</v>
      </c>
      <c r="H6" s="219">
        <f>+(GastoMateriales!$C$6/CantidadesMateralialesIndexados!$C$4)*CantidadesMateralialesIndexados!H4</f>
        <v>1193604.2669439279</v>
      </c>
      <c r="I6" s="219">
        <f>+(GastoMateriales!$C$6/CantidadesMateralialesIndexados!$C$4)*CantidadesMateralialesIndexados!I4</f>
        <v>966384.29842337826</v>
      </c>
      <c r="J6" s="219">
        <f>+(GastoMateriales!$C$6/CantidadesMateralialesIndexados!$C$4)*CantidadesMateralialesIndexados!J4</f>
        <v>823585.8165694424</v>
      </c>
      <c r="K6" s="219">
        <f>+(GastoMateriales!$C$6/CantidadesMateralialesIndexados!$C$4)*CantidadesMateralialesIndexados!K4</f>
        <v>778780.50986956083</v>
      </c>
      <c r="L6" s="219">
        <f>+(GastoMateriales!$C$6/CantidadesMateralialesIndexados!$C$4)*CantidadesMateralialesIndexados!L4</f>
        <v>684573.00044447975</v>
      </c>
      <c r="M6" s="219">
        <f>+(GastoMateriales!$C$6/CantidadesMateralialesIndexados!$C$4)*CantidadesMateralialesIndexados!M4</f>
        <v>629293.04586133512</v>
      </c>
      <c r="N6" s="219">
        <f>+(GastoMateriales!$C$6/CantidadesMateralialesIndexados!$C$4)*CantidadesMateralialesIndexados!N4</f>
        <v>786991.25987032964</v>
      </c>
      <c r="O6" s="219">
        <f>+(GastoMateriales!$C$6/CantidadesMateralialesIndexados!$C$4)*CantidadesMateralialesIndexados!O4</f>
        <v>940044.10838944349</v>
      </c>
      <c r="Q6" s="186"/>
    </row>
    <row r="7" spans="1:17" ht="13.5" customHeight="1">
      <c r="B7" s="243" t="s">
        <v>341</v>
      </c>
      <c r="C7" s="220">
        <f>+(GastoMateriales!$C$7/CantidadesMateralialesIndexados!$C$5)*CantidadesMateralialesIndexados!C5</f>
        <v>2158857.1428571427</v>
      </c>
      <c r="D7" s="220">
        <f>+(GastoMateriales!$C$7/CantidadesMateralialesIndexados!$C$5)*CantidadesMateralialesIndexados!D5</f>
        <v>2543310.7237043898</v>
      </c>
      <c r="E7" s="220">
        <f>+(GastoMateriales!$C$7/CantidadesMateralialesIndexados!$C$5)*CantidadesMateralialesIndexados!E5</f>
        <v>2391962.6824023309</v>
      </c>
      <c r="F7" s="220">
        <f>+(GastoMateriales!$C$7/CantidadesMateralialesIndexados!$C$5)*CantidadesMateralialesIndexados!F5</f>
        <v>2113005.4405905707</v>
      </c>
      <c r="G7" s="220">
        <f>+(GastoMateriales!$C$7/CantidadesMateralialesIndexados!$C$5)*CantidadesMateralialesIndexados!G5</f>
        <v>1771921.7325376463</v>
      </c>
      <c r="H7" s="220">
        <f>+(GastoMateriales!$C$7/CantidadesMateralialesIndexados!$C$5)*CantidadesMateralialesIndexados!H5</f>
        <v>1791257.7813638516</v>
      </c>
      <c r="I7" s="220">
        <f>+(GastoMateriales!$C$7/CantidadesMateralialesIndexados!$C$5)*CantidadesMateralialesIndexados!I5</f>
        <v>2207059.9108865228</v>
      </c>
      <c r="J7" s="220">
        <f>+(GastoMateriales!$C$7/CantidadesMateralialesIndexados!$C$5)*CantidadesMateralialesIndexados!J5</f>
        <v>2014633.3715563654</v>
      </c>
      <c r="K7" s="220">
        <f>+(GastoMateriales!$C$7/CantidadesMateralialesIndexados!$C$5)*CantidadesMateralialesIndexados!K5</f>
        <v>2263929.7676584036</v>
      </c>
      <c r="L7" s="220">
        <f>+(GastoMateriales!$C$7/CantidadesMateralialesIndexados!$C$5)*CantidadesMateralialesIndexados!L5</f>
        <v>2362328.0396868251</v>
      </c>
      <c r="M7" s="220">
        <f>+(GastoMateriales!$C$7/CantidadesMateralialesIndexados!$C$5)*CantidadesMateralialesIndexados!M5</f>
        <v>2119419.5647610505</v>
      </c>
      <c r="N7" s="220">
        <f>+(GastoMateriales!$C$7/CantidadesMateralialesIndexados!$C$5)*CantidadesMateralialesIndexados!N5</f>
        <v>2319436.6548906746</v>
      </c>
      <c r="O7" s="220">
        <f>+(GastoMateriales!$C$7/CantidadesMateralialesIndexados!$C$5)*CantidadesMateralialesIndexados!O5</f>
        <v>2664943.7645688476</v>
      </c>
      <c r="Q7" s="184"/>
    </row>
    <row r="8" spans="1:17" ht="13.5" customHeight="1">
      <c r="B8" s="225" t="s">
        <v>342</v>
      </c>
      <c r="C8" s="219">
        <f>+(GastoMateriales!$C$8/CantidadesMateralialesIndexados!$C$6)*CantidadesMateralialesIndexados!C6</f>
        <v>41142.857142857145</v>
      </c>
      <c r="D8" s="219">
        <f>+(GastoMateriales!$C$8/CantidadesMateralialesIndexados!$C$6)*CantidadesMateralialesIndexados!D6</f>
        <v>55896.938982514068</v>
      </c>
      <c r="E8" s="219">
        <f>+(GastoMateriales!$C$8/CantidadesMateralialesIndexados!$C$6)*CantidadesMateralialesIndexados!E6</f>
        <v>57831.836554317153</v>
      </c>
      <c r="F8" s="219">
        <f>+(GastoMateriales!$C$8/CantidadesMateralialesIndexados!$C$6)*CantidadesMateralialesIndexados!F6</f>
        <v>71519.892804907911</v>
      </c>
      <c r="G8" s="219">
        <f>+(GastoMateriales!$C$8/CantidadesMateralialesIndexados!$C$6)*CantidadesMateralialesIndexados!G6</f>
        <v>70662.735671672854</v>
      </c>
      <c r="H8" s="219">
        <f>+(GastoMateriales!$C$8/CantidadesMateralialesIndexados!$C$6)*CantidadesMateralialesIndexados!H6</f>
        <v>70662.735671672854</v>
      </c>
      <c r="I8" s="219">
        <f>+(GastoMateriales!$C$8/CantidadesMateralialesIndexados!$C$6)*CantidadesMateralialesIndexados!I6</f>
        <v>162686.62750423411</v>
      </c>
      <c r="J8" s="219">
        <f>+(GastoMateriales!$C$8/CantidadesMateralialesIndexados!$C$6)*CantidadesMateralialesIndexados!J6</f>
        <v>195671.46188387388</v>
      </c>
      <c r="K8" s="219">
        <f>+(GastoMateriales!$C$8/CantidadesMateralialesIndexados!$C$6)*CantidadesMateralialesIndexados!K6</f>
        <v>187898.42958184451</v>
      </c>
      <c r="L8" s="219">
        <f>+(GastoMateriales!$C$8/CantidadesMateralialesIndexados!$C$6)*CantidadesMateralialesIndexados!L6</f>
        <v>230920.22217028635</v>
      </c>
      <c r="M8" s="219">
        <f>+(GastoMateriales!$C$8/CantidadesMateralialesIndexados!$C$6)*CantidadesMateralialesIndexados!M6</f>
        <v>225898.31808172914</v>
      </c>
      <c r="N8" s="219">
        <f>+(GastoMateriales!$C$8/CantidadesMateralialesIndexados!$C$6)*CantidadesMateralialesIndexados!N6</f>
        <v>280773.91085518699</v>
      </c>
      <c r="O8" s="219">
        <f>+(GastoMateriales!$C$8/CantidadesMateralialesIndexados!$C$6)*CantidadesMateralialesIndexados!O6</f>
        <v>279769.26775372546</v>
      </c>
      <c r="Q8" s="184"/>
    </row>
    <row r="9" spans="1:17" ht="13.5" customHeight="1">
      <c r="B9" s="243" t="s">
        <v>334</v>
      </c>
      <c r="C9" s="220">
        <f>+(GastoMateriales!$C$9/CantidadesMateralialesIndexados!$C$7)*CantidadesMateralialesIndexados!C7</f>
        <v>1318857.142857143</v>
      </c>
      <c r="D9" s="220">
        <f>+(GastoMateriales!$C$9/CantidadesMateralialesIndexados!$C$7)*CantidadesMateralialesIndexados!D7</f>
        <v>1209769.4651215542</v>
      </c>
      <c r="E9" s="220">
        <f>+(GastoMateriales!$C$9/CantidadesMateralialesIndexados!$C$7)*CantidadesMateralialesIndexados!E7</f>
        <v>1215416.6305349933</v>
      </c>
      <c r="F9" s="220">
        <f>+(GastoMateriales!$C$9/CantidadesMateralialesIndexados!$C$7)*CantidadesMateralialesIndexados!F7</f>
        <v>1030248.5824301924</v>
      </c>
      <c r="G9" s="220">
        <f>+(GastoMateriales!$C$9/CantidadesMateralialesIndexados!$C$7)*CantidadesMateralialesIndexados!G7</f>
        <v>1375698.7464613547</v>
      </c>
      <c r="H9" s="220">
        <f>+(GastoMateriales!$C$9/CantidadesMateralialesIndexados!$C$7)*CantidadesMateralialesIndexados!H7</f>
        <v>1387713.9656003222</v>
      </c>
      <c r="I9" s="220">
        <f>+(GastoMateriales!$C$9/CantidadesMateralialesIndexados!$C$7)*CantidadesMateralialesIndexados!I7</f>
        <v>1435958.4978690052</v>
      </c>
      <c r="J9" s="220">
        <f>+(GastoMateriales!$C$9/CantidadesMateralialesIndexados!$C$7)*CantidadesMateralialesIndexados!J7</f>
        <v>1432315.1009899566</v>
      </c>
      <c r="K9" s="220">
        <f>+(GastoMateriales!$C$9/CantidadesMateralialesIndexados!$C$7)*CantidadesMateralialesIndexados!K7</f>
        <v>1323030.1408759088</v>
      </c>
      <c r="L9" s="220">
        <f>+(GastoMateriales!$C$9/CantidadesMateralialesIndexados!$C$7)*CantidadesMateralialesIndexados!L7</f>
        <v>1816902.9750514864</v>
      </c>
      <c r="M9" s="220">
        <f>+(GastoMateriales!$C$9/CantidadesMateralialesIndexados!$C$7)*CantidadesMateralialesIndexados!M7</f>
        <v>1755255.8968189529</v>
      </c>
      <c r="N9" s="220">
        <f>+(GastoMateriales!$C$9/CantidadesMateralialesIndexados!$C$7)*CantidadesMateralialesIndexados!N7</f>
        <v>1854938.9458454633</v>
      </c>
      <c r="O9" s="220">
        <f>+(GastoMateriales!$C$9/CantidadesMateralialesIndexados!$C$7)*CantidadesMateralialesIndexados!O7</f>
        <v>2098828.0362925762</v>
      </c>
      <c r="Q9" s="184"/>
    </row>
    <row r="10" spans="1:17" ht="13.5" customHeight="1">
      <c r="B10" s="225" t="s">
        <v>335</v>
      </c>
      <c r="C10" s="219">
        <f>+(GastoMateriales!$C$10/CantidadesMateralialesIndexados!$C$8)*CantidadesMateralialesIndexados!C8</f>
        <v>181714.28571428571</v>
      </c>
      <c r="D10" s="219">
        <f>+(GastoMateriales!$C$10/CantidadesMateralialesIndexados!$C$8)*CantidadesMateralialesIndexados!D8</f>
        <v>319411.07990008034</v>
      </c>
      <c r="E10" s="219">
        <f>+(GastoMateriales!$C$10/CantidadesMateralialesIndexados!$C$8)*CantidadesMateralialesIndexados!E8</f>
        <v>262613.42173025984</v>
      </c>
      <c r="F10" s="219">
        <f>+(GastoMateriales!$C$10/CantidadesMateralialesIndexados!$C$8)*CantidadesMateralialesIndexados!F8</f>
        <v>362126.03951852105</v>
      </c>
      <c r="G10" s="219">
        <f>+(GastoMateriales!$C$10/CantidadesMateralialesIndexados!$C$8)*CantidadesMateralialesIndexados!G8</f>
        <v>756156.63046060444</v>
      </c>
      <c r="H10" s="219">
        <f>+(GastoMateriales!$C$10/CantidadesMateralialesIndexados!$C$8)*CantidadesMateralialesIndexados!H8</f>
        <v>864128.63502105954</v>
      </c>
      <c r="I10" s="219">
        <f>+(GastoMateriales!$C$10/CantidadesMateralialesIndexados!$C$8)*CantidadesMateralialesIndexados!I8</f>
        <v>1344654.7783513227</v>
      </c>
      <c r="J10" s="219">
        <f>+(GastoMateriales!$C$10/CantidadesMateralialesIndexados!$C$8)*CantidadesMateralialesIndexados!J8</f>
        <v>1318042.9672497744</v>
      </c>
      <c r="K10" s="219">
        <f>+(GastoMateriales!$C$10/CantidadesMateralialesIndexados!$C$8)*CantidadesMateralialesIndexados!K8</f>
        <v>1281509.5141143776</v>
      </c>
      <c r="L10" s="219">
        <f>+(GastoMateriales!$C$10/CantidadesMateralialesIndexados!$C$8)*CantidadesMateralialesIndexados!L8</f>
        <v>1521523.4270606597</v>
      </c>
      <c r="M10" s="219">
        <f>+(GastoMateriales!$C$10/CantidadesMateralialesIndexados!$C$8)*CantidadesMateralialesIndexados!M8</f>
        <v>1748115.4327416569</v>
      </c>
      <c r="N10" s="219">
        <f>+(GastoMateriales!$C$10/CantidadesMateralialesIndexados!$C$8)*CantidadesMateralialesIndexados!N8</f>
        <v>1602242.4260757952</v>
      </c>
      <c r="O10" s="219">
        <f>+(GastoMateriales!$C$10/CantidadesMateralialesIndexados!$C$8)*CantidadesMateralialesIndexados!O8</f>
        <v>1725236.8715776892</v>
      </c>
      <c r="Q10" s="184"/>
    </row>
    <row r="11" spans="1:17" ht="13.5" customHeight="1">
      <c r="B11" s="243" t="s">
        <v>336</v>
      </c>
      <c r="C11" s="220">
        <f>+(GastoMateriales!$C$11/CantidadesMateralialesIndexados!$C$9)*CantidadesMateralialesIndexados!C9</f>
        <v>362285.71428571426</v>
      </c>
      <c r="D11" s="220">
        <f>+(GastoMateriales!$C$11/CantidadesMateralialesIndexados!$C$9)*CantidadesMateralialesIndexados!D9</f>
        <v>392276.73250228621</v>
      </c>
      <c r="E11" s="220">
        <f>+(GastoMateriales!$C$11/CantidadesMateralialesIndexados!$C$9)*CantidadesMateralialesIndexados!E9</f>
        <v>379225.15773322724</v>
      </c>
      <c r="F11" s="220">
        <f>+(GastoMateriales!$C$11/CantidadesMateralialesIndexados!$C$9)*CantidadesMateralialesIndexados!F9</f>
        <v>319576.22987509484</v>
      </c>
      <c r="G11" s="220">
        <f>+(GastoMateriales!$C$11/CantidadesMateralialesIndexados!$C$9)*CantidadesMateralialesIndexados!G9</f>
        <v>324337.58926509891</v>
      </c>
      <c r="H11" s="220">
        <f>+(GastoMateriales!$C$11/CantidadesMateralialesIndexados!$C$9)*CantidadesMateralialesIndexados!H9</f>
        <v>336286.51313627441</v>
      </c>
      <c r="I11" s="220">
        <f>+(GastoMateriales!$C$11/CantidadesMateralialesIndexados!$C$9)*CantidadesMateralialesIndexados!I9</f>
        <v>420827.14359513612</v>
      </c>
      <c r="J11" s="220">
        <f>+(GastoMateriales!$C$11/CantidadesMateralialesIndexados!$C$9)*CantidadesMateralialesIndexados!J9</f>
        <v>461784.65004594228</v>
      </c>
      <c r="K11" s="220">
        <f>+(GastoMateriales!$C$11/CantidadesMateralialesIndexados!$C$9)*CantidadesMateralialesIndexados!K9</f>
        <v>516544.74649091333</v>
      </c>
      <c r="L11" s="220">
        <f>+(GastoMateriales!$C$11/CantidadesMateralialesIndexados!$C$9)*CantidadesMateralialesIndexados!L9</f>
        <v>554633.53975255892</v>
      </c>
      <c r="M11" s="220">
        <f>+(GastoMateriales!$C$11/CantidadesMateralialesIndexados!$C$9)*CantidadesMateralialesIndexados!M9</f>
        <v>369356.73272558587</v>
      </c>
      <c r="N11" s="220">
        <f>+(GastoMateriales!$C$11/CantidadesMateralialesIndexados!$C$9)*CantidadesMateralialesIndexados!N9</f>
        <v>582911.0540580512</v>
      </c>
      <c r="O11" s="220">
        <f>+(GastoMateriales!$C$11/CantidadesMateralialesIndexados!$C$9)*CantidadesMateralialesIndexados!O9</f>
        <v>671884.04139564116</v>
      </c>
      <c r="Q11" s="184"/>
    </row>
    <row r="12" spans="1:17" ht="13.5" customHeight="1">
      <c r="B12" s="225" t="s">
        <v>344</v>
      </c>
      <c r="C12" s="255">
        <v>0</v>
      </c>
      <c r="D12" s="255">
        <v>0</v>
      </c>
      <c r="E12" s="255">
        <v>0</v>
      </c>
      <c r="F12" s="255">
        <v>0</v>
      </c>
      <c r="G12" s="255">
        <v>0</v>
      </c>
      <c r="H12" s="255">
        <v>0</v>
      </c>
      <c r="I12" s="255">
        <v>0</v>
      </c>
      <c r="J12" s="255">
        <v>0</v>
      </c>
      <c r="K12" s="255">
        <v>0</v>
      </c>
      <c r="L12" s="255">
        <v>0</v>
      </c>
      <c r="M12" s="255">
        <v>0</v>
      </c>
      <c r="N12" s="255">
        <v>0</v>
      </c>
      <c r="O12" s="255">
        <v>0</v>
      </c>
      <c r="Q12" s="186"/>
    </row>
    <row r="13" spans="1:17" ht="13.5" customHeight="1">
      <c r="B13" s="243" t="s">
        <v>345</v>
      </c>
      <c r="C13" s="220">
        <f>+(GastoMateriales!$C$13/CantidadesMateralialesIndexados!$C$11)*CantidadesMateralialesIndexados!C11</f>
        <v>369142.85714285716</v>
      </c>
      <c r="D13" s="220">
        <f>+(GastoMateriales!$C$13/CantidadesMateralialesIndexados!$C$11)*CantidadesMateralialesIndexados!D11</f>
        <v>957235.08007555327</v>
      </c>
      <c r="E13" s="220">
        <f>+(GastoMateriales!$C$13/CantidadesMateralialesIndexados!$C$11)*CantidadesMateralialesIndexados!E11</f>
        <v>1433471.0962315989</v>
      </c>
      <c r="F13" s="220">
        <f>+(GastoMateriales!$C$13/CantidadesMateralialesIndexados!$C$11)*CantidadesMateralialesIndexados!F11</f>
        <v>1265630.5081172311</v>
      </c>
      <c r="G13" s="220">
        <f>+(GastoMateriales!$C$13/CantidadesMateralialesIndexados!$C$11)*CantidadesMateralialesIndexados!G11</f>
        <v>1277037.3916567382</v>
      </c>
      <c r="H13" s="220">
        <f>+(GastoMateriales!$C$13/CantidadesMateralialesIndexados!$C$11)*CantidadesMateralialesIndexados!H11</f>
        <v>1277037.3916567382</v>
      </c>
      <c r="I13" s="220">
        <f>+(GastoMateriales!$C$13/CantidadesMateralialesIndexados!$C$11)*CantidadesMateralialesIndexados!I11</f>
        <v>1288212.4790131191</v>
      </c>
      <c r="J13" s="220">
        <f>+(GastoMateriales!$C$13/CantidadesMateralialesIndexados!$C$11)*CantidadesMateralialesIndexados!J11</f>
        <v>1093412.1290070871</v>
      </c>
      <c r="K13" s="220">
        <f>+(GastoMateriales!$C$13/CantidadesMateralialesIndexados!$C$11)*CantidadesMateralialesIndexados!K11</f>
        <v>963419.28875485063</v>
      </c>
      <c r="L13" s="220">
        <f>+(GastoMateriales!$C$13/CantidadesMateralialesIndexados!$C$11)*CantidadesMateralialesIndexados!L11</f>
        <v>1039849.3440060747</v>
      </c>
      <c r="M13" s="220">
        <f>+(GastoMateriales!$C$13/CantidadesMateralialesIndexados!$C$11)*CantidadesMateralialesIndexados!M11</f>
        <v>945786.9236927568</v>
      </c>
      <c r="N13" s="220">
        <f>+(GastoMateriales!$C$13/CantidadesMateralialesIndexados!$C$11)*CantidadesMateralialesIndexados!N11</f>
        <v>910684.07607812819</v>
      </c>
      <c r="O13" s="220">
        <f>+(GastoMateriales!$C$13/CantidadesMateralialesIndexados!$C$11)*CantidadesMateralialesIndexados!O11</f>
        <v>965343.79023601313</v>
      </c>
      <c r="Q13" s="186"/>
    </row>
    <row r="14" spans="1:17" ht="13.5" customHeight="1">
      <c r="A14" s="186"/>
      <c r="B14" s="225" t="s">
        <v>346</v>
      </c>
      <c r="C14" s="219">
        <f>+(GastoMateriales!$C$14/CantidadesMateralialesIndexados!$C$12)*CantidadesMateralialesIndexados!C12</f>
        <v>1408000</v>
      </c>
      <c r="D14" s="219">
        <f>+(GastoMateriales!$C$14/CantidadesMateralialesIndexados!$C$12)*CantidadesMateralialesIndexados!D12</f>
        <v>395271.21137634944</v>
      </c>
      <c r="E14" s="219">
        <f>+(GastoMateriales!$C$14/CantidadesMateralialesIndexados!$C$12)*CantidadesMateralialesIndexados!E12</f>
        <v>552720.66739617882</v>
      </c>
      <c r="F14" s="219">
        <f>+(GastoMateriales!$C$14/CantidadesMateralialesIndexados!$C$12)*CantidadesMateralialesIndexados!F12</f>
        <v>849185.56267093203</v>
      </c>
      <c r="G14" s="219">
        <f>+(GastoMateriales!$C$14/CantidadesMateralialesIndexados!$C$12)*CantidadesMateralialesIndexados!G12</f>
        <v>748343.91151084867</v>
      </c>
      <c r="H14" s="219">
        <f>+(GastoMateriales!$C$14/CantidadesMateralialesIndexados!$C$12)*CantidadesMateralialesIndexados!H12</f>
        <v>748343.91151084867</v>
      </c>
      <c r="I14" s="219">
        <f>+(GastoMateriales!$C$14/CantidadesMateralialesIndexados!$C$12)*CantidadesMateralialesIndexados!I12</f>
        <v>595134.24449253001</v>
      </c>
      <c r="J14" s="219">
        <f>+(GastoMateriales!$C$14/CantidadesMateralialesIndexados!$C$12)*CantidadesMateralialesIndexados!J12</f>
        <v>475872.99530158128</v>
      </c>
      <c r="K14" s="219">
        <f>+(GastoMateriales!$C$14/CantidadesMateralialesIndexados!$C$12)*CantidadesMateralialesIndexados!K12</f>
        <v>434910.9718411233</v>
      </c>
      <c r="L14" s="219">
        <f>+(GastoMateriales!$C$14/CantidadesMateralialesIndexados!$C$12)*CantidadesMateralialesIndexados!L12</f>
        <v>556050.22823213134</v>
      </c>
      <c r="M14" s="219">
        <f>+(GastoMateriales!$C$14/CantidadesMateralialesIndexados!$C$12)*CantidadesMateralialesIndexados!M12</f>
        <v>430375.24393157021</v>
      </c>
      <c r="N14" s="219">
        <f>+(GastoMateriales!$C$14/CantidadesMateralialesIndexados!$C$12)*CantidadesMateralialesIndexados!N12</f>
        <v>336318.31495914789</v>
      </c>
      <c r="O14" s="219">
        <f>+(GastoMateriales!$C$14/CantidadesMateralialesIndexados!$C$12)*CantidadesMateralialesIndexados!O12</f>
        <v>498225.41609185591</v>
      </c>
    </row>
    <row r="15" spans="1:17" ht="13.5" customHeight="1">
      <c r="B15" s="243" t="s">
        <v>347</v>
      </c>
      <c r="C15" s="220">
        <f>+(GastoMateriales!$C$15/CantidadesMateralialesIndexados!$C$13)*CantidadesMateralialesIndexados!C13</f>
        <v>1474285.7142857143</v>
      </c>
      <c r="D15" s="220">
        <f>+(GastoMateriales!$C$15/CantidadesMateralialesIndexados!$C$13)*CantidadesMateralialesIndexados!D13</f>
        <v>1280638.7984743847</v>
      </c>
      <c r="E15" s="220">
        <f>+(GastoMateriales!$C$15/CantidadesMateralialesIndexados!$C$13)*CantidadesMateralialesIndexados!E13</f>
        <v>1275144.5928779766</v>
      </c>
      <c r="F15" s="220">
        <f>+(GastoMateriales!$C$15/CantidadesMateralialesIndexados!$C$13)*CantidadesMateralialesIndexados!F13</f>
        <v>1212216.9172882494</v>
      </c>
      <c r="G15" s="220">
        <f>+(GastoMateriales!$C$15/CantidadesMateralialesIndexados!$C$13)*CantidadesMateralialesIndexados!G13</f>
        <v>929055.71222725348</v>
      </c>
      <c r="H15" s="220">
        <f>+(GastoMateriales!$C$15/CantidadesMateralialesIndexados!$C$13)*CantidadesMateralialesIndexados!H13</f>
        <v>945007.66982598626</v>
      </c>
      <c r="I15" s="220">
        <f>+(GastoMateriales!$C$15/CantidadesMateralialesIndexados!$C$13)*CantidadesMateralialesIndexados!I13</f>
        <v>1089004.363701812</v>
      </c>
      <c r="J15" s="220">
        <f>+(GastoMateriales!$C$15/CantidadesMateralialesIndexados!$C$13)*CantidadesMateralialesIndexados!J13</f>
        <v>1684339.9438963863</v>
      </c>
      <c r="K15" s="220">
        <f>+(GastoMateriales!$C$15/CantidadesMateralialesIndexados!$C$13)*CantidadesMateralialesIndexados!K13</f>
        <v>1538374.4084865618</v>
      </c>
      <c r="L15" s="220">
        <f>+(GastoMateriales!$C$15/CantidadesMateralialesIndexados!$C$13)*CantidadesMateralialesIndexados!L13</f>
        <v>1262977.7795387134</v>
      </c>
      <c r="M15" s="220">
        <f>+(GastoMateriales!$C$15/CantidadesMateralialesIndexados!$C$13)*CantidadesMateralialesIndexados!M13</f>
        <v>1418355.8189901672</v>
      </c>
      <c r="N15" s="220">
        <f>+(GastoMateriales!$C$15/CantidadesMateralialesIndexados!$C$13)*CantidadesMateralialesIndexados!N13</f>
        <v>1985559.8521998331</v>
      </c>
      <c r="O15" s="220">
        <f>+(GastoMateriales!$C$15/CantidadesMateralialesIndexados!$C$13)*CantidadesMateralialesIndexados!O13</f>
        <v>1241201.491160399</v>
      </c>
      <c r="Q15" s="186"/>
    </row>
    <row r="16" spans="1:17" ht="13.5" customHeight="1">
      <c r="B16" s="225" t="s">
        <v>348</v>
      </c>
      <c r="C16" s="219">
        <f>+(GastoMateriales!$C$16/CantidadesMateralialesIndexados!$C$14)*CantidadesMateralialesIndexados!C14</f>
        <v>260571.42857142858</v>
      </c>
      <c r="D16" s="219">
        <f>+(GastoMateriales!$C$16/CantidadesMateralialesIndexados!$C$14)*CantidadesMateralialesIndexados!D14</f>
        <v>834461.44623895991</v>
      </c>
      <c r="E16" s="219">
        <f>+(GastoMateriales!$C$16/CantidadesMateralialesIndexados!$C$14)*CantidadesMateralialesIndexados!E14</f>
        <v>756554.18967778829</v>
      </c>
      <c r="F16" s="219">
        <f>+(GastoMateriales!$C$16/CantidadesMateralialesIndexados!$C$14)*CantidadesMateralialesIndexados!F14</f>
        <v>1041112.3636157481</v>
      </c>
      <c r="G16" s="219">
        <f>+(GastoMateriales!$C$16/CantidadesMateralialesIndexados!$C$14)*CantidadesMateralialesIndexados!G14</f>
        <v>698965.13236678811</v>
      </c>
      <c r="H16" s="219">
        <f>+(GastoMateriales!$C$16/CantidadesMateralialesIndexados!$C$14)*CantidadesMateralialesIndexados!H14</f>
        <v>698965.13236678811</v>
      </c>
      <c r="I16" s="220">
        <f>+(GastoMateriales!$C$15/CantidadesMateralialesIndexados!$C$13)*CantidadesMateralialesIndexados!I14</f>
        <v>617545.15746505186</v>
      </c>
      <c r="J16" s="219">
        <f>+(GastoMateriales!$C$16/CantidadesMateralialesIndexados!$C$14)*CantidadesMateralialesIndexados!J14</f>
        <v>585449.01395655051</v>
      </c>
      <c r="K16" s="219">
        <f>+(GastoMateriales!$C$16/CantidadesMateralialesIndexados!$C$14)*CantidadesMateralialesIndexados!K14</f>
        <v>591141.12677434215</v>
      </c>
      <c r="L16" s="219">
        <f>+(GastoMateriales!$C$16/CantidadesMateralialesIndexados!$C$14)*CantidadesMateralialesIndexados!L14</f>
        <v>459715.41162121424</v>
      </c>
      <c r="M16" s="219">
        <f>+(GastoMateriales!$C$16/CantidadesMateralialesIndexados!$C$14)*CantidadesMateralialesIndexados!M14</f>
        <v>432322.64322537824</v>
      </c>
      <c r="N16" s="219">
        <f>+(GastoMateriales!$C$16/CantidadesMateralialesIndexados!$C$14)*CantidadesMateralialesIndexados!N14</f>
        <v>538963.83322854363</v>
      </c>
      <c r="O16" s="219">
        <f>+(GastoMateriales!$C$16/CantidadesMateralialesIndexados!$C$14)*CantidadesMateralialesIndexados!O14</f>
        <v>664664.95437960268</v>
      </c>
      <c r="Q16" s="186"/>
    </row>
    <row r="17" spans="2:29"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8"/>
    </row>
    <row r="18" spans="2:29">
      <c r="B18" s="150"/>
      <c r="D18" s="283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</row>
    <row r="19" spans="2:29">
      <c r="H19" s="189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</row>
    <row r="20" spans="2:29" ht="9.75" thickBot="1">
      <c r="B20" s="182" t="s">
        <v>326</v>
      </c>
      <c r="C20" s="88">
        <v>2001</v>
      </c>
      <c r="D20" s="88">
        <v>2002</v>
      </c>
      <c r="E20" s="88">
        <v>2003</v>
      </c>
      <c r="F20" s="88">
        <v>2004</v>
      </c>
      <c r="G20" s="49" t="s">
        <v>469</v>
      </c>
      <c r="H20" s="88">
        <v>2005</v>
      </c>
      <c r="I20" s="88">
        <v>2006</v>
      </c>
      <c r="J20" s="88">
        <v>2007</v>
      </c>
      <c r="K20" s="88">
        <v>2008</v>
      </c>
      <c r="L20" s="88">
        <v>2009</v>
      </c>
      <c r="M20" s="88">
        <v>2010</v>
      </c>
      <c r="N20" s="88">
        <v>2011</v>
      </c>
      <c r="O20" s="88">
        <v>2012</v>
      </c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</row>
    <row r="21" spans="2:29" ht="9.75" thickTop="1">
      <c r="B21" s="234" t="s">
        <v>340</v>
      </c>
      <c r="C21" s="227">
        <f>GastoMateriales!C6/C6</f>
        <v>1</v>
      </c>
      <c r="D21" s="227">
        <f>GastoMateriales!D6/D6</f>
        <v>1.0018437685383483</v>
      </c>
      <c r="E21" s="227">
        <f>GastoMateriales!E6/E6</f>
        <v>1.054782341949442</v>
      </c>
      <c r="F21" s="227">
        <f>GastoMateriales!F6/F6</f>
        <v>1.1045877853242363</v>
      </c>
      <c r="G21" s="227">
        <f>GastoMateriales!G6/G6</f>
        <v>1.1745936413451494</v>
      </c>
      <c r="H21" s="227">
        <f>GastoMateriales!H6/H6</f>
        <v>1.1745936413451494</v>
      </c>
      <c r="I21" s="227">
        <f>GastoMateriales!I6/I6</f>
        <v>1.2047701953554779</v>
      </c>
      <c r="J21" s="227">
        <f>GastoMateriales!J6/J6</f>
        <v>1.2776518230766263</v>
      </c>
      <c r="K21" s="227">
        <f>GastoMateriales!K6/K6</f>
        <v>1.4209804764956835</v>
      </c>
      <c r="L21" s="227">
        <f>GastoMateriales!L6/L6</f>
        <v>1.4117429687885863</v>
      </c>
      <c r="M21" s="227">
        <f>GastoMateriales!M6/M6</f>
        <v>1.5405161178495137</v>
      </c>
      <c r="N21" s="227">
        <f>GastoMateriales!N6/N6</f>
        <v>1.6383288554086899</v>
      </c>
      <c r="O21" s="227">
        <f>GastoMateriales!O6/O6</f>
        <v>1.7755416954419407</v>
      </c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</row>
    <row r="22" spans="2:29">
      <c r="B22" s="237" t="s">
        <v>341</v>
      </c>
      <c r="C22" s="228">
        <f>GastoMateriales!C7/C7</f>
        <v>1</v>
      </c>
      <c r="D22" s="228">
        <f>GastoMateriales!D7/D7</f>
        <v>1.0018437685383483</v>
      </c>
      <c r="E22" s="228">
        <f>GastoMateriales!E7/E7</f>
        <v>1.054782341949442</v>
      </c>
      <c r="F22" s="228">
        <f>GastoMateriales!F7/F7</f>
        <v>1.1045877853242361</v>
      </c>
      <c r="G22" s="228">
        <f>GastoMateriales!G7/G7</f>
        <v>1.1745936413451494</v>
      </c>
      <c r="H22" s="228">
        <f>GastoMateriales!H7/H7</f>
        <v>1.1745936413451494</v>
      </c>
      <c r="I22" s="228">
        <f>GastoMateriales!I7/I7</f>
        <v>1.2047701953554779</v>
      </c>
      <c r="J22" s="228">
        <f>GastoMateriales!J7/J7</f>
        <v>1.2776518230766261</v>
      </c>
      <c r="K22" s="228">
        <f>GastoMateriales!K7/K7</f>
        <v>1.4209804764956833</v>
      </c>
      <c r="L22" s="228">
        <f>GastoMateriales!L7/L7</f>
        <v>1.4117429687885863</v>
      </c>
      <c r="M22" s="228">
        <f>GastoMateriales!M7/M7</f>
        <v>1.5405161178495139</v>
      </c>
      <c r="N22" s="228">
        <f>GastoMateriales!N7/N7</f>
        <v>1.6383288554086901</v>
      </c>
      <c r="O22" s="228">
        <f>GastoMateriales!O7/O7</f>
        <v>1.7755416954419407</v>
      </c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</row>
    <row r="23" spans="2:29">
      <c r="B23" s="234" t="s">
        <v>342</v>
      </c>
      <c r="C23" s="227">
        <f>GastoMateriales!C8/C8</f>
        <v>1</v>
      </c>
      <c r="D23" s="227">
        <f>GastoMateriales!D8/D8</f>
        <v>1.0018437685383483</v>
      </c>
      <c r="E23" s="227">
        <f>GastoMateriales!E8/E8</f>
        <v>1.054782341949442</v>
      </c>
      <c r="F23" s="227">
        <f>GastoMateriales!F8/F8</f>
        <v>1.1045877853242361</v>
      </c>
      <c r="G23" s="227">
        <f>GastoMateriales!G8/G8</f>
        <v>1.1745936413451494</v>
      </c>
      <c r="H23" s="227">
        <f>GastoMateriales!H8/H8</f>
        <v>1.1745936413451494</v>
      </c>
      <c r="I23" s="227">
        <f>GastoMateriales!I8/I8</f>
        <v>1.2047701953554779</v>
      </c>
      <c r="J23" s="227">
        <f>GastoMateriales!J8/J8</f>
        <v>1.2776518230766261</v>
      </c>
      <c r="K23" s="227">
        <f>GastoMateriales!K8/K8</f>
        <v>1.4209804764956833</v>
      </c>
      <c r="L23" s="227">
        <f>GastoMateriales!L8/L8</f>
        <v>1.4117429687885865</v>
      </c>
      <c r="M23" s="227">
        <f>GastoMateriales!M8/M8</f>
        <v>1.5405161178495137</v>
      </c>
      <c r="N23" s="227">
        <f>GastoMateriales!N8/N8</f>
        <v>1.6383288554086899</v>
      </c>
      <c r="O23" s="227">
        <f>GastoMateriales!O8/O8</f>
        <v>1.7755416954419407</v>
      </c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</row>
    <row r="24" spans="2:29">
      <c r="B24" s="237" t="s">
        <v>334</v>
      </c>
      <c r="C24" s="228">
        <f>GastoMateriales!C9/C9</f>
        <v>1</v>
      </c>
      <c r="D24" s="228">
        <f>GastoMateriales!D9/D9</f>
        <v>1.0018437685383486</v>
      </c>
      <c r="E24" s="228">
        <f>GastoMateriales!E9/E9</f>
        <v>1.0547823419494422</v>
      </c>
      <c r="F24" s="228">
        <f>GastoMateriales!F9/F9</f>
        <v>1.1045877853242363</v>
      </c>
      <c r="G24" s="228">
        <f>GastoMateriales!G9/G9</f>
        <v>1.1745936413451494</v>
      </c>
      <c r="H24" s="228">
        <f>GastoMateriales!H9/H9</f>
        <v>1.1745936413451494</v>
      </c>
      <c r="I24" s="228">
        <f>GastoMateriales!I9/I9</f>
        <v>1.2047701953554779</v>
      </c>
      <c r="J24" s="228">
        <f>GastoMateriales!J9/J9</f>
        <v>1.2776518230766261</v>
      </c>
      <c r="K24" s="228">
        <f>GastoMateriales!K9/K9</f>
        <v>1.4209804764956835</v>
      </c>
      <c r="L24" s="228">
        <f>GastoMateriales!L9/L9</f>
        <v>1.4117429687885863</v>
      </c>
      <c r="M24" s="228">
        <f>GastoMateriales!M9/M9</f>
        <v>1.5405161178495137</v>
      </c>
      <c r="N24" s="228">
        <f>GastoMateriales!N9/N9</f>
        <v>1.6383288554086901</v>
      </c>
      <c r="O24" s="228">
        <f>GastoMateriales!O9/O9</f>
        <v>1.7755416954419407</v>
      </c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</row>
    <row r="25" spans="2:29">
      <c r="B25" s="234" t="s">
        <v>335</v>
      </c>
      <c r="C25" s="227">
        <f>GastoMateriales!C10/C10</f>
        <v>1</v>
      </c>
      <c r="D25" s="227">
        <f>GastoMateriales!D10/D10</f>
        <v>1.0018437685383483</v>
      </c>
      <c r="E25" s="227">
        <f>GastoMateriales!E10/E10</f>
        <v>1.0547823419494422</v>
      </c>
      <c r="F25" s="227">
        <f>GastoMateriales!F10/F10</f>
        <v>1.1045877853242363</v>
      </c>
      <c r="G25" s="227">
        <f>GastoMateriales!G10/G10</f>
        <v>1.1745936413451497</v>
      </c>
      <c r="H25" s="227">
        <f>GastoMateriales!H10/H10</f>
        <v>1.1745936413451494</v>
      </c>
      <c r="I25" s="227">
        <f>GastoMateriales!I10/I10</f>
        <v>1.2047701953554779</v>
      </c>
      <c r="J25" s="227">
        <f>GastoMateriales!J10/J10</f>
        <v>1.2776518230766261</v>
      </c>
      <c r="K25" s="227">
        <f>GastoMateriales!K10/K10</f>
        <v>1.4209804764956835</v>
      </c>
      <c r="L25" s="227">
        <f>GastoMateriales!L10/L10</f>
        <v>1.4117429687885865</v>
      </c>
      <c r="M25" s="227">
        <f>GastoMateriales!M10/M10</f>
        <v>1.5405161178495137</v>
      </c>
      <c r="N25" s="227">
        <f>GastoMateriales!N10/N10</f>
        <v>1.6383288554086899</v>
      </c>
      <c r="O25" s="227">
        <f>GastoMateriales!O10/O10</f>
        <v>1.7755416954419407</v>
      </c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</row>
    <row r="26" spans="2:29">
      <c r="B26" s="237" t="s">
        <v>336</v>
      </c>
      <c r="C26" s="228">
        <f>GastoMateriales!C11/C11</f>
        <v>1</v>
      </c>
      <c r="D26" s="228">
        <f>GastoMateriales!D11/D11</f>
        <v>1.0018437685383483</v>
      </c>
      <c r="E26" s="228">
        <f>GastoMateriales!E11/E11</f>
        <v>1.054782341949442</v>
      </c>
      <c r="F26" s="228">
        <f>GastoMateriales!F11/F11</f>
        <v>1.1045877853242361</v>
      </c>
      <c r="G26" s="228">
        <f>GastoMateriales!G11/G11</f>
        <v>1.1745936413451494</v>
      </c>
      <c r="H26" s="228">
        <f>GastoMateriales!H11/H11</f>
        <v>1.1745936413451494</v>
      </c>
      <c r="I26" s="228">
        <f>GastoMateriales!I11/I11</f>
        <v>1.2047701953554781</v>
      </c>
      <c r="J26" s="228">
        <f>GastoMateriales!J11/J11</f>
        <v>1.2776518230766263</v>
      </c>
      <c r="K26" s="228">
        <f>GastoMateriales!K11/K11</f>
        <v>1.4209804764956835</v>
      </c>
      <c r="L26" s="228">
        <f>GastoMateriales!L11/L11</f>
        <v>1.4117429687885865</v>
      </c>
      <c r="M26" s="228">
        <f>GastoMateriales!M11/M11</f>
        <v>1.5405161178495137</v>
      </c>
      <c r="N26" s="228">
        <f>GastoMateriales!N11/N11</f>
        <v>1.6383288554086899</v>
      </c>
      <c r="O26" s="228">
        <f>GastoMateriales!O11/O11</f>
        <v>1.775541695441941</v>
      </c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</row>
    <row r="27" spans="2:29">
      <c r="B27" s="234" t="s">
        <v>344</v>
      </c>
      <c r="C27" s="256" t="str">
        <f>IF(ISERROR(GastoMateriales!C12/C12)=TRUE,"0",(GastoMateriales!C12/C12))</f>
        <v>0</v>
      </c>
      <c r="D27" s="256" t="str">
        <f>IF(ISERROR(GastoMateriales!D12/D12)=TRUE,"0",(GastoMateriales!D12/D12))</f>
        <v>0</v>
      </c>
      <c r="E27" s="256" t="str">
        <f>IF(ISERROR(GastoMateriales!E12/E12)=TRUE,"0",(GastoMateriales!E12/E12))</f>
        <v>0</v>
      </c>
      <c r="F27" s="256" t="str">
        <f>IF(ISERROR(GastoMateriales!F12/F12)=TRUE,"0",(GastoMateriales!F12/F12))</f>
        <v>0</v>
      </c>
      <c r="G27" s="256" t="str">
        <f>IF(ISERROR(GastoMateriales!G12/G12)=TRUE,"0",(GastoMateriales!G12/G12))</f>
        <v>0</v>
      </c>
      <c r="H27" s="256" t="str">
        <f>IF(ISERROR(GastoMateriales!H12/H12)=TRUE,"0",(GastoMateriales!H12/H12))</f>
        <v>0</v>
      </c>
      <c r="I27" s="256" t="str">
        <f>IF(ISERROR(GastoMateriales!I12/I12)=TRUE,"0",(GastoMateriales!I12/I12))</f>
        <v>0</v>
      </c>
      <c r="J27" s="256" t="str">
        <f>IF(ISERROR(GastoMateriales!J12/J12)=TRUE,"0",(GastoMateriales!J12/J12))</f>
        <v>0</v>
      </c>
      <c r="K27" s="256" t="str">
        <f>IF(ISERROR(GastoMateriales!K12/K12)=TRUE,"0",(GastoMateriales!K12/K12))</f>
        <v>0</v>
      </c>
      <c r="L27" s="256" t="str">
        <f>IF(ISERROR(GastoMateriales!L12/L12)=TRUE,"0",(GastoMateriales!L12/L12))</f>
        <v>0</v>
      </c>
      <c r="M27" s="256" t="str">
        <f>IF(ISERROR(GastoMateriales!M12/M12)=TRUE,"0",(GastoMateriales!M12/M12))</f>
        <v>0</v>
      </c>
      <c r="N27" s="256" t="str">
        <f>IF(ISERROR(GastoMateriales!N12/N12)=TRUE,"0",(GastoMateriales!N12/N12))</f>
        <v>0</v>
      </c>
      <c r="O27" s="256" t="str">
        <f>IF(ISERROR(GastoMateriales!O12/O12)=TRUE,"0",(GastoMateriales!O12/O12))</f>
        <v>0</v>
      </c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</row>
    <row r="28" spans="2:29">
      <c r="B28" s="237" t="s">
        <v>345</v>
      </c>
      <c r="C28" s="228">
        <f>GastoMateriales!C13/C13</f>
        <v>1</v>
      </c>
      <c r="D28" s="228">
        <f>GastoMateriales!D13/D13</f>
        <v>1.0018437685383483</v>
      </c>
      <c r="E28" s="228">
        <f>GastoMateriales!E13/E13</f>
        <v>1.0547823419494422</v>
      </c>
      <c r="F28" s="228">
        <f>GastoMateriales!F13/F13</f>
        <v>1.1045877853242363</v>
      </c>
      <c r="G28" s="228">
        <f>GastoMateriales!G13/G13</f>
        <v>1.1745936413451494</v>
      </c>
      <c r="H28" s="228">
        <f>GastoMateriales!H13/H13</f>
        <v>1.1745936413451494</v>
      </c>
      <c r="I28" s="228">
        <f>GastoMateriales!I13/I13</f>
        <v>1.2047701953554779</v>
      </c>
      <c r="J28" s="228">
        <f>GastoMateriales!J13/J13</f>
        <v>1.2776518230766263</v>
      </c>
      <c r="K28" s="228">
        <f>GastoMateriales!K13/K13</f>
        <v>1.4209804764956833</v>
      </c>
      <c r="L28" s="228">
        <f>GastoMateriales!L13/L13</f>
        <v>1.4117429687885865</v>
      </c>
      <c r="M28" s="228">
        <f>GastoMateriales!M13/M13</f>
        <v>1.5405161178495137</v>
      </c>
      <c r="N28" s="228">
        <f>GastoMateriales!N13/N13</f>
        <v>1.6383288554086899</v>
      </c>
      <c r="O28" s="228">
        <f>GastoMateriales!O13/O13</f>
        <v>1.7755416954419407</v>
      </c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</row>
    <row r="29" spans="2:29">
      <c r="B29" s="234" t="s">
        <v>346</v>
      </c>
      <c r="C29" s="227">
        <f>GastoMateriales!C14/C14</f>
        <v>1</v>
      </c>
      <c r="D29" s="227">
        <f>GastoMateriales!D14/D14</f>
        <v>1.0018437685383483</v>
      </c>
      <c r="E29" s="227">
        <f>GastoMateriales!E14/E14</f>
        <v>1.0547823419494418</v>
      </c>
      <c r="F29" s="227">
        <f>GastoMateriales!F14/F14</f>
        <v>1.1045877853242361</v>
      </c>
      <c r="G29" s="227">
        <f>GastoMateriales!G14/G14</f>
        <v>1.1745936413451494</v>
      </c>
      <c r="H29" s="227">
        <f>GastoMateriales!H14/H14</f>
        <v>1.1745936413451494</v>
      </c>
      <c r="I29" s="227">
        <f>GastoMateriales!I14/I14</f>
        <v>1.2047701953554777</v>
      </c>
      <c r="J29" s="227">
        <f>GastoMateriales!J14/J14</f>
        <v>1.2776518230766261</v>
      </c>
      <c r="K29" s="227">
        <f>GastoMateriales!K14/K14</f>
        <v>1.420980476495683</v>
      </c>
      <c r="L29" s="227">
        <f>GastoMateriales!L14/L14</f>
        <v>1.4117429687885861</v>
      </c>
      <c r="M29" s="227">
        <f>GastoMateriales!M14/M14</f>
        <v>1.5405161178495137</v>
      </c>
      <c r="N29" s="227">
        <f>GastoMateriales!N14/N14</f>
        <v>1.6383288554086899</v>
      </c>
      <c r="O29" s="227">
        <f>GastoMateriales!O14/O14</f>
        <v>1.7755416954419403</v>
      </c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</row>
    <row r="30" spans="2:29">
      <c r="B30" s="237" t="s">
        <v>347</v>
      </c>
      <c r="C30" s="228">
        <f>GastoMateriales!C15/C15</f>
        <v>1</v>
      </c>
      <c r="D30" s="228">
        <f>GastoMateriales!D15/D15</f>
        <v>1.0018437685383483</v>
      </c>
      <c r="E30" s="228">
        <f>GastoMateriales!E15/E15</f>
        <v>1.054782341949442</v>
      </c>
      <c r="F30" s="228">
        <f>GastoMateriales!F15/F15</f>
        <v>1.1045877853242361</v>
      </c>
      <c r="G30" s="228">
        <f>GastoMateriales!G15/G15</f>
        <v>1.1745936413451494</v>
      </c>
      <c r="H30" s="228">
        <f>GastoMateriales!H15/H15</f>
        <v>1.1745936413451494</v>
      </c>
      <c r="I30" s="228">
        <f>GastoMateriales!I15/I15</f>
        <v>1.2047701953554779</v>
      </c>
      <c r="J30" s="228">
        <f>GastoMateriales!J15/J15</f>
        <v>1.2776518230766261</v>
      </c>
      <c r="K30" s="228">
        <f>GastoMateriales!K15/K15</f>
        <v>1.4209804764956835</v>
      </c>
      <c r="L30" s="228">
        <f>GastoMateriales!L15/L15</f>
        <v>1.4117429687885863</v>
      </c>
      <c r="M30" s="228">
        <f>GastoMateriales!M15/M15</f>
        <v>1.5405161178495137</v>
      </c>
      <c r="N30" s="228">
        <f>GastoMateriales!N15/N15</f>
        <v>1.6383288554086899</v>
      </c>
      <c r="O30" s="228">
        <f>GastoMateriales!O15/O15</f>
        <v>1.7755416954419407</v>
      </c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</row>
    <row r="31" spans="2:29">
      <c r="B31" s="234" t="s">
        <v>348</v>
      </c>
      <c r="C31" s="227">
        <f>GastoMateriales!C16/C16</f>
        <v>1</v>
      </c>
      <c r="D31" s="227">
        <f>GastoMateriales!D16/D16</f>
        <v>1.0018437685383483</v>
      </c>
      <c r="E31" s="227">
        <f>GastoMateriales!E16/E16</f>
        <v>1.0547823419494422</v>
      </c>
      <c r="F31" s="227">
        <f>GastoMateriales!F16/F16</f>
        <v>1.1045877853242361</v>
      </c>
      <c r="G31" s="227">
        <f>GastoMateriales!G16/G16</f>
        <v>1.1745936413451494</v>
      </c>
      <c r="H31" s="227">
        <f>GastoMateriales!H16/H16</f>
        <v>1.1745936413451494</v>
      </c>
      <c r="I31" s="227">
        <f>GastoMateriales!I16/I16</f>
        <v>1.2047701953554781</v>
      </c>
      <c r="J31" s="227">
        <f>GastoMateriales!J16/J16</f>
        <v>1.2776518230766263</v>
      </c>
      <c r="K31" s="227">
        <f>GastoMateriales!K16/K16</f>
        <v>1.4209804764956835</v>
      </c>
      <c r="L31" s="227">
        <f>GastoMateriales!L16/L16</f>
        <v>1.4117429687885863</v>
      </c>
      <c r="M31" s="227">
        <f>GastoMateriales!M16/M16</f>
        <v>1.5405161178495135</v>
      </c>
      <c r="N31" s="227">
        <f>GastoMateriales!N16/N16</f>
        <v>1.6383288554086901</v>
      </c>
      <c r="O31" s="227">
        <f>GastoMateriales!O16/O16</f>
        <v>1.7755416954419405</v>
      </c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</row>
    <row r="32" spans="2:29">
      <c r="B32" s="150"/>
      <c r="F32" s="190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</row>
    <row r="33" spans="8:29">
      <c r="H33" s="189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</row>
  </sheetData>
  <mergeCells count="1">
    <mergeCell ref="E2:H2"/>
  </mergeCells>
  <hyperlinks>
    <hyperlink ref="E2:H2" location="Indice!D3" display="ÍNDICE"/>
  </hyperlinks>
  <pageMargins left="0.75" right="0.75" top="1" bottom="1" header="0" footer="0"/>
  <pageSetup scale="29" orientation="landscape" horizontalDpi="300" verticalDpi="300" r:id="rId1"/>
  <headerFooter alignWithMargins="0"/>
  <ignoredErrors>
    <ignoredError sqref="C6:N6 C7:N8 C13:N15 C10:N11 D9:N9 C31:H31 J31:O31 C16:H16 J16:N16" unlockedFormula="1"/>
  </ignoredErrors>
</worksheet>
</file>

<file path=xl/worksheets/sheet38.xml><?xml version="1.0" encoding="utf-8"?>
<worksheet xmlns="http://schemas.openxmlformats.org/spreadsheetml/2006/main" xmlns:r="http://schemas.openxmlformats.org/officeDocument/2006/relationships">
  <sheetPr codeName="Hoja30">
    <tabColor theme="6" tint="0.39997558519241921"/>
  </sheetPr>
  <dimension ref="B1:R25"/>
  <sheetViews>
    <sheetView showGridLines="0" workbookViewId="0">
      <selection activeCell="E1" sqref="E1:H1"/>
    </sheetView>
  </sheetViews>
  <sheetFormatPr baseColWidth="10" defaultRowHeight="9" outlineLevelRow="1"/>
  <cols>
    <col min="1" max="1" width="9.42578125" style="119" customWidth="1"/>
    <col min="2" max="2" width="25.140625" style="119" customWidth="1"/>
    <col min="3" max="15" width="8.5703125" style="119" customWidth="1"/>
    <col min="16" max="17" width="12.140625" style="119" customWidth="1"/>
    <col min="18" max="21" width="5.42578125" style="119" customWidth="1"/>
    <col min="22" max="255" width="11.42578125" style="119"/>
    <col min="256" max="256" width="9.42578125" style="119" customWidth="1"/>
    <col min="257" max="257" width="25.28515625" style="119" bestFit="1" customWidth="1"/>
    <col min="258" max="258" width="5.7109375" style="119" customWidth="1"/>
    <col min="259" max="259" width="10.42578125" style="119" customWidth="1"/>
    <col min="260" max="271" width="11.5703125" style="119" bestFit="1" customWidth="1"/>
    <col min="272" max="276" width="12.140625" style="119" customWidth="1"/>
    <col min="277" max="511" width="11.42578125" style="119"/>
    <col min="512" max="512" width="9.42578125" style="119" customWidth="1"/>
    <col min="513" max="513" width="25.28515625" style="119" bestFit="1" customWidth="1"/>
    <col min="514" max="514" width="5.7109375" style="119" customWidth="1"/>
    <col min="515" max="515" width="10.42578125" style="119" customWidth="1"/>
    <col min="516" max="527" width="11.5703125" style="119" bestFit="1" customWidth="1"/>
    <col min="528" max="532" width="12.140625" style="119" customWidth="1"/>
    <col min="533" max="767" width="11.42578125" style="119"/>
    <col min="768" max="768" width="9.42578125" style="119" customWidth="1"/>
    <col min="769" max="769" width="25.28515625" style="119" bestFit="1" customWidth="1"/>
    <col min="770" max="770" width="5.7109375" style="119" customWidth="1"/>
    <col min="771" max="771" width="10.42578125" style="119" customWidth="1"/>
    <col min="772" max="783" width="11.5703125" style="119" bestFit="1" customWidth="1"/>
    <col min="784" max="788" width="12.140625" style="119" customWidth="1"/>
    <col min="789" max="1023" width="11.42578125" style="119"/>
    <col min="1024" max="1024" width="9.42578125" style="119" customWidth="1"/>
    <col min="1025" max="1025" width="25.28515625" style="119" bestFit="1" customWidth="1"/>
    <col min="1026" max="1026" width="5.7109375" style="119" customWidth="1"/>
    <col min="1027" max="1027" width="10.42578125" style="119" customWidth="1"/>
    <col min="1028" max="1039" width="11.5703125" style="119" bestFit="1" customWidth="1"/>
    <col min="1040" max="1044" width="12.140625" style="119" customWidth="1"/>
    <col min="1045" max="1279" width="11.42578125" style="119"/>
    <col min="1280" max="1280" width="9.42578125" style="119" customWidth="1"/>
    <col min="1281" max="1281" width="25.28515625" style="119" bestFit="1" customWidth="1"/>
    <col min="1282" max="1282" width="5.7109375" style="119" customWidth="1"/>
    <col min="1283" max="1283" width="10.42578125" style="119" customWidth="1"/>
    <col min="1284" max="1295" width="11.5703125" style="119" bestFit="1" customWidth="1"/>
    <col min="1296" max="1300" width="12.140625" style="119" customWidth="1"/>
    <col min="1301" max="1535" width="11.42578125" style="119"/>
    <col min="1536" max="1536" width="9.42578125" style="119" customWidth="1"/>
    <col min="1537" max="1537" width="25.28515625" style="119" bestFit="1" customWidth="1"/>
    <col min="1538" max="1538" width="5.7109375" style="119" customWidth="1"/>
    <col min="1539" max="1539" width="10.42578125" style="119" customWidth="1"/>
    <col min="1540" max="1551" width="11.5703125" style="119" bestFit="1" customWidth="1"/>
    <col min="1552" max="1556" width="12.140625" style="119" customWidth="1"/>
    <col min="1557" max="1791" width="11.42578125" style="119"/>
    <col min="1792" max="1792" width="9.42578125" style="119" customWidth="1"/>
    <col min="1793" max="1793" width="25.28515625" style="119" bestFit="1" customWidth="1"/>
    <col min="1794" max="1794" width="5.7109375" style="119" customWidth="1"/>
    <col min="1795" max="1795" width="10.42578125" style="119" customWidth="1"/>
    <col min="1796" max="1807" width="11.5703125" style="119" bestFit="1" customWidth="1"/>
    <col min="1808" max="1812" width="12.140625" style="119" customWidth="1"/>
    <col min="1813" max="2047" width="11.42578125" style="119"/>
    <col min="2048" max="2048" width="9.42578125" style="119" customWidth="1"/>
    <col min="2049" max="2049" width="25.28515625" style="119" bestFit="1" customWidth="1"/>
    <col min="2050" max="2050" width="5.7109375" style="119" customWidth="1"/>
    <col min="2051" max="2051" width="10.42578125" style="119" customWidth="1"/>
    <col min="2052" max="2063" width="11.5703125" style="119" bestFit="1" customWidth="1"/>
    <col min="2064" max="2068" width="12.140625" style="119" customWidth="1"/>
    <col min="2069" max="2303" width="11.42578125" style="119"/>
    <col min="2304" max="2304" width="9.42578125" style="119" customWidth="1"/>
    <col min="2305" max="2305" width="25.28515625" style="119" bestFit="1" customWidth="1"/>
    <col min="2306" max="2306" width="5.7109375" style="119" customWidth="1"/>
    <col min="2307" max="2307" width="10.42578125" style="119" customWidth="1"/>
    <col min="2308" max="2319" width="11.5703125" style="119" bestFit="1" customWidth="1"/>
    <col min="2320" max="2324" width="12.140625" style="119" customWidth="1"/>
    <col min="2325" max="2559" width="11.42578125" style="119"/>
    <col min="2560" max="2560" width="9.42578125" style="119" customWidth="1"/>
    <col min="2561" max="2561" width="25.28515625" style="119" bestFit="1" customWidth="1"/>
    <col min="2562" max="2562" width="5.7109375" style="119" customWidth="1"/>
    <col min="2563" max="2563" width="10.42578125" style="119" customWidth="1"/>
    <col min="2564" max="2575" width="11.5703125" style="119" bestFit="1" customWidth="1"/>
    <col min="2576" max="2580" width="12.140625" style="119" customWidth="1"/>
    <col min="2581" max="2815" width="11.42578125" style="119"/>
    <col min="2816" max="2816" width="9.42578125" style="119" customWidth="1"/>
    <col min="2817" max="2817" width="25.28515625" style="119" bestFit="1" customWidth="1"/>
    <col min="2818" max="2818" width="5.7109375" style="119" customWidth="1"/>
    <col min="2819" max="2819" width="10.42578125" style="119" customWidth="1"/>
    <col min="2820" max="2831" width="11.5703125" style="119" bestFit="1" customWidth="1"/>
    <col min="2832" max="2836" width="12.140625" style="119" customWidth="1"/>
    <col min="2837" max="3071" width="11.42578125" style="119"/>
    <col min="3072" max="3072" width="9.42578125" style="119" customWidth="1"/>
    <col min="3073" max="3073" width="25.28515625" style="119" bestFit="1" customWidth="1"/>
    <col min="3074" max="3074" width="5.7109375" style="119" customWidth="1"/>
    <col min="3075" max="3075" width="10.42578125" style="119" customWidth="1"/>
    <col min="3076" max="3087" width="11.5703125" style="119" bestFit="1" customWidth="1"/>
    <col min="3088" max="3092" width="12.140625" style="119" customWidth="1"/>
    <col min="3093" max="3327" width="11.42578125" style="119"/>
    <col min="3328" max="3328" width="9.42578125" style="119" customWidth="1"/>
    <col min="3329" max="3329" width="25.28515625" style="119" bestFit="1" customWidth="1"/>
    <col min="3330" max="3330" width="5.7109375" style="119" customWidth="1"/>
    <col min="3331" max="3331" width="10.42578125" style="119" customWidth="1"/>
    <col min="3332" max="3343" width="11.5703125" style="119" bestFit="1" customWidth="1"/>
    <col min="3344" max="3348" width="12.140625" style="119" customWidth="1"/>
    <col min="3349" max="3583" width="11.42578125" style="119"/>
    <col min="3584" max="3584" width="9.42578125" style="119" customWidth="1"/>
    <col min="3585" max="3585" width="25.28515625" style="119" bestFit="1" customWidth="1"/>
    <col min="3586" max="3586" width="5.7109375" style="119" customWidth="1"/>
    <col min="3587" max="3587" width="10.42578125" style="119" customWidth="1"/>
    <col min="3588" max="3599" width="11.5703125" style="119" bestFit="1" customWidth="1"/>
    <col min="3600" max="3604" width="12.140625" style="119" customWidth="1"/>
    <col min="3605" max="3839" width="11.42578125" style="119"/>
    <col min="3840" max="3840" width="9.42578125" style="119" customWidth="1"/>
    <col min="3841" max="3841" width="25.28515625" style="119" bestFit="1" customWidth="1"/>
    <col min="3842" max="3842" width="5.7109375" style="119" customWidth="1"/>
    <col min="3843" max="3843" width="10.42578125" style="119" customWidth="1"/>
    <col min="3844" max="3855" width="11.5703125" style="119" bestFit="1" customWidth="1"/>
    <col min="3856" max="3860" width="12.140625" style="119" customWidth="1"/>
    <col min="3861" max="4095" width="11.42578125" style="119"/>
    <col min="4096" max="4096" width="9.42578125" style="119" customWidth="1"/>
    <col min="4097" max="4097" width="25.28515625" style="119" bestFit="1" customWidth="1"/>
    <col min="4098" max="4098" width="5.7109375" style="119" customWidth="1"/>
    <col min="4099" max="4099" width="10.42578125" style="119" customWidth="1"/>
    <col min="4100" max="4111" width="11.5703125" style="119" bestFit="1" customWidth="1"/>
    <col min="4112" max="4116" width="12.140625" style="119" customWidth="1"/>
    <col min="4117" max="4351" width="11.42578125" style="119"/>
    <col min="4352" max="4352" width="9.42578125" style="119" customWidth="1"/>
    <col min="4353" max="4353" width="25.28515625" style="119" bestFit="1" customWidth="1"/>
    <col min="4354" max="4354" width="5.7109375" style="119" customWidth="1"/>
    <col min="4355" max="4355" width="10.42578125" style="119" customWidth="1"/>
    <col min="4356" max="4367" width="11.5703125" style="119" bestFit="1" customWidth="1"/>
    <col min="4368" max="4372" width="12.140625" style="119" customWidth="1"/>
    <col min="4373" max="4607" width="11.42578125" style="119"/>
    <col min="4608" max="4608" width="9.42578125" style="119" customWidth="1"/>
    <col min="4609" max="4609" width="25.28515625" style="119" bestFit="1" customWidth="1"/>
    <col min="4610" max="4610" width="5.7109375" style="119" customWidth="1"/>
    <col min="4611" max="4611" width="10.42578125" style="119" customWidth="1"/>
    <col min="4612" max="4623" width="11.5703125" style="119" bestFit="1" customWidth="1"/>
    <col min="4624" max="4628" width="12.140625" style="119" customWidth="1"/>
    <col min="4629" max="4863" width="11.42578125" style="119"/>
    <col min="4864" max="4864" width="9.42578125" style="119" customWidth="1"/>
    <col min="4865" max="4865" width="25.28515625" style="119" bestFit="1" customWidth="1"/>
    <col min="4866" max="4866" width="5.7109375" style="119" customWidth="1"/>
    <col min="4867" max="4867" width="10.42578125" style="119" customWidth="1"/>
    <col min="4868" max="4879" width="11.5703125" style="119" bestFit="1" customWidth="1"/>
    <col min="4880" max="4884" width="12.140625" style="119" customWidth="1"/>
    <col min="4885" max="5119" width="11.42578125" style="119"/>
    <col min="5120" max="5120" width="9.42578125" style="119" customWidth="1"/>
    <col min="5121" max="5121" width="25.28515625" style="119" bestFit="1" customWidth="1"/>
    <col min="5122" max="5122" width="5.7109375" style="119" customWidth="1"/>
    <col min="5123" max="5123" width="10.42578125" style="119" customWidth="1"/>
    <col min="5124" max="5135" width="11.5703125" style="119" bestFit="1" customWidth="1"/>
    <col min="5136" max="5140" width="12.140625" style="119" customWidth="1"/>
    <col min="5141" max="5375" width="11.42578125" style="119"/>
    <col min="5376" max="5376" width="9.42578125" style="119" customWidth="1"/>
    <col min="5377" max="5377" width="25.28515625" style="119" bestFit="1" customWidth="1"/>
    <col min="5378" max="5378" width="5.7109375" style="119" customWidth="1"/>
    <col min="5379" max="5379" width="10.42578125" style="119" customWidth="1"/>
    <col min="5380" max="5391" width="11.5703125" style="119" bestFit="1" customWidth="1"/>
    <col min="5392" max="5396" width="12.140625" style="119" customWidth="1"/>
    <col min="5397" max="5631" width="11.42578125" style="119"/>
    <col min="5632" max="5632" width="9.42578125" style="119" customWidth="1"/>
    <col min="5633" max="5633" width="25.28515625" style="119" bestFit="1" customWidth="1"/>
    <col min="5634" max="5634" width="5.7109375" style="119" customWidth="1"/>
    <col min="5635" max="5635" width="10.42578125" style="119" customWidth="1"/>
    <col min="5636" max="5647" width="11.5703125" style="119" bestFit="1" customWidth="1"/>
    <col min="5648" max="5652" width="12.140625" style="119" customWidth="1"/>
    <col min="5653" max="5887" width="11.42578125" style="119"/>
    <col min="5888" max="5888" width="9.42578125" style="119" customWidth="1"/>
    <col min="5889" max="5889" width="25.28515625" style="119" bestFit="1" customWidth="1"/>
    <col min="5890" max="5890" width="5.7109375" style="119" customWidth="1"/>
    <col min="5891" max="5891" width="10.42578125" style="119" customWidth="1"/>
    <col min="5892" max="5903" width="11.5703125" style="119" bestFit="1" customWidth="1"/>
    <col min="5904" max="5908" width="12.140625" style="119" customWidth="1"/>
    <col min="5909" max="6143" width="11.42578125" style="119"/>
    <col min="6144" max="6144" width="9.42578125" style="119" customWidth="1"/>
    <col min="6145" max="6145" width="25.28515625" style="119" bestFit="1" customWidth="1"/>
    <col min="6146" max="6146" width="5.7109375" style="119" customWidth="1"/>
    <col min="6147" max="6147" width="10.42578125" style="119" customWidth="1"/>
    <col min="6148" max="6159" width="11.5703125" style="119" bestFit="1" customWidth="1"/>
    <col min="6160" max="6164" width="12.140625" style="119" customWidth="1"/>
    <col min="6165" max="6399" width="11.42578125" style="119"/>
    <col min="6400" max="6400" width="9.42578125" style="119" customWidth="1"/>
    <col min="6401" max="6401" width="25.28515625" style="119" bestFit="1" customWidth="1"/>
    <col min="6402" max="6402" width="5.7109375" style="119" customWidth="1"/>
    <col min="6403" max="6403" width="10.42578125" style="119" customWidth="1"/>
    <col min="6404" max="6415" width="11.5703125" style="119" bestFit="1" customWidth="1"/>
    <col min="6416" max="6420" width="12.140625" style="119" customWidth="1"/>
    <col min="6421" max="6655" width="11.42578125" style="119"/>
    <col min="6656" max="6656" width="9.42578125" style="119" customWidth="1"/>
    <col min="6657" max="6657" width="25.28515625" style="119" bestFit="1" customWidth="1"/>
    <col min="6658" max="6658" width="5.7109375" style="119" customWidth="1"/>
    <col min="6659" max="6659" width="10.42578125" style="119" customWidth="1"/>
    <col min="6660" max="6671" width="11.5703125" style="119" bestFit="1" customWidth="1"/>
    <col min="6672" max="6676" width="12.140625" style="119" customWidth="1"/>
    <col min="6677" max="6911" width="11.42578125" style="119"/>
    <col min="6912" max="6912" width="9.42578125" style="119" customWidth="1"/>
    <col min="6913" max="6913" width="25.28515625" style="119" bestFit="1" customWidth="1"/>
    <col min="6914" max="6914" width="5.7109375" style="119" customWidth="1"/>
    <col min="6915" max="6915" width="10.42578125" style="119" customWidth="1"/>
    <col min="6916" max="6927" width="11.5703125" style="119" bestFit="1" customWidth="1"/>
    <col min="6928" max="6932" width="12.140625" style="119" customWidth="1"/>
    <col min="6933" max="7167" width="11.42578125" style="119"/>
    <col min="7168" max="7168" width="9.42578125" style="119" customWidth="1"/>
    <col min="7169" max="7169" width="25.28515625" style="119" bestFit="1" customWidth="1"/>
    <col min="7170" max="7170" width="5.7109375" style="119" customWidth="1"/>
    <col min="7171" max="7171" width="10.42578125" style="119" customWidth="1"/>
    <col min="7172" max="7183" width="11.5703125" style="119" bestFit="1" customWidth="1"/>
    <col min="7184" max="7188" width="12.140625" style="119" customWidth="1"/>
    <col min="7189" max="7423" width="11.42578125" style="119"/>
    <col min="7424" max="7424" width="9.42578125" style="119" customWidth="1"/>
    <col min="7425" max="7425" width="25.28515625" style="119" bestFit="1" customWidth="1"/>
    <col min="7426" max="7426" width="5.7109375" style="119" customWidth="1"/>
    <col min="7427" max="7427" width="10.42578125" style="119" customWidth="1"/>
    <col min="7428" max="7439" width="11.5703125" style="119" bestFit="1" customWidth="1"/>
    <col min="7440" max="7444" width="12.140625" style="119" customWidth="1"/>
    <col min="7445" max="7679" width="11.42578125" style="119"/>
    <col min="7680" max="7680" width="9.42578125" style="119" customWidth="1"/>
    <col min="7681" max="7681" width="25.28515625" style="119" bestFit="1" customWidth="1"/>
    <col min="7682" max="7682" width="5.7109375" style="119" customWidth="1"/>
    <col min="7683" max="7683" width="10.42578125" style="119" customWidth="1"/>
    <col min="7684" max="7695" width="11.5703125" style="119" bestFit="1" customWidth="1"/>
    <col min="7696" max="7700" width="12.140625" style="119" customWidth="1"/>
    <col min="7701" max="7935" width="11.42578125" style="119"/>
    <col min="7936" max="7936" width="9.42578125" style="119" customWidth="1"/>
    <col min="7937" max="7937" width="25.28515625" style="119" bestFit="1" customWidth="1"/>
    <col min="7938" max="7938" width="5.7109375" style="119" customWidth="1"/>
    <col min="7939" max="7939" width="10.42578125" style="119" customWidth="1"/>
    <col min="7940" max="7951" width="11.5703125" style="119" bestFit="1" customWidth="1"/>
    <col min="7952" max="7956" width="12.140625" style="119" customWidth="1"/>
    <col min="7957" max="8191" width="11.42578125" style="119"/>
    <col min="8192" max="8192" width="9.42578125" style="119" customWidth="1"/>
    <col min="8193" max="8193" width="25.28515625" style="119" bestFit="1" customWidth="1"/>
    <col min="8194" max="8194" width="5.7109375" style="119" customWidth="1"/>
    <col min="8195" max="8195" width="10.42578125" style="119" customWidth="1"/>
    <col min="8196" max="8207" width="11.5703125" style="119" bestFit="1" customWidth="1"/>
    <col min="8208" max="8212" width="12.140625" style="119" customWidth="1"/>
    <col min="8213" max="8447" width="11.42578125" style="119"/>
    <col min="8448" max="8448" width="9.42578125" style="119" customWidth="1"/>
    <col min="8449" max="8449" width="25.28515625" style="119" bestFit="1" customWidth="1"/>
    <col min="8450" max="8450" width="5.7109375" style="119" customWidth="1"/>
    <col min="8451" max="8451" width="10.42578125" style="119" customWidth="1"/>
    <col min="8452" max="8463" width="11.5703125" style="119" bestFit="1" customWidth="1"/>
    <col min="8464" max="8468" width="12.140625" style="119" customWidth="1"/>
    <col min="8469" max="8703" width="11.42578125" style="119"/>
    <col min="8704" max="8704" width="9.42578125" style="119" customWidth="1"/>
    <col min="8705" max="8705" width="25.28515625" style="119" bestFit="1" customWidth="1"/>
    <col min="8706" max="8706" width="5.7109375" style="119" customWidth="1"/>
    <col min="8707" max="8707" width="10.42578125" style="119" customWidth="1"/>
    <col min="8708" max="8719" width="11.5703125" style="119" bestFit="1" customWidth="1"/>
    <col min="8720" max="8724" width="12.140625" style="119" customWidth="1"/>
    <col min="8725" max="8959" width="11.42578125" style="119"/>
    <col min="8960" max="8960" width="9.42578125" style="119" customWidth="1"/>
    <col min="8961" max="8961" width="25.28515625" style="119" bestFit="1" customWidth="1"/>
    <col min="8962" max="8962" width="5.7109375" style="119" customWidth="1"/>
    <col min="8963" max="8963" width="10.42578125" style="119" customWidth="1"/>
    <col min="8964" max="8975" width="11.5703125" style="119" bestFit="1" customWidth="1"/>
    <col min="8976" max="8980" width="12.140625" style="119" customWidth="1"/>
    <col min="8981" max="9215" width="11.42578125" style="119"/>
    <col min="9216" max="9216" width="9.42578125" style="119" customWidth="1"/>
    <col min="9217" max="9217" width="25.28515625" style="119" bestFit="1" customWidth="1"/>
    <col min="9218" max="9218" width="5.7109375" style="119" customWidth="1"/>
    <col min="9219" max="9219" width="10.42578125" style="119" customWidth="1"/>
    <col min="9220" max="9231" width="11.5703125" style="119" bestFit="1" customWidth="1"/>
    <col min="9232" max="9236" width="12.140625" style="119" customWidth="1"/>
    <col min="9237" max="9471" width="11.42578125" style="119"/>
    <col min="9472" max="9472" width="9.42578125" style="119" customWidth="1"/>
    <col min="9473" max="9473" width="25.28515625" style="119" bestFit="1" customWidth="1"/>
    <col min="9474" max="9474" width="5.7109375" style="119" customWidth="1"/>
    <col min="9475" max="9475" width="10.42578125" style="119" customWidth="1"/>
    <col min="9476" max="9487" width="11.5703125" style="119" bestFit="1" customWidth="1"/>
    <col min="9488" max="9492" width="12.140625" style="119" customWidth="1"/>
    <col min="9493" max="9727" width="11.42578125" style="119"/>
    <col min="9728" max="9728" width="9.42578125" style="119" customWidth="1"/>
    <col min="9729" max="9729" width="25.28515625" style="119" bestFit="1" customWidth="1"/>
    <col min="9730" max="9730" width="5.7109375" style="119" customWidth="1"/>
    <col min="9731" max="9731" width="10.42578125" style="119" customWidth="1"/>
    <col min="9732" max="9743" width="11.5703125" style="119" bestFit="1" customWidth="1"/>
    <col min="9744" max="9748" width="12.140625" style="119" customWidth="1"/>
    <col min="9749" max="9983" width="11.42578125" style="119"/>
    <col min="9984" max="9984" width="9.42578125" style="119" customWidth="1"/>
    <col min="9985" max="9985" width="25.28515625" style="119" bestFit="1" customWidth="1"/>
    <col min="9986" max="9986" width="5.7109375" style="119" customWidth="1"/>
    <col min="9987" max="9987" width="10.42578125" style="119" customWidth="1"/>
    <col min="9988" max="9999" width="11.5703125" style="119" bestFit="1" customWidth="1"/>
    <col min="10000" max="10004" width="12.140625" style="119" customWidth="1"/>
    <col min="10005" max="10239" width="11.42578125" style="119"/>
    <col min="10240" max="10240" width="9.42578125" style="119" customWidth="1"/>
    <col min="10241" max="10241" width="25.28515625" style="119" bestFit="1" customWidth="1"/>
    <col min="10242" max="10242" width="5.7109375" style="119" customWidth="1"/>
    <col min="10243" max="10243" width="10.42578125" style="119" customWidth="1"/>
    <col min="10244" max="10255" width="11.5703125" style="119" bestFit="1" customWidth="1"/>
    <col min="10256" max="10260" width="12.140625" style="119" customWidth="1"/>
    <col min="10261" max="10495" width="11.42578125" style="119"/>
    <col min="10496" max="10496" width="9.42578125" style="119" customWidth="1"/>
    <col min="10497" max="10497" width="25.28515625" style="119" bestFit="1" customWidth="1"/>
    <col min="10498" max="10498" width="5.7109375" style="119" customWidth="1"/>
    <col min="10499" max="10499" width="10.42578125" style="119" customWidth="1"/>
    <col min="10500" max="10511" width="11.5703125" style="119" bestFit="1" customWidth="1"/>
    <col min="10512" max="10516" width="12.140625" style="119" customWidth="1"/>
    <col min="10517" max="10751" width="11.42578125" style="119"/>
    <col min="10752" max="10752" width="9.42578125" style="119" customWidth="1"/>
    <col min="10753" max="10753" width="25.28515625" style="119" bestFit="1" customWidth="1"/>
    <col min="10754" max="10754" width="5.7109375" style="119" customWidth="1"/>
    <col min="10755" max="10755" width="10.42578125" style="119" customWidth="1"/>
    <col min="10756" max="10767" width="11.5703125" style="119" bestFit="1" customWidth="1"/>
    <col min="10768" max="10772" width="12.140625" style="119" customWidth="1"/>
    <col min="10773" max="11007" width="11.42578125" style="119"/>
    <col min="11008" max="11008" width="9.42578125" style="119" customWidth="1"/>
    <col min="11009" max="11009" width="25.28515625" style="119" bestFit="1" customWidth="1"/>
    <col min="11010" max="11010" width="5.7109375" style="119" customWidth="1"/>
    <col min="11011" max="11011" width="10.42578125" style="119" customWidth="1"/>
    <col min="11012" max="11023" width="11.5703125" style="119" bestFit="1" customWidth="1"/>
    <col min="11024" max="11028" width="12.140625" style="119" customWidth="1"/>
    <col min="11029" max="11263" width="11.42578125" style="119"/>
    <col min="11264" max="11264" width="9.42578125" style="119" customWidth="1"/>
    <col min="11265" max="11265" width="25.28515625" style="119" bestFit="1" customWidth="1"/>
    <col min="11266" max="11266" width="5.7109375" style="119" customWidth="1"/>
    <col min="11267" max="11267" width="10.42578125" style="119" customWidth="1"/>
    <col min="11268" max="11279" width="11.5703125" style="119" bestFit="1" customWidth="1"/>
    <col min="11280" max="11284" width="12.140625" style="119" customWidth="1"/>
    <col min="11285" max="11519" width="11.42578125" style="119"/>
    <col min="11520" max="11520" width="9.42578125" style="119" customWidth="1"/>
    <col min="11521" max="11521" width="25.28515625" style="119" bestFit="1" customWidth="1"/>
    <col min="11522" max="11522" width="5.7109375" style="119" customWidth="1"/>
    <col min="11523" max="11523" width="10.42578125" style="119" customWidth="1"/>
    <col min="11524" max="11535" width="11.5703125" style="119" bestFit="1" customWidth="1"/>
    <col min="11536" max="11540" width="12.140625" style="119" customWidth="1"/>
    <col min="11541" max="11775" width="11.42578125" style="119"/>
    <col min="11776" max="11776" width="9.42578125" style="119" customWidth="1"/>
    <col min="11777" max="11777" width="25.28515625" style="119" bestFit="1" customWidth="1"/>
    <col min="11778" max="11778" width="5.7109375" style="119" customWidth="1"/>
    <col min="11779" max="11779" width="10.42578125" style="119" customWidth="1"/>
    <col min="11780" max="11791" width="11.5703125" style="119" bestFit="1" customWidth="1"/>
    <col min="11792" max="11796" width="12.140625" style="119" customWidth="1"/>
    <col min="11797" max="12031" width="11.42578125" style="119"/>
    <col min="12032" max="12032" width="9.42578125" style="119" customWidth="1"/>
    <col min="12033" max="12033" width="25.28515625" style="119" bestFit="1" customWidth="1"/>
    <col min="12034" max="12034" width="5.7109375" style="119" customWidth="1"/>
    <col min="12035" max="12035" width="10.42578125" style="119" customWidth="1"/>
    <col min="12036" max="12047" width="11.5703125" style="119" bestFit="1" customWidth="1"/>
    <col min="12048" max="12052" width="12.140625" style="119" customWidth="1"/>
    <col min="12053" max="12287" width="11.42578125" style="119"/>
    <col min="12288" max="12288" width="9.42578125" style="119" customWidth="1"/>
    <col min="12289" max="12289" width="25.28515625" style="119" bestFit="1" customWidth="1"/>
    <col min="12290" max="12290" width="5.7109375" style="119" customWidth="1"/>
    <col min="12291" max="12291" width="10.42578125" style="119" customWidth="1"/>
    <col min="12292" max="12303" width="11.5703125" style="119" bestFit="1" customWidth="1"/>
    <col min="12304" max="12308" width="12.140625" style="119" customWidth="1"/>
    <col min="12309" max="12543" width="11.42578125" style="119"/>
    <col min="12544" max="12544" width="9.42578125" style="119" customWidth="1"/>
    <col min="12545" max="12545" width="25.28515625" style="119" bestFit="1" customWidth="1"/>
    <col min="12546" max="12546" width="5.7109375" style="119" customWidth="1"/>
    <col min="12547" max="12547" width="10.42578125" style="119" customWidth="1"/>
    <col min="12548" max="12559" width="11.5703125" style="119" bestFit="1" customWidth="1"/>
    <col min="12560" max="12564" width="12.140625" style="119" customWidth="1"/>
    <col min="12565" max="12799" width="11.42578125" style="119"/>
    <col min="12800" max="12800" width="9.42578125" style="119" customWidth="1"/>
    <col min="12801" max="12801" width="25.28515625" style="119" bestFit="1" customWidth="1"/>
    <col min="12802" max="12802" width="5.7109375" style="119" customWidth="1"/>
    <col min="12803" max="12803" width="10.42578125" style="119" customWidth="1"/>
    <col min="12804" max="12815" width="11.5703125" style="119" bestFit="1" customWidth="1"/>
    <col min="12816" max="12820" width="12.140625" style="119" customWidth="1"/>
    <col min="12821" max="13055" width="11.42578125" style="119"/>
    <col min="13056" max="13056" width="9.42578125" style="119" customWidth="1"/>
    <col min="13057" max="13057" width="25.28515625" style="119" bestFit="1" customWidth="1"/>
    <col min="13058" max="13058" width="5.7109375" style="119" customWidth="1"/>
    <col min="13059" max="13059" width="10.42578125" style="119" customWidth="1"/>
    <col min="13060" max="13071" width="11.5703125" style="119" bestFit="1" customWidth="1"/>
    <col min="13072" max="13076" width="12.140625" style="119" customWidth="1"/>
    <col min="13077" max="13311" width="11.42578125" style="119"/>
    <col min="13312" max="13312" width="9.42578125" style="119" customWidth="1"/>
    <col min="13313" max="13313" width="25.28515625" style="119" bestFit="1" customWidth="1"/>
    <col min="13314" max="13314" width="5.7109375" style="119" customWidth="1"/>
    <col min="13315" max="13315" width="10.42578125" style="119" customWidth="1"/>
    <col min="13316" max="13327" width="11.5703125" style="119" bestFit="1" customWidth="1"/>
    <col min="13328" max="13332" width="12.140625" style="119" customWidth="1"/>
    <col min="13333" max="13567" width="11.42578125" style="119"/>
    <col min="13568" max="13568" width="9.42578125" style="119" customWidth="1"/>
    <col min="13569" max="13569" width="25.28515625" style="119" bestFit="1" customWidth="1"/>
    <col min="13570" max="13570" width="5.7109375" style="119" customWidth="1"/>
    <col min="13571" max="13571" width="10.42578125" style="119" customWidth="1"/>
    <col min="13572" max="13583" width="11.5703125" style="119" bestFit="1" customWidth="1"/>
    <col min="13584" max="13588" width="12.140625" style="119" customWidth="1"/>
    <col min="13589" max="13823" width="11.42578125" style="119"/>
    <col min="13824" max="13824" width="9.42578125" style="119" customWidth="1"/>
    <col min="13825" max="13825" width="25.28515625" style="119" bestFit="1" customWidth="1"/>
    <col min="13826" max="13826" width="5.7109375" style="119" customWidth="1"/>
    <col min="13827" max="13827" width="10.42578125" style="119" customWidth="1"/>
    <col min="13828" max="13839" width="11.5703125" style="119" bestFit="1" customWidth="1"/>
    <col min="13840" max="13844" width="12.140625" style="119" customWidth="1"/>
    <col min="13845" max="14079" width="11.42578125" style="119"/>
    <col min="14080" max="14080" width="9.42578125" style="119" customWidth="1"/>
    <col min="14081" max="14081" width="25.28515625" style="119" bestFit="1" customWidth="1"/>
    <col min="14082" max="14082" width="5.7109375" style="119" customWidth="1"/>
    <col min="14083" max="14083" width="10.42578125" style="119" customWidth="1"/>
    <col min="14084" max="14095" width="11.5703125" style="119" bestFit="1" customWidth="1"/>
    <col min="14096" max="14100" width="12.140625" style="119" customWidth="1"/>
    <col min="14101" max="14335" width="11.42578125" style="119"/>
    <col min="14336" max="14336" width="9.42578125" style="119" customWidth="1"/>
    <col min="14337" max="14337" width="25.28515625" style="119" bestFit="1" customWidth="1"/>
    <col min="14338" max="14338" width="5.7109375" style="119" customWidth="1"/>
    <col min="14339" max="14339" width="10.42578125" style="119" customWidth="1"/>
    <col min="14340" max="14351" width="11.5703125" style="119" bestFit="1" customWidth="1"/>
    <col min="14352" max="14356" width="12.140625" style="119" customWidth="1"/>
    <col min="14357" max="14591" width="11.42578125" style="119"/>
    <col min="14592" max="14592" width="9.42578125" style="119" customWidth="1"/>
    <col min="14593" max="14593" width="25.28515625" style="119" bestFit="1" customWidth="1"/>
    <col min="14594" max="14594" width="5.7109375" style="119" customWidth="1"/>
    <col min="14595" max="14595" width="10.42578125" style="119" customWidth="1"/>
    <col min="14596" max="14607" width="11.5703125" style="119" bestFit="1" customWidth="1"/>
    <col min="14608" max="14612" width="12.140625" style="119" customWidth="1"/>
    <col min="14613" max="14847" width="11.42578125" style="119"/>
    <col min="14848" max="14848" width="9.42578125" style="119" customWidth="1"/>
    <col min="14849" max="14849" width="25.28515625" style="119" bestFit="1" customWidth="1"/>
    <col min="14850" max="14850" width="5.7109375" style="119" customWidth="1"/>
    <col min="14851" max="14851" width="10.42578125" style="119" customWidth="1"/>
    <col min="14852" max="14863" width="11.5703125" style="119" bestFit="1" customWidth="1"/>
    <col min="14864" max="14868" width="12.140625" style="119" customWidth="1"/>
    <col min="14869" max="15103" width="11.42578125" style="119"/>
    <col min="15104" max="15104" width="9.42578125" style="119" customWidth="1"/>
    <col min="15105" max="15105" width="25.28515625" style="119" bestFit="1" customWidth="1"/>
    <col min="15106" max="15106" width="5.7109375" style="119" customWidth="1"/>
    <col min="15107" max="15107" width="10.42578125" style="119" customWidth="1"/>
    <col min="15108" max="15119" width="11.5703125" style="119" bestFit="1" customWidth="1"/>
    <col min="15120" max="15124" width="12.140625" style="119" customWidth="1"/>
    <col min="15125" max="15359" width="11.42578125" style="119"/>
    <col min="15360" max="15360" width="9.42578125" style="119" customWidth="1"/>
    <col min="15361" max="15361" width="25.28515625" style="119" bestFit="1" customWidth="1"/>
    <col min="15362" max="15362" width="5.7109375" style="119" customWidth="1"/>
    <col min="15363" max="15363" width="10.42578125" style="119" customWidth="1"/>
    <col min="15364" max="15375" width="11.5703125" style="119" bestFit="1" customWidth="1"/>
    <col min="15376" max="15380" width="12.140625" style="119" customWidth="1"/>
    <col min="15381" max="15615" width="11.42578125" style="119"/>
    <col min="15616" max="15616" width="9.42578125" style="119" customWidth="1"/>
    <col min="15617" max="15617" width="25.28515625" style="119" bestFit="1" customWidth="1"/>
    <col min="15618" max="15618" width="5.7109375" style="119" customWidth="1"/>
    <col min="15619" max="15619" width="10.42578125" style="119" customWidth="1"/>
    <col min="15620" max="15631" width="11.5703125" style="119" bestFit="1" customWidth="1"/>
    <col min="15632" max="15636" width="12.140625" style="119" customWidth="1"/>
    <col min="15637" max="15871" width="11.42578125" style="119"/>
    <col min="15872" max="15872" width="9.42578125" style="119" customWidth="1"/>
    <col min="15873" max="15873" width="25.28515625" style="119" bestFit="1" customWidth="1"/>
    <col min="15874" max="15874" width="5.7109375" style="119" customWidth="1"/>
    <col min="15875" max="15875" width="10.42578125" style="119" customWidth="1"/>
    <col min="15876" max="15887" width="11.5703125" style="119" bestFit="1" customWidth="1"/>
    <col min="15888" max="15892" width="12.140625" style="119" customWidth="1"/>
    <col min="15893" max="16127" width="11.42578125" style="119"/>
    <col min="16128" max="16128" width="9.42578125" style="119" customWidth="1"/>
    <col min="16129" max="16129" width="25.28515625" style="119" bestFit="1" customWidth="1"/>
    <col min="16130" max="16130" width="5.7109375" style="119" customWidth="1"/>
    <col min="16131" max="16131" width="10.42578125" style="119" customWidth="1"/>
    <col min="16132" max="16143" width="11.5703125" style="119" bestFit="1" customWidth="1"/>
    <col min="16144" max="16148" width="12.140625" style="119" customWidth="1"/>
    <col min="16149" max="16384" width="11.42578125" style="119"/>
  </cols>
  <sheetData>
    <row r="1" spans="2:18" ht="15">
      <c r="E1" s="444" t="s">
        <v>555</v>
      </c>
      <c r="F1" s="444"/>
      <c r="G1" s="444"/>
      <c r="H1" s="444"/>
    </row>
    <row r="3" spans="2:18" ht="9.75" thickBot="1">
      <c r="B3" s="88"/>
      <c r="C3" s="88">
        <v>2001</v>
      </c>
      <c r="D3" s="90">
        <f>C3+1</f>
        <v>2002</v>
      </c>
      <c r="E3" s="90">
        <f>D3+1</f>
        <v>2003</v>
      </c>
      <c r="F3" s="90">
        <f>E3+1</f>
        <v>2004</v>
      </c>
      <c r="G3" s="49" t="s">
        <v>469</v>
      </c>
      <c r="H3" s="88">
        <v>2005</v>
      </c>
      <c r="I3" s="88">
        <v>2001</v>
      </c>
      <c r="J3" s="90">
        <f>I3+1</f>
        <v>2002</v>
      </c>
      <c r="K3" s="90">
        <f>J3+1</f>
        <v>2003</v>
      </c>
      <c r="L3" s="90">
        <f>K3+1</f>
        <v>2004</v>
      </c>
      <c r="M3" s="90">
        <f>L3+1</f>
        <v>2005</v>
      </c>
      <c r="N3" s="90">
        <f t="shared" ref="N3:O3" si="0">M3+1</f>
        <v>2006</v>
      </c>
      <c r="O3" s="90">
        <f t="shared" si="0"/>
        <v>2007</v>
      </c>
    </row>
    <row r="4" spans="2:18" ht="9.75" thickTop="1">
      <c r="B4" s="225" t="s">
        <v>185</v>
      </c>
      <c r="C4" s="225"/>
      <c r="D4" s="234">
        <f>+D5/D6</f>
        <v>1.0354329590482707</v>
      </c>
      <c r="E4" s="234">
        <f t="shared" ref="E4:O4" si="1">+E5/E6</f>
        <v>1.0603381096205227</v>
      </c>
      <c r="F4" s="234">
        <f t="shared" si="1"/>
        <v>0.96570137904799469</v>
      </c>
      <c r="G4" s="234">
        <f t="shared" si="1"/>
        <v>0.97315491059952564</v>
      </c>
      <c r="H4" s="234"/>
      <c r="I4" s="234">
        <f t="shared" si="1"/>
        <v>1.0874539673898869</v>
      </c>
      <c r="J4" s="234">
        <f t="shared" si="1"/>
        <v>0.9958173106119862</v>
      </c>
      <c r="K4" s="234">
        <f t="shared" si="1"/>
        <v>0.97961662312286435</v>
      </c>
      <c r="L4" s="234">
        <f t="shared" si="1"/>
        <v>1.0617371993790057</v>
      </c>
      <c r="M4" s="234">
        <f t="shared" si="1"/>
        <v>0.96040846776316702</v>
      </c>
      <c r="N4" s="234">
        <f t="shared" si="1"/>
        <v>1.111635959409099</v>
      </c>
      <c r="O4" s="234">
        <f t="shared" si="1"/>
        <v>1.0492303115537249</v>
      </c>
      <c r="P4" s="275"/>
      <c r="Q4" s="276"/>
    </row>
    <row r="5" spans="2:18" outlineLevel="1">
      <c r="B5" s="220" t="s">
        <v>327</v>
      </c>
      <c r="C5" s="220"/>
      <c r="D5" s="220">
        <f>+SUMPRODUCT(PreciosImplicitoDeMateriales!D6:D16,PreciosImplicitoDeMateriales!C21:C31)</f>
        <v>9178077.7490038723</v>
      </c>
      <c r="E5" s="220">
        <f>+SUMPRODUCT(PreciosImplicitoDeMateriales!E6:E16,PreciosImplicitoDeMateriales!D21:D31)</f>
        <v>9749808.9179607052</v>
      </c>
      <c r="F5" s="220">
        <f>+SUMPRODUCT(PreciosImplicitoDeMateriales!F6:F16,PreciosImplicitoDeMateriales!E21:E31)</f>
        <v>9912924.6559276655</v>
      </c>
      <c r="G5" s="220">
        <f>+SUMPRODUCT(PreciosImplicitoDeMateriales!G6:G16,PreciosImplicitoDeMateriales!F21:F31)</f>
        <v>10102321.126933675</v>
      </c>
      <c r="H5" s="220"/>
      <c r="I5" s="220">
        <f>+SUMPRODUCT(PreciosImplicitoDeMateriales!I6:I16,PreciosImplicitoDeMateriales!H21:H31)</f>
        <v>11895658.929959109</v>
      </c>
      <c r="J5" s="220">
        <f>+SUMPRODUCT(PreciosImplicitoDeMateriales!J6:J16,PreciosImplicitoDeMateriales!I21:I31)</f>
        <v>12150236.873268019</v>
      </c>
      <c r="K5" s="220">
        <f>+SUMPRODUCT(PreciosImplicitoDeMateriales!K6:K16,PreciosImplicitoDeMateriales!J21:J31)</f>
        <v>12622610.892424297</v>
      </c>
      <c r="L5" s="220">
        <f>+SUMPRODUCT(PreciosImplicitoDeMateriales!L6:L16,PreciosImplicitoDeMateriales!K21:K31)</f>
        <v>14905337.716618771</v>
      </c>
      <c r="M5" s="220">
        <f>+SUMPRODUCT(PreciosImplicitoDeMateriales!M6:M16,PreciosImplicitoDeMateriales!L21:L31)</f>
        <v>14222152.246020278</v>
      </c>
      <c r="N5" s="220">
        <f>+SUMPRODUCT(PreciosImplicitoDeMateriales!N6:N16,PreciosImplicitoDeMateriales!M21:M31)</f>
        <v>17251963.216278985</v>
      </c>
      <c r="O5" s="220">
        <f>+SUMPRODUCT(PreciosImplicitoDeMateriales!O6:O16,PreciosImplicitoDeMateriales!N21:N31)</f>
        <v>19250596.27080809</v>
      </c>
      <c r="P5" s="276"/>
      <c r="Q5" s="276"/>
    </row>
    <row r="6" spans="2:18" outlineLevel="1">
      <c r="B6" s="219" t="s">
        <v>187</v>
      </c>
      <c r="C6" s="219"/>
      <c r="D6" s="219">
        <f>+SUMPRODUCT(PreciosImplicitoDeMateriales!C6:C16,PreciosImplicitoDeMateriales!C21:C31)</f>
        <v>8864000</v>
      </c>
      <c r="E6" s="219">
        <f>+SUMPRODUCT(PreciosImplicitoDeMateriales!D6:D16,PreciosImplicitoDeMateriales!D21:D31)</f>
        <v>9195000</v>
      </c>
      <c r="F6" s="219">
        <f>+SUMPRODUCT(PreciosImplicitoDeMateriales!E6:E16,PreciosImplicitoDeMateriales!E21:E31)</f>
        <v>10265000</v>
      </c>
      <c r="G6" s="219">
        <f>+SUMPRODUCT(PreciosImplicitoDeMateriales!F6:F16,PreciosImplicitoDeMateriales!F21:F31)</f>
        <v>10381000</v>
      </c>
      <c r="H6" s="219"/>
      <c r="I6" s="219">
        <f>+SUMPRODUCT(PreciosImplicitoDeMateriales!H6:H16,PreciosImplicitoDeMateriales!H21:H31)</f>
        <v>10938999.982234776</v>
      </c>
      <c r="J6" s="219">
        <f>+SUMPRODUCT(PreciosImplicitoDeMateriales!I6:I16,PreciosImplicitoDeMateriales!I21:I31)</f>
        <v>12201271</v>
      </c>
      <c r="K6" s="219">
        <f>+SUMPRODUCT(PreciosImplicitoDeMateriales!J6:J16,PreciosImplicitoDeMateriales!J21:J31)</f>
        <v>12885255.92</v>
      </c>
      <c r="L6" s="219">
        <f>+SUMPRODUCT(PreciosImplicitoDeMateriales!K6:K16,PreciosImplicitoDeMateriales!K21:K31)</f>
        <v>14038631.9</v>
      </c>
      <c r="M6" s="219">
        <f>+SUMPRODUCT(PreciosImplicitoDeMateriales!L6:L16,PreciosImplicitoDeMateriales!L21:L31)</f>
        <v>14808441.120000001</v>
      </c>
      <c r="N6" s="219">
        <f>+SUMPRODUCT(PreciosImplicitoDeMateriales!M6:M16,PreciosImplicitoDeMateriales!M21:M31)</f>
        <v>15519436.08</v>
      </c>
      <c r="O6" s="219">
        <f>+SUMPRODUCT(PreciosImplicitoDeMateriales!N6:N16,PreciosImplicitoDeMateriales!N21:N31)</f>
        <v>18347350.490000002</v>
      </c>
      <c r="P6" s="276"/>
      <c r="Q6" s="276"/>
      <c r="R6" s="277"/>
    </row>
    <row r="7" spans="2:18">
      <c r="B7" s="243" t="s">
        <v>188</v>
      </c>
      <c r="C7" s="243"/>
      <c r="D7" s="237">
        <f>+D8/D9</f>
        <v>1.0354329590482707</v>
      </c>
      <c r="E7" s="237">
        <f t="shared" ref="E7:O7" si="2">+E8/E9</f>
        <v>1.0603381096205224</v>
      </c>
      <c r="F7" s="237">
        <f t="shared" si="2"/>
        <v>0.96570137904799502</v>
      </c>
      <c r="G7" s="237">
        <f t="shared" si="2"/>
        <v>0.97315491059952519</v>
      </c>
      <c r="H7" s="237"/>
      <c r="I7" s="237">
        <f t="shared" si="2"/>
        <v>1.0874539673898869</v>
      </c>
      <c r="J7" s="237">
        <f t="shared" si="2"/>
        <v>0.99581731061198608</v>
      </c>
      <c r="K7" s="237">
        <f t="shared" si="2"/>
        <v>0.97961662312286435</v>
      </c>
      <c r="L7" s="237">
        <f t="shared" si="2"/>
        <v>1.0617371993790059</v>
      </c>
      <c r="M7" s="237">
        <f t="shared" si="2"/>
        <v>0.96040846776316713</v>
      </c>
      <c r="N7" s="237">
        <f t="shared" si="2"/>
        <v>1.111635959409099</v>
      </c>
      <c r="O7" s="237">
        <f t="shared" si="2"/>
        <v>1.0492303115537251</v>
      </c>
      <c r="P7" s="276"/>
      <c r="Q7" s="276"/>
      <c r="R7" s="277"/>
    </row>
    <row r="8" spans="2:18" outlineLevel="1">
      <c r="B8" s="219" t="s">
        <v>327</v>
      </c>
      <c r="C8" s="219"/>
      <c r="D8" s="219">
        <f>+SUMPRODUCT(PreciosImplicitoDeMateriales!D6:D16,PreciosImplicitoDeMateriales!D21:D31)</f>
        <v>9195000</v>
      </c>
      <c r="E8" s="219">
        <f>+SUMPRODUCT(PreciosImplicitoDeMateriales!E6:E16,PreciosImplicitoDeMateriales!E21:E31)</f>
        <v>10265000</v>
      </c>
      <c r="F8" s="219">
        <f>+SUMPRODUCT(PreciosImplicitoDeMateriales!F6:F16,PreciosImplicitoDeMateriales!F21:F31)</f>
        <v>10381000</v>
      </c>
      <c r="G8" s="219">
        <f>+SUMPRODUCT(PreciosImplicitoDeMateriales!G6:G16,PreciosImplicitoDeMateriales!G21:G31)</f>
        <v>10742579.554272298</v>
      </c>
      <c r="H8" s="219"/>
      <c r="I8" s="219">
        <f>+SUMPRODUCT(PreciosImplicitoDeMateriales!I6:I16,PreciosImplicitoDeMateriales!I21:I31)</f>
        <v>12201271</v>
      </c>
      <c r="J8" s="219">
        <f>+SUMPRODUCT(PreciosImplicitoDeMateriales!J6:J16,PreciosImplicitoDeMateriales!J21:J31)</f>
        <v>12885255.92</v>
      </c>
      <c r="K8" s="219">
        <f>+SUMPRODUCT(PreciosImplicitoDeMateriales!K6:K16,PreciosImplicitoDeMateriales!K21:K31)</f>
        <v>14038631.9</v>
      </c>
      <c r="L8" s="219">
        <f>+SUMPRODUCT(PreciosImplicitoDeMateriales!L6:L16,PreciosImplicitoDeMateriales!L21:L31)</f>
        <v>14808441.120000001</v>
      </c>
      <c r="M8" s="219">
        <f>+SUMPRODUCT(PreciosImplicitoDeMateriales!M6:M16,PreciosImplicitoDeMateriales!M21:M31)</f>
        <v>15519436.08</v>
      </c>
      <c r="N8" s="219">
        <f>+SUMPRODUCT(PreciosImplicitoDeMateriales!N6:N16,PreciosImplicitoDeMateriales!N21:N31)</f>
        <v>18347350.490000002</v>
      </c>
      <c r="O8" s="219">
        <f>+SUMPRODUCT(PreciosImplicitoDeMateriales!O6:O16,PreciosImplicitoDeMateriales!O21:O31)</f>
        <v>20862866.59</v>
      </c>
      <c r="P8" s="276"/>
      <c r="Q8" s="276"/>
      <c r="R8" s="277"/>
    </row>
    <row r="9" spans="2:18" outlineLevel="1">
      <c r="B9" s="220" t="s">
        <v>187</v>
      </c>
      <c r="C9" s="220"/>
      <c r="D9" s="220">
        <f>+SUMPRODUCT(PreciosImplicitoDeMateriales!C6:C16,PreciosImplicitoDeMateriales!D21:D31)</f>
        <v>8880343.1643239204</v>
      </c>
      <c r="E9" s="220">
        <f>+SUMPRODUCT(PreciosImplicitoDeMateriales!D6:D16,PreciosImplicitoDeMateriales!E21:E31)</f>
        <v>9680874.3426883668</v>
      </c>
      <c r="F9" s="220">
        <f>+SUMPRODUCT(PreciosImplicitoDeMateriales!E6:E16,PreciosImplicitoDeMateriales!F21:F31)</f>
        <v>10749699.881586343</v>
      </c>
      <c r="G9" s="220">
        <f>+SUMPRODUCT(PreciosImplicitoDeMateriales!F6:F16,PreciosImplicitoDeMateriales!G21:G31)</f>
        <v>11038920.35817215</v>
      </c>
      <c r="H9" s="220"/>
      <c r="I9" s="220">
        <f>+SUMPRODUCT(PreciosImplicitoDeMateriales!H6:H16,PreciosImplicitoDeMateriales!I21:I31)</f>
        <v>11220034.471238868</v>
      </c>
      <c r="J9" s="220">
        <f>+SUMPRODUCT(PreciosImplicitoDeMateriales!I6:I16,PreciosImplicitoDeMateriales!J21:J31)</f>
        <v>12939377.316187927</v>
      </c>
      <c r="K9" s="220">
        <f>+SUMPRODUCT(PreciosImplicitoDeMateriales!J6:J16,PreciosImplicitoDeMateriales!K21:K31)</f>
        <v>14330740.790460497</v>
      </c>
      <c r="L9" s="220">
        <f>+SUMPRODUCT(PreciosImplicitoDeMateriales!K6:K16,PreciosImplicitoDeMateriales!L21:L31)</f>
        <v>13947369.583227597</v>
      </c>
      <c r="M9" s="220">
        <f>+SUMPRODUCT(PreciosImplicitoDeMateriales!L6:L16,PreciosImplicitoDeMateriales!M21:M31)</f>
        <v>16159203.714795891</v>
      </c>
      <c r="N9" s="220">
        <f>+SUMPRODUCT(PreciosImplicitoDeMateriales!M6:M16,PreciosImplicitoDeMateriales!N21:N31)</f>
        <v>16504819.167376265</v>
      </c>
      <c r="O9" s="220">
        <f>+SUMPRODUCT(PreciosImplicitoDeMateriales!N6:N16,PreciosImplicitoDeMateriales!O21:O31)</f>
        <v>19883972.432235371</v>
      </c>
      <c r="P9" s="276"/>
      <c r="Q9" s="276"/>
      <c r="R9" s="277"/>
    </row>
    <row r="10" spans="2:18" ht="12.75" customHeight="1">
      <c r="B10" s="225" t="s">
        <v>189</v>
      </c>
      <c r="C10" s="219"/>
      <c r="D10" s="234">
        <f>((D4)*(D7))^0.5</f>
        <v>1.0354329590482707</v>
      </c>
      <c r="E10" s="234">
        <f>((E4)*(E7))^0.5</f>
        <v>1.0603381096205227</v>
      </c>
      <c r="F10" s="234">
        <f>((F4)*(F7))^0.5</f>
        <v>0.96570137904799491</v>
      </c>
      <c r="G10" s="234">
        <f>((G4)*(G7))^0.5</f>
        <v>0.97315491059952541</v>
      </c>
      <c r="H10" s="234"/>
      <c r="I10" s="234">
        <f t="shared" ref="I10:O10" si="3">((I4)*(I7))^0.5</f>
        <v>1.0874539673898869</v>
      </c>
      <c r="J10" s="234">
        <f t="shared" si="3"/>
        <v>0.9958173106119862</v>
      </c>
      <c r="K10" s="234">
        <f t="shared" si="3"/>
        <v>0.97961662312286435</v>
      </c>
      <c r="L10" s="234">
        <f t="shared" si="3"/>
        <v>1.0617371993790057</v>
      </c>
      <c r="M10" s="234">
        <f t="shared" si="3"/>
        <v>0.96040846776316702</v>
      </c>
      <c r="N10" s="234">
        <f t="shared" si="3"/>
        <v>1.111635959409099</v>
      </c>
      <c r="O10" s="234">
        <f t="shared" si="3"/>
        <v>1.0492303115537251</v>
      </c>
      <c r="P10" s="276"/>
      <c r="Q10" s="276"/>
      <c r="R10" s="277"/>
    </row>
    <row r="11" spans="2:18" s="122" customFormat="1">
      <c r="B11" s="243" t="s">
        <v>350</v>
      </c>
      <c r="C11" s="220"/>
      <c r="D11" s="433">
        <f>LN(D10)</f>
        <v>3.481965716781818E-2</v>
      </c>
      <c r="E11" s="433">
        <f>LN(E10)</f>
        <v>5.8587828603548671E-2</v>
      </c>
      <c r="F11" s="433">
        <f>LN(F10)</f>
        <v>-3.4900623980881063E-2</v>
      </c>
      <c r="G11" s="433">
        <f>LN(G10)</f>
        <v>-2.7212000219324177E-2</v>
      </c>
      <c r="H11" s="433"/>
      <c r="I11" s="433">
        <f t="shared" ref="I11:O11" si="4">LN(I10)</f>
        <v>8.383915424792597E-2</v>
      </c>
      <c r="J11" s="433">
        <f t="shared" si="4"/>
        <v>-4.1914613019444769E-3</v>
      </c>
      <c r="K11" s="433">
        <f t="shared" si="4"/>
        <v>-2.0593984751588041E-2</v>
      </c>
      <c r="L11" s="433">
        <f t="shared" si="4"/>
        <v>5.9906433985052708E-2</v>
      </c>
      <c r="M11" s="433">
        <f t="shared" si="4"/>
        <v>-4.0396597760989049E-2</v>
      </c>
      <c r="N11" s="433">
        <f t="shared" si="4"/>
        <v>0.1058327675975123</v>
      </c>
      <c r="O11" s="433">
        <f t="shared" si="4"/>
        <v>4.80568587512228E-2</v>
      </c>
      <c r="P11" s="134"/>
      <c r="Q11" s="134"/>
    </row>
    <row r="12" spans="2:18">
      <c r="B12" s="278"/>
      <c r="C12" s="279"/>
      <c r="D12" s="280"/>
      <c r="E12" s="280"/>
      <c r="F12" s="280"/>
      <c r="G12" s="280"/>
      <c r="H12" s="280"/>
      <c r="I12" s="280"/>
      <c r="J12" s="280"/>
      <c r="K12" s="281"/>
      <c r="L12" s="281"/>
      <c r="M12" s="281"/>
      <c r="N12" s="174"/>
      <c r="O12" s="174"/>
      <c r="P12" s="183"/>
      <c r="Q12" s="183"/>
    </row>
    <row r="13" spans="2:18">
      <c r="C13" s="183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183"/>
      <c r="Q13" s="183"/>
    </row>
    <row r="14" spans="2:18" ht="9.75" thickBot="1">
      <c r="C14" s="183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42" t="s">
        <v>191</v>
      </c>
      <c r="O14" s="172">
        <f>+AVERAGE(D11:O11)</f>
        <v>2.3977093848941256E-2</v>
      </c>
      <c r="P14" s="183"/>
      <c r="Q14" s="183"/>
    </row>
    <row r="15" spans="2:18" ht="9.75" thickTop="1"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</row>
    <row r="16" spans="2:18"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</row>
    <row r="24" ht="12" customHeight="1"/>
    <row r="25" ht="12" customHeight="1"/>
  </sheetData>
  <mergeCells count="1">
    <mergeCell ref="E1:H1"/>
  </mergeCells>
  <hyperlinks>
    <hyperlink ref="E1:H1" location="Indice!D3" display="ÍNDICE"/>
  </hyperlink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 codeName="Hoja31">
    <tabColor theme="6" tint="0.39997558519241921"/>
  </sheetPr>
  <dimension ref="B2:Q23"/>
  <sheetViews>
    <sheetView showGridLines="0" workbookViewId="0">
      <selection activeCell="E2" sqref="E2:H2"/>
    </sheetView>
  </sheetViews>
  <sheetFormatPr baseColWidth="10" defaultRowHeight="9" outlineLevelRow="3"/>
  <cols>
    <col min="1" max="1" width="9.42578125" style="119" customWidth="1"/>
    <col min="2" max="2" width="6.42578125" style="119" customWidth="1"/>
    <col min="3" max="3" width="16.42578125" style="119" customWidth="1"/>
    <col min="4" max="15" width="9" style="119" customWidth="1"/>
    <col min="16" max="20" width="12.140625" style="119" customWidth="1"/>
    <col min="21" max="255" width="11.42578125" style="119"/>
    <col min="256" max="256" width="9.42578125" style="119" customWidth="1"/>
    <col min="257" max="257" width="25.28515625" style="119" bestFit="1" customWidth="1"/>
    <col min="258" max="258" width="5.7109375" style="119" customWidth="1"/>
    <col min="259" max="259" width="10.42578125" style="119" customWidth="1"/>
    <col min="260" max="271" width="11.5703125" style="119" bestFit="1" customWidth="1"/>
    <col min="272" max="276" width="12.140625" style="119" customWidth="1"/>
    <col min="277" max="511" width="11.42578125" style="119"/>
    <col min="512" max="512" width="9.42578125" style="119" customWidth="1"/>
    <col min="513" max="513" width="25.28515625" style="119" bestFit="1" customWidth="1"/>
    <col min="514" max="514" width="5.7109375" style="119" customWidth="1"/>
    <col min="515" max="515" width="10.42578125" style="119" customWidth="1"/>
    <col min="516" max="527" width="11.5703125" style="119" bestFit="1" customWidth="1"/>
    <col min="528" max="532" width="12.140625" style="119" customWidth="1"/>
    <col min="533" max="767" width="11.42578125" style="119"/>
    <col min="768" max="768" width="9.42578125" style="119" customWidth="1"/>
    <col min="769" max="769" width="25.28515625" style="119" bestFit="1" customWidth="1"/>
    <col min="770" max="770" width="5.7109375" style="119" customWidth="1"/>
    <col min="771" max="771" width="10.42578125" style="119" customWidth="1"/>
    <col min="772" max="783" width="11.5703125" style="119" bestFit="1" customWidth="1"/>
    <col min="784" max="788" width="12.140625" style="119" customWidth="1"/>
    <col min="789" max="1023" width="11.42578125" style="119"/>
    <col min="1024" max="1024" width="9.42578125" style="119" customWidth="1"/>
    <col min="1025" max="1025" width="25.28515625" style="119" bestFit="1" customWidth="1"/>
    <col min="1026" max="1026" width="5.7109375" style="119" customWidth="1"/>
    <col min="1027" max="1027" width="10.42578125" style="119" customWidth="1"/>
    <col min="1028" max="1039" width="11.5703125" style="119" bestFit="1" customWidth="1"/>
    <col min="1040" max="1044" width="12.140625" style="119" customWidth="1"/>
    <col min="1045" max="1279" width="11.42578125" style="119"/>
    <col min="1280" max="1280" width="9.42578125" style="119" customWidth="1"/>
    <col min="1281" max="1281" width="25.28515625" style="119" bestFit="1" customWidth="1"/>
    <col min="1282" max="1282" width="5.7109375" style="119" customWidth="1"/>
    <col min="1283" max="1283" width="10.42578125" style="119" customWidth="1"/>
    <col min="1284" max="1295" width="11.5703125" style="119" bestFit="1" customWidth="1"/>
    <col min="1296" max="1300" width="12.140625" style="119" customWidth="1"/>
    <col min="1301" max="1535" width="11.42578125" style="119"/>
    <col min="1536" max="1536" width="9.42578125" style="119" customWidth="1"/>
    <col min="1537" max="1537" width="25.28515625" style="119" bestFit="1" customWidth="1"/>
    <col min="1538" max="1538" width="5.7109375" style="119" customWidth="1"/>
    <col min="1539" max="1539" width="10.42578125" style="119" customWidth="1"/>
    <col min="1540" max="1551" width="11.5703125" style="119" bestFit="1" customWidth="1"/>
    <col min="1552" max="1556" width="12.140625" style="119" customWidth="1"/>
    <col min="1557" max="1791" width="11.42578125" style="119"/>
    <col min="1792" max="1792" width="9.42578125" style="119" customWidth="1"/>
    <col min="1793" max="1793" width="25.28515625" style="119" bestFit="1" customWidth="1"/>
    <col min="1794" max="1794" width="5.7109375" style="119" customWidth="1"/>
    <col min="1795" max="1795" width="10.42578125" style="119" customWidth="1"/>
    <col min="1796" max="1807" width="11.5703125" style="119" bestFit="1" customWidth="1"/>
    <col min="1808" max="1812" width="12.140625" style="119" customWidth="1"/>
    <col min="1813" max="2047" width="11.42578125" style="119"/>
    <col min="2048" max="2048" width="9.42578125" style="119" customWidth="1"/>
    <col min="2049" max="2049" width="25.28515625" style="119" bestFit="1" customWidth="1"/>
    <col min="2050" max="2050" width="5.7109375" style="119" customWidth="1"/>
    <col min="2051" max="2051" width="10.42578125" style="119" customWidth="1"/>
    <col min="2052" max="2063" width="11.5703125" style="119" bestFit="1" customWidth="1"/>
    <col min="2064" max="2068" width="12.140625" style="119" customWidth="1"/>
    <col min="2069" max="2303" width="11.42578125" style="119"/>
    <col min="2304" max="2304" width="9.42578125" style="119" customWidth="1"/>
    <col min="2305" max="2305" width="25.28515625" style="119" bestFit="1" customWidth="1"/>
    <col min="2306" max="2306" width="5.7109375" style="119" customWidth="1"/>
    <col min="2307" max="2307" width="10.42578125" style="119" customWidth="1"/>
    <col min="2308" max="2319" width="11.5703125" style="119" bestFit="1" customWidth="1"/>
    <col min="2320" max="2324" width="12.140625" style="119" customWidth="1"/>
    <col min="2325" max="2559" width="11.42578125" style="119"/>
    <col min="2560" max="2560" width="9.42578125" style="119" customWidth="1"/>
    <col min="2561" max="2561" width="25.28515625" style="119" bestFit="1" customWidth="1"/>
    <col min="2562" max="2562" width="5.7109375" style="119" customWidth="1"/>
    <col min="2563" max="2563" width="10.42578125" style="119" customWidth="1"/>
    <col min="2564" max="2575" width="11.5703125" style="119" bestFit="1" customWidth="1"/>
    <col min="2576" max="2580" width="12.140625" style="119" customWidth="1"/>
    <col min="2581" max="2815" width="11.42578125" style="119"/>
    <col min="2816" max="2816" width="9.42578125" style="119" customWidth="1"/>
    <col min="2817" max="2817" width="25.28515625" style="119" bestFit="1" customWidth="1"/>
    <col min="2818" max="2818" width="5.7109375" style="119" customWidth="1"/>
    <col min="2819" max="2819" width="10.42578125" style="119" customWidth="1"/>
    <col min="2820" max="2831" width="11.5703125" style="119" bestFit="1" customWidth="1"/>
    <col min="2832" max="2836" width="12.140625" style="119" customWidth="1"/>
    <col min="2837" max="3071" width="11.42578125" style="119"/>
    <col min="3072" max="3072" width="9.42578125" style="119" customWidth="1"/>
    <col min="3073" max="3073" width="25.28515625" style="119" bestFit="1" customWidth="1"/>
    <col min="3074" max="3074" width="5.7109375" style="119" customWidth="1"/>
    <col min="3075" max="3075" width="10.42578125" style="119" customWidth="1"/>
    <col min="3076" max="3087" width="11.5703125" style="119" bestFit="1" customWidth="1"/>
    <col min="3088" max="3092" width="12.140625" style="119" customWidth="1"/>
    <col min="3093" max="3327" width="11.42578125" style="119"/>
    <col min="3328" max="3328" width="9.42578125" style="119" customWidth="1"/>
    <col min="3329" max="3329" width="25.28515625" style="119" bestFit="1" customWidth="1"/>
    <col min="3330" max="3330" width="5.7109375" style="119" customWidth="1"/>
    <col min="3331" max="3331" width="10.42578125" style="119" customWidth="1"/>
    <col min="3332" max="3343" width="11.5703125" style="119" bestFit="1" customWidth="1"/>
    <col min="3344" max="3348" width="12.140625" style="119" customWidth="1"/>
    <col min="3349" max="3583" width="11.42578125" style="119"/>
    <col min="3584" max="3584" width="9.42578125" style="119" customWidth="1"/>
    <col min="3585" max="3585" width="25.28515625" style="119" bestFit="1" customWidth="1"/>
    <col min="3586" max="3586" width="5.7109375" style="119" customWidth="1"/>
    <col min="3587" max="3587" width="10.42578125" style="119" customWidth="1"/>
    <col min="3588" max="3599" width="11.5703125" style="119" bestFit="1" customWidth="1"/>
    <col min="3600" max="3604" width="12.140625" style="119" customWidth="1"/>
    <col min="3605" max="3839" width="11.42578125" style="119"/>
    <col min="3840" max="3840" width="9.42578125" style="119" customWidth="1"/>
    <col min="3841" max="3841" width="25.28515625" style="119" bestFit="1" customWidth="1"/>
    <col min="3842" max="3842" width="5.7109375" style="119" customWidth="1"/>
    <col min="3843" max="3843" width="10.42578125" style="119" customWidth="1"/>
    <col min="3844" max="3855" width="11.5703125" style="119" bestFit="1" customWidth="1"/>
    <col min="3856" max="3860" width="12.140625" style="119" customWidth="1"/>
    <col min="3861" max="4095" width="11.42578125" style="119"/>
    <col min="4096" max="4096" width="9.42578125" style="119" customWidth="1"/>
    <col min="4097" max="4097" width="25.28515625" style="119" bestFit="1" customWidth="1"/>
    <col min="4098" max="4098" width="5.7109375" style="119" customWidth="1"/>
    <col min="4099" max="4099" width="10.42578125" style="119" customWidth="1"/>
    <col min="4100" max="4111" width="11.5703125" style="119" bestFit="1" customWidth="1"/>
    <col min="4112" max="4116" width="12.140625" style="119" customWidth="1"/>
    <col min="4117" max="4351" width="11.42578125" style="119"/>
    <col min="4352" max="4352" width="9.42578125" style="119" customWidth="1"/>
    <col min="4353" max="4353" width="25.28515625" style="119" bestFit="1" customWidth="1"/>
    <col min="4354" max="4354" width="5.7109375" style="119" customWidth="1"/>
    <col min="4355" max="4355" width="10.42578125" style="119" customWidth="1"/>
    <col min="4356" max="4367" width="11.5703125" style="119" bestFit="1" customWidth="1"/>
    <col min="4368" max="4372" width="12.140625" style="119" customWidth="1"/>
    <col min="4373" max="4607" width="11.42578125" style="119"/>
    <col min="4608" max="4608" width="9.42578125" style="119" customWidth="1"/>
    <col min="4609" max="4609" width="25.28515625" style="119" bestFit="1" customWidth="1"/>
    <col min="4610" max="4610" width="5.7109375" style="119" customWidth="1"/>
    <col min="4611" max="4611" width="10.42578125" style="119" customWidth="1"/>
    <col min="4612" max="4623" width="11.5703125" style="119" bestFit="1" customWidth="1"/>
    <col min="4624" max="4628" width="12.140625" style="119" customWidth="1"/>
    <col min="4629" max="4863" width="11.42578125" style="119"/>
    <col min="4864" max="4864" width="9.42578125" style="119" customWidth="1"/>
    <col min="4865" max="4865" width="25.28515625" style="119" bestFit="1" customWidth="1"/>
    <col min="4866" max="4866" width="5.7109375" style="119" customWidth="1"/>
    <col min="4867" max="4867" width="10.42578125" style="119" customWidth="1"/>
    <col min="4868" max="4879" width="11.5703125" style="119" bestFit="1" customWidth="1"/>
    <col min="4880" max="4884" width="12.140625" style="119" customWidth="1"/>
    <col min="4885" max="5119" width="11.42578125" style="119"/>
    <col min="5120" max="5120" width="9.42578125" style="119" customWidth="1"/>
    <col min="5121" max="5121" width="25.28515625" style="119" bestFit="1" customWidth="1"/>
    <col min="5122" max="5122" width="5.7109375" style="119" customWidth="1"/>
    <col min="5123" max="5123" width="10.42578125" style="119" customWidth="1"/>
    <col min="5124" max="5135" width="11.5703125" style="119" bestFit="1" customWidth="1"/>
    <col min="5136" max="5140" width="12.140625" style="119" customWidth="1"/>
    <col min="5141" max="5375" width="11.42578125" style="119"/>
    <col min="5376" max="5376" width="9.42578125" style="119" customWidth="1"/>
    <col min="5377" max="5377" width="25.28515625" style="119" bestFit="1" customWidth="1"/>
    <col min="5378" max="5378" width="5.7109375" style="119" customWidth="1"/>
    <col min="5379" max="5379" width="10.42578125" style="119" customWidth="1"/>
    <col min="5380" max="5391" width="11.5703125" style="119" bestFit="1" customWidth="1"/>
    <col min="5392" max="5396" width="12.140625" style="119" customWidth="1"/>
    <col min="5397" max="5631" width="11.42578125" style="119"/>
    <col min="5632" max="5632" width="9.42578125" style="119" customWidth="1"/>
    <col min="5633" max="5633" width="25.28515625" style="119" bestFit="1" customWidth="1"/>
    <col min="5634" max="5634" width="5.7109375" style="119" customWidth="1"/>
    <col min="5635" max="5635" width="10.42578125" style="119" customWidth="1"/>
    <col min="5636" max="5647" width="11.5703125" style="119" bestFit="1" customWidth="1"/>
    <col min="5648" max="5652" width="12.140625" style="119" customWidth="1"/>
    <col min="5653" max="5887" width="11.42578125" style="119"/>
    <col min="5888" max="5888" width="9.42578125" style="119" customWidth="1"/>
    <col min="5889" max="5889" width="25.28515625" style="119" bestFit="1" customWidth="1"/>
    <col min="5890" max="5890" width="5.7109375" style="119" customWidth="1"/>
    <col min="5891" max="5891" width="10.42578125" style="119" customWidth="1"/>
    <col min="5892" max="5903" width="11.5703125" style="119" bestFit="1" customWidth="1"/>
    <col min="5904" max="5908" width="12.140625" style="119" customWidth="1"/>
    <col min="5909" max="6143" width="11.42578125" style="119"/>
    <col min="6144" max="6144" width="9.42578125" style="119" customWidth="1"/>
    <col min="6145" max="6145" width="25.28515625" style="119" bestFit="1" customWidth="1"/>
    <col min="6146" max="6146" width="5.7109375" style="119" customWidth="1"/>
    <col min="6147" max="6147" width="10.42578125" style="119" customWidth="1"/>
    <col min="6148" max="6159" width="11.5703125" style="119" bestFit="1" customWidth="1"/>
    <col min="6160" max="6164" width="12.140625" style="119" customWidth="1"/>
    <col min="6165" max="6399" width="11.42578125" style="119"/>
    <col min="6400" max="6400" width="9.42578125" style="119" customWidth="1"/>
    <col min="6401" max="6401" width="25.28515625" style="119" bestFit="1" customWidth="1"/>
    <col min="6402" max="6402" width="5.7109375" style="119" customWidth="1"/>
    <col min="6403" max="6403" width="10.42578125" style="119" customWidth="1"/>
    <col min="6404" max="6415" width="11.5703125" style="119" bestFit="1" customWidth="1"/>
    <col min="6416" max="6420" width="12.140625" style="119" customWidth="1"/>
    <col min="6421" max="6655" width="11.42578125" style="119"/>
    <col min="6656" max="6656" width="9.42578125" style="119" customWidth="1"/>
    <col min="6657" max="6657" width="25.28515625" style="119" bestFit="1" customWidth="1"/>
    <col min="6658" max="6658" width="5.7109375" style="119" customWidth="1"/>
    <col min="6659" max="6659" width="10.42578125" style="119" customWidth="1"/>
    <col min="6660" max="6671" width="11.5703125" style="119" bestFit="1" customWidth="1"/>
    <col min="6672" max="6676" width="12.140625" style="119" customWidth="1"/>
    <col min="6677" max="6911" width="11.42578125" style="119"/>
    <col min="6912" max="6912" width="9.42578125" style="119" customWidth="1"/>
    <col min="6913" max="6913" width="25.28515625" style="119" bestFit="1" customWidth="1"/>
    <col min="6914" max="6914" width="5.7109375" style="119" customWidth="1"/>
    <col min="6915" max="6915" width="10.42578125" style="119" customWidth="1"/>
    <col min="6916" max="6927" width="11.5703125" style="119" bestFit="1" customWidth="1"/>
    <col min="6928" max="6932" width="12.140625" style="119" customWidth="1"/>
    <col min="6933" max="7167" width="11.42578125" style="119"/>
    <col min="7168" max="7168" width="9.42578125" style="119" customWidth="1"/>
    <col min="7169" max="7169" width="25.28515625" style="119" bestFit="1" customWidth="1"/>
    <col min="7170" max="7170" width="5.7109375" style="119" customWidth="1"/>
    <col min="7171" max="7171" width="10.42578125" style="119" customWidth="1"/>
    <col min="7172" max="7183" width="11.5703125" style="119" bestFit="1" customWidth="1"/>
    <col min="7184" max="7188" width="12.140625" style="119" customWidth="1"/>
    <col min="7189" max="7423" width="11.42578125" style="119"/>
    <col min="7424" max="7424" width="9.42578125" style="119" customWidth="1"/>
    <col min="7425" max="7425" width="25.28515625" style="119" bestFit="1" customWidth="1"/>
    <col min="7426" max="7426" width="5.7109375" style="119" customWidth="1"/>
    <col min="7427" max="7427" width="10.42578125" style="119" customWidth="1"/>
    <col min="7428" max="7439" width="11.5703125" style="119" bestFit="1" customWidth="1"/>
    <col min="7440" max="7444" width="12.140625" style="119" customWidth="1"/>
    <col min="7445" max="7679" width="11.42578125" style="119"/>
    <col min="7680" max="7680" width="9.42578125" style="119" customWidth="1"/>
    <col min="7681" max="7681" width="25.28515625" style="119" bestFit="1" customWidth="1"/>
    <col min="7682" max="7682" width="5.7109375" style="119" customWidth="1"/>
    <col min="7683" max="7683" width="10.42578125" style="119" customWidth="1"/>
    <col min="7684" max="7695" width="11.5703125" style="119" bestFit="1" customWidth="1"/>
    <col min="7696" max="7700" width="12.140625" style="119" customWidth="1"/>
    <col min="7701" max="7935" width="11.42578125" style="119"/>
    <col min="7936" max="7936" width="9.42578125" style="119" customWidth="1"/>
    <col min="7937" max="7937" width="25.28515625" style="119" bestFit="1" customWidth="1"/>
    <col min="7938" max="7938" width="5.7109375" style="119" customWidth="1"/>
    <col min="7939" max="7939" width="10.42578125" style="119" customWidth="1"/>
    <col min="7940" max="7951" width="11.5703125" style="119" bestFit="1" customWidth="1"/>
    <col min="7952" max="7956" width="12.140625" style="119" customWidth="1"/>
    <col min="7957" max="8191" width="11.42578125" style="119"/>
    <col min="8192" max="8192" width="9.42578125" style="119" customWidth="1"/>
    <col min="8193" max="8193" width="25.28515625" style="119" bestFit="1" customWidth="1"/>
    <col min="8194" max="8194" width="5.7109375" style="119" customWidth="1"/>
    <col min="8195" max="8195" width="10.42578125" style="119" customWidth="1"/>
    <col min="8196" max="8207" width="11.5703125" style="119" bestFit="1" customWidth="1"/>
    <col min="8208" max="8212" width="12.140625" style="119" customWidth="1"/>
    <col min="8213" max="8447" width="11.42578125" style="119"/>
    <col min="8448" max="8448" width="9.42578125" style="119" customWidth="1"/>
    <col min="8449" max="8449" width="25.28515625" style="119" bestFit="1" customWidth="1"/>
    <col min="8450" max="8450" width="5.7109375" style="119" customWidth="1"/>
    <col min="8451" max="8451" width="10.42578125" style="119" customWidth="1"/>
    <col min="8452" max="8463" width="11.5703125" style="119" bestFit="1" customWidth="1"/>
    <col min="8464" max="8468" width="12.140625" style="119" customWidth="1"/>
    <col min="8469" max="8703" width="11.42578125" style="119"/>
    <col min="8704" max="8704" width="9.42578125" style="119" customWidth="1"/>
    <col min="8705" max="8705" width="25.28515625" style="119" bestFit="1" customWidth="1"/>
    <col min="8706" max="8706" width="5.7109375" style="119" customWidth="1"/>
    <col min="8707" max="8707" width="10.42578125" style="119" customWidth="1"/>
    <col min="8708" max="8719" width="11.5703125" style="119" bestFit="1" customWidth="1"/>
    <col min="8720" max="8724" width="12.140625" style="119" customWidth="1"/>
    <col min="8725" max="8959" width="11.42578125" style="119"/>
    <col min="8960" max="8960" width="9.42578125" style="119" customWidth="1"/>
    <col min="8961" max="8961" width="25.28515625" style="119" bestFit="1" customWidth="1"/>
    <col min="8962" max="8962" width="5.7109375" style="119" customWidth="1"/>
    <col min="8963" max="8963" width="10.42578125" style="119" customWidth="1"/>
    <col min="8964" max="8975" width="11.5703125" style="119" bestFit="1" customWidth="1"/>
    <col min="8976" max="8980" width="12.140625" style="119" customWidth="1"/>
    <col min="8981" max="9215" width="11.42578125" style="119"/>
    <col min="9216" max="9216" width="9.42578125" style="119" customWidth="1"/>
    <col min="9217" max="9217" width="25.28515625" style="119" bestFit="1" customWidth="1"/>
    <col min="9218" max="9218" width="5.7109375" style="119" customWidth="1"/>
    <col min="9219" max="9219" width="10.42578125" style="119" customWidth="1"/>
    <col min="9220" max="9231" width="11.5703125" style="119" bestFit="1" customWidth="1"/>
    <col min="9232" max="9236" width="12.140625" style="119" customWidth="1"/>
    <col min="9237" max="9471" width="11.42578125" style="119"/>
    <col min="9472" max="9472" width="9.42578125" style="119" customWidth="1"/>
    <col min="9473" max="9473" width="25.28515625" style="119" bestFit="1" customWidth="1"/>
    <col min="9474" max="9474" width="5.7109375" style="119" customWidth="1"/>
    <col min="9475" max="9475" width="10.42578125" style="119" customWidth="1"/>
    <col min="9476" max="9487" width="11.5703125" style="119" bestFit="1" customWidth="1"/>
    <col min="9488" max="9492" width="12.140625" style="119" customWidth="1"/>
    <col min="9493" max="9727" width="11.42578125" style="119"/>
    <col min="9728" max="9728" width="9.42578125" style="119" customWidth="1"/>
    <col min="9729" max="9729" width="25.28515625" style="119" bestFit="1" customWidth="1"/>
    <col min="9730" max="9730" width="5.7109375" style="119" customWidth="1"/>
    <col min="9731" max="9731" width="10.42578125" style="119" customWidth="1"/>
    <col min="9732" max="9743" width="11.5703125" style="119" bestFit="1" customWidth="1"/>
    <col min="9744" max="9748" width="12.140625" style="119" customWidth="1"/>
    <col min="9749" max="9983" width="11.42578125" style="119"/>
    <col min="9984" max="9984" width="9.42578125" style="119" customWidth="1"/>
    <col min="9985" max="9985" width="25.28515625" style="119" bestFit="1" customWidth="1"/>
    <col min="9986" max="9986" width="5.7109375" style="119" customWidth="1"/>
    <col min="9987" max="9987" width="10.42578125" style="119" customWidth="1"/>
    <col min="9988" max="9999" width="11.5703125" style="119" bestFit="1" customWidth="1"/>
    <col min="10000" max="10004" width="12.140625" style="119" customWidth="1"/>
    <col min="10005" max="10239" width="11.42578125" style="119"/>
    <col min="10240" max="10240" width="9.42578125" style="119" customWidth="1"/>
    <col min="10241" max="10241" width="25.28515625" style="119" bestFit="1" customWidth="1"/>
    <col min="10242" max="10242" width="5.7109375" style="119" customWidth="1"/>
    <col min="10243" max="10243" width="10.42578125" style="119" customWidth="1"/>
    <col min="10244" max="10255" width="11.5703125" style="119" bestFit="1" customWidth="1"/>
    <col min="10256" max="10260" width="12.140625" style="119" customWidth="1"/>
    <col min="10261" max="10495" width="11.42578125" style="119"/>
    <col min="10496" max="10496" width="9.42578125" style="119" customWidth="1"/>
    <col min="10497" max="10497" width="25.28515625" style="119" bestFit="1" customWidth="1"/>
    <col min="10498" max="10498" width="5.7109375" style="119" customWidth="1"/>
    <col min="10499" max="10499" width="10.42578125" style="119" customWidth="1"/>
    <col min="10500" max="10511" width="11.5703125" style="119" bestFit="1" customWidth="1"/>
    <col min="10512" max="10516" width="12.140625" style="119" customWidth="1"/>
    <col min="10517" max="10751" width="11.42578125" style="119"/>
    <col min="10752" max="10752" width="9.42578125" style="119" customWidth="1"/>
    <col min="10753" max="10753" width="25.28515625" style="119" bestFit="1" customWidth="1"/>
    <col min="10754" max="10754" width="5.7109375" style="119" customWidth="1"/>
    <col min="10755" max="10755" width="10.42578125" style="119" customWidth="1"/>
    <col min="10756" max="10767" width="11.5703125" style="119" bestFit="1" customWidth="1"/>
    <col min="10768" max="10772" width="12.140625" style="119" customWidth="1"/>
    <col min="10773" max="11007" width="11.42578125" style="119"/>
    <col min="11008" max="11008" width="9.42578125" style="119" customWidth="1"/>
    <col min="11009" max="11009" width="25.28515625" style="119" bestFit="1" customWidth="1"/>
    <col min="11010" max="11010" width="5.7109375" style="119" customWidth="1"/>
    <col min="11011" max="11011" width="10.42578125" style="119" customWidth="1"/>
    <col min="11012" max="11023" width="11.5703125" style="119" bestFit="1" customWidth="1"/>
    <col min="11024" max="11028" width="12.140625" style="119" customWidth="1"/>
    <col min="11029" max="11263" width="11.42578125" style="119"/>
    <col min="11264" max="11264" width="9.42578125" style="119" customWidth="1"/>
    <col min="11265" max="11265" width="25.28515625" style="119" bestFit="1" customWidth="1"/>
    <col min="11266" max="11266" width="5.7109375" style="119" customWidth="1"/>
    <col min="11267" max="11267" width="10.42578125" style="119" customWidth="1"/>
    <col min="11268" max="11279" width="11.5703125" style="119" bestFit="1" customWidth="1"/>
    <col min="11280" max="11284" width="12.140625" style="119" customWidth="1"/>
    <col min="11285" max="11519" width="11.42578125" style="119"/>
    <col min="11520" max="11520" width="9.42578125" style="119" customWidth="1"/>
    <col min="11521" max="11521" width="25.28515625" style="119" bestFit="1" customWidth="1"/>
    <col min="11522" max="11522" width="5.7109375" style="119" customWidth="1"/>
    <col min="11523" max="11523" width="10.42578125" style="119" customWidth="1"/>
    <col min="11524" max="11535" width="11.5703125" style="119" bestFit="1" customWidth="1"/>
    <col min="11536" max="11540" width="12.140625" style="119" customWidth="1"/>
    <col min="11541" max="11775" width="11.42578125" style="119"/>
    <col min="11776" max="11776" width="9.42578125" style="119" customWidth="1"/>
    <col min="11777" max="11777" width="25.28515625" style="119" bestFit="1" customWidth="1"/>
    <col min="11778" max="11778" width="5.7109375" style="119" customWidth="1"/>
    <col min="11779" max="11779" width="10.42578125" style="119" customWidth="1"/>
    <col min="11780" max="11791" width="11.5703125" style="119" bestFit="1" customWidth="1"/>
    <col min="11792" max="11796" width="12.140625" style="119" customWidth="1"/>
    <col min="11797" max="12031" width="11.42578125" style="119"/>
    <col min="12032" max="12032" width="9.42578125" style="119" customWidth="1"/>
    <col min="12033" max="12033" width="25.28515625" style="119" bestFit="1" customWidth="1"/>
    <col min="12034" max="12034" width="5.7109375" style="119" customWidth="1"/>
    <col min="12035" max="12035" width="10.42578125" style="119" customWidth="1"/>
    <col min="12036" max="12047" width="11.5703125" style="119" bestFit="1" customWidth="1"/>
    <col min="12048" max="12052" width="12.140625" style="119" customWidth="1"/>
    <col min="12053" max="12287" width="11.42578125" style="119"/>
    <col min="12288" max="12288" width="9.42578125" style="119" customWidth="1"/>
    <col min="12289" max="12289" width="25.28515625" style="119" bestFit="1" customWidth="1"/>
    <col min="12290" max="12290" width="5.7109375" style="119" customWidth="1"/>
    <col min="12291" max="12291" width="10.42578125" style="119" customWidth="1"/>
    <col min="12292" max="12303" width="11.5703125" style="119" bestFit="1" customWidth="1"/>
    <col min="12304" max="12308" width="12.140625" style="119" customWidth="1"/>
    <col min="12309" max="12543" width="11.42578125" style="119"/>
    <col min="12544" max="12544" width="9.42578125" style="119" customWidth="1"/>
    <col min="12545" max="12545" width="25.28515625" style="119" bestFit="1" customWidth="1"/>
    <col min="12546" max="12546" width="5.7109375" style="119" customWidth="1"/>
    <col min="12547" max="12547" width="10.42578125" style="119" customWidth="1"/>
    <col min="12548" max="12559" width="11.5703125" style="119" bestFit="1" customWidth="1"/>
    <col min="12560" max="12564" width="12.140625" style="119" customWidth="1"/>
    <col min="12565" max="12799" width="11.42578125" style="119"/>
    <col min="12800" max="12800" width="9.42578125" style="119" customWidth="1"/>
    <col min="12801" max="12801" width="25.28515625" style="119" bestFit="1" customWidth="1"/>
    <col min="12802" max="12802" width="5.7109375" style="119" customWidth="1"/>
    <col min="12803" max="12803" width="10.42578125" style="119" customWidth="1"/>
    <col min="12804" max="12815" width="11.5703125" style="119" bestFit="1" customWidth="1"/>
    <col min="12816" max="12820" width="12.140625" style="119" customWidth="1"/>
    <col min="12821" max="13055" width="11.42578125" style="119"/>
    <col min="13056" max="13056" width="9.42578125" style="119" customWidth="1"/>
    <col min="13057" max="13057" width="25.28515625" style="119" bestFit="1" customWidth="1"/>
    <col min="13058" max="13058" width="5.7109375" style="119" customWidth="1"/>
    <col min="13059" max="13059" width="10.42578125" style="119" customWidth="1"/>
    <col min="13060" max="13071" width="11.5703125" style="119" bestFit="1" customWidth="1"/>
    <col min="13072" max="13076" width="12.140625" style="119" customWidth="1"/>
    <col min="13077" max="13311" width="11.42578125" style="119"/>
    <col min="13312" max="13312" width="9.42578125" style="119" customWidth="1"/>
    <col min="13313" max="13313" width="25.28515625" style="119" bestFit="1" customWidth="1"/>
    <col min="13314" max="13314" width="5.7109375" style="119" customWidth="1"/>
    <col min="13315" max="13315" width="10.42578125" style="119" customWidth="1"/>
    <col min="13316" max="13327" width="11.5703125" style="119" bestFit="1" customWidth="1"/>
    <col min="13328" max="13332" width="12.140625" style="119" customWidth="1"/>
    <col min="13333" max="13567" width="11.42578125" style="119"/>
    <col min="13568" max="13568" width="9.42578125" style="119" customWidth="1"/>
    <col min="13569" max="13569" width="25.28515625" style="119" bestFit="1" customWidth="1"/>
    <col min="13570" max="13570" width="5.7109375" style="119" customWidth="1"/>
    <col min="13571" max="13571" width="10.42578125" style="119" customWidth="1"/>
    <col min="13572" max="13583" width="11.5703125" style="119" bestFit="1" customWidth="1"/>
    <col min="13584" max="13588" width="12.140625" style="119" customWidth="1"/>
    <col min="13589" max="13823" width="11.42578125" style="119"/>
    <col min="13824" max="13824" width="9.42578125" style="119" customWidth="1"/>
    <col min="13825" max="13825" width="25.28515625" style="119" bestFit="1" customWidth="1"/>
    <col min="13826" max="13826" width="5.7109375" style="119" customWidth="1"/>
    <col min="13827" max="13827" width="10.42578125" style="119" customWidth="1"/>
    <col min="13828" max="13839" width="11.5703125" style="119" bestFit="1" customWidth="1"/>
    <col min="13840" max="13844" width="12.140625" style="119" customWidth="1"/>
    <col min="13845" max="14079" width="11.42578125" style="119"/>
    <col min="14080" max="14080" width="9.42578125" style="119" customWidth="1"/>
    <col min="14081" max="14081" width="25.28515625" style="119" bestFit="1" customWidth="1"/>
    <col min="14082" max="14082" width="5.7109375" style="119" customWidth="1"/>
    <col min="14083" max="14083" width="10.42578125" style="119" customWidth="1"/>
    <col min="14084" max="14095" width="11.5703125" style="119" bestFit="1" customWidth="1"/>
    <col min="14096" max="14100" width="12.140625" style="119" customWidth="1"/>
    <col min="14101" max="14335" width="11.42578125" style="119"/>
    <col min="14336" max="14336" width="9.42578125" style="119" customWidth="1"/>
    <col min="14337" max="14337" width="25.28515625" style="119" bestFit="1" customWidth="1"/>
    <col min="14338" max="14338" width="5.7109375" style="119" customWidth="1"/>
    <col min="14339" max="14339" width="10.42578125" style="119" customWidth="1"/>
    <col min="14340" max="14351" width="11.5703125" style="119" bestFit="1" customWidth="1"/>
    <col min="14352" max="14356" width="12.140625" style="119" customWidth="1"/>
    <col min="14357" max="14591" width="11.42578125" style="119"/>
    <col min="14592" max="14592" width="9.42578125" style="119" customWidth="1"/>
    <col min="14593" max="14593" width="25.28515625" style="119" bestFit="1" customWidth="1"/>
    <col min="14594" max="14594" width="5.7109375" style="119" customWidth="1"/>
    <col min="14595" max="14595" width="10.42578125" style="119" customWidth="1"/>
    <col min="14596" max="14607" width="11.5703125" style="119" bestFit="1" customWidth="1"/>
    <col min="14608" max="14612" width="12.140625" style="119" customWidth="1"/>
    <col min="14613" max="14847" width="11.42578125" style="119"/>
    <col min="14848" max="14848" width="9.42578125" style="119" customWidth="1"/>
    <col min="14849" max="14849" width="25.28515625" style="119" bestFit="1" customWidth="1"/>
    <col min="14850" max="14850" width="5.7109375" style="119" customWidth="1"/>
    <col min="14851" max="14851" width="10.42578125" style="119" customWidth="1"/>
    <col min="14852" max="14863" width="11.5703125" style="119" bestFit="1" customWidth="1"/>
    <col min="14864" max="14868" width="12.140625" style="119" customWidth="1"/>
    <col min="14869" max="15103" width="11.42578125" style="119"/>
    <col min="15104" max="15104" width="9.42578125" style="119" customWidth="1"/>
    <col min="15105" max="15105" width="25.28515625" style="119" bestFit="1" customWidth="1"/>
    <col min="15106" max="15106" width="5.7109375" style="119" customWidth="1"/>
    <col min="15107" max="15107" width="10.42578125" style="119" customWidth="1"/>
    <col min="15108" max="15119" width="11.5703125" style="119" bestFit="1" customWidth="1"/>
    <col min="15120" max="15124" width="12.140625" style="119" customWidth="1"/>
    <col min="15125" max="15359" width="11.42578125" style="119"/>
    <col min="15360" max="15360" width="9.42578125" style="119" customWidth="1"/>
    <col min="15361" max="15361" width="25.28515625" style="119" bestFit="1" customWidth="1"/>
    <col min="15362" max="15362" width="5.7109375" style="119" customWidth="1"/>
    <col min="15363" max="15363" width="10.42578125" style="119" customWidth="1"/>
    <col min="15364" max="15375" width="11.5703125" style="119" bestFit="1" customWidth="1"/>
    <col min="15376" max="15380" width="12.140625" style="119" customWidth="1"/>
    <col min="15381" max="15615" width="11.42578125" style="119"/>
    <col min="15616" max="15616" width="9.42578125" style="119" customWidth="1"/>
    <col min="15617" max="15617" width="25.28515625" style="119" bestFit="1" customWidth="1"/>
    <col min="15618" max="15618" width="5.7109375" style="119" customWidth="1"/>
    <col min="15619" max="15619" width="10.42578125" style="119" customWidth="1"/>
    <col min="15620" max="15631" width="11.5703125" style="119" bestFit="1" customWidth="1"/>
    <col min="15632" max="15636" width="12.140625" style="119" customWidth="1"/>
    <col min="15637" max="15871" width="11.42578125" style="119"/>
    <col min="15872" max="15872" width="9.42578125" style="119" customWidth="1"/>
    <col min="15873" max="15873" width="25.28515625" style="119" bestFit="1" customWidth="1"/>
    <col min="15874" max="15874" width="5.7109375" style="119" customWidth="1"/>
    <col min="15875" max="15875" width="10.42578125" style="119" customWidth="1"/>
    <col min="15876" max="15887" width="11.5703125" style="119" bestFit="1" customWidth="1"/>
    <col min="15888" max="15892" width="12.140625" style="119" customWidth="1"/>
    <col min="15893" max="16127" width="11.42578125" style="119"/>
    <col min="16128" max="16128" width="9.42578125" style="119" customWidth="1"/>
    <col min="16129" max="16129" width="25.28515625" style="119" bestFit="1" customWidth="1"/>
    <col min="16130" max="16130" width="5.7109375" style="119" customWidth="1"/>
    <col min="16131" max="16131" width="10.42578125" style="119" customWidth="1"/>
    <col min="16132" max="16143" width="11.5703125" style="119" bestFit="1" customWidth="1"/>
    <col min="16144" max="16148" width="12.140625" style="119" customWidth="1"/>
    <col min="16149" max="16384" width="11.42578125" style="119"/>
  </cols>
  <sheetData>
    <row r="2" spans="2:17" ht="15">
      <c r="E2" s="444" t="s">
        <v>555</v>
      </c>
      <c r="F2" s="444"/>
      <c r="G2" s="444"/>
      <c r="H2" s="444"/>
    </row>
    <row r="4" spans="2:17" ht="9.75" thickBot="1">
      <c r="C4" s="88"/>
      <c r="D4" s="90">
        <v>2002</v>
      </c>
      <c r="E4" s="90">
        <v>2003</v>
      </c>
      <c r="F4" s="90">
        <v>2004</v>
      </c>
      <c r="G4" s="49" t="s">
        <v>469</v>
      </c>
      <c r="H4" s="88">
        <v>2005</v>
      </c>
      <c r="I4" s="90">
        <v>2006</v>
      </c>
      <c r="J4" s="90">
        <v>2007</v>
      </c>
      <c r="K4" s="90">
        <v>2008</v>
      </c>
      <c r="L4" s="90">
        <v>2009</v>
      </c>
      <c r="M4" s="90">
        <v>2010</v>
      </c>
      <c r="N4" s="90">
        <v>2011</v>
      </c>
      <c r="O4" s="90">
        <v>2012</v>
      </c>
    </row>
    <row r="5" spans="2:17" ht="9.75" thickTop="1">
      <c r="C5" s="225" t="s">
        <v>192</v>
      </c>
      <c r="D5" s="234">
        <f>+D6/D7</f>
        <v>1.0018437685383483</v>
      </c>
      <c r="E5" s="234">
        <f t="shared" ref="E5:O5" si="0">+E6/E7</f>
        <v>1.0528411465675223</v>
      </c>
      <c r="F5" s="234">
        <f t="shared" si="0"/>
        <v>1.0472186927994489</v>
      </c>
      <c r="G5" s="234">
        <f t="shared" si="0"/>
        <v>1.0633773584598931</v>
      </c>
      <c r="H5" s="234"/>
      <c r="I5" s="234">
        <f t="shared" si="0"/>
        <v>1.025691058548359</v>
      </c>
      <c r="J5" s="234">
        <f t="shared" si="0"/>
        <v>1.0604942154131261</v>
      </c>
      <c r="K5" s="234">
        <f t="shared" si="0"/>
        <v>1.1121813085774162</v>
      </c>
      <c r="L5" s="234">
        <f t="shared" si="0"/>
        <v>0.99349920153028559</v>
      </c>
      <c r="M5" s="234">
        <f t="shared" si="0"/>
        <v>1.0912157183764317</v>
      </c>
      <c r="N5" s="234">
        <f t="shared" si="0"/>
        <v>1.0634934853493894</v>
      </c>
      <c r="O5" s="234">
        <f t="shared" si="0"/>
        <v>1.0837517080775716</v>
      </c>
      <c r="P5" s="183"/>
      <c r="Q5" s="183"/>
    </row>
    <row r="6" spans="2:17" outlineLevel="1">
      <c r="C6" s="220" t="s">
        <v>327</v>
      </c>
      <c r="D6" s="220">
        <f>+SUMPRODUCT(PreciosImplicitoDeMateriales!D21:D31,PreciosImplicitoDeMateriales!C6:C16)</f>
        <v>8880343.1643239204</v>
      </c>
      <c r="E6" s="220">
        <f>+SUMPRODUCT(PreciosImplicitoDeMateriales!E21:E31,PreciosImplicitoDeMateriales!D6:D16)</f>
        <v>9680874.3426883668</v>
      </c>
      <c r="F6" s="220">
        <f>+SUMPRODUCT(PreciosImplicitoDeMateriales!F21:F31,PreciosImplicitoDeMateriales!E6:E16)</f>
        <v>10749699.881586343</v>
      </c>
      <c r="G6" s="220">
        <f>+SUMPRODUCT(PreciosImplicitoDeMateriales!G21:G31,PreciosImplicitoDeMateriales!F6:F16)</f>
        <v>11038920.35817215</v>
      </c>
      <c r="H6" s="220"/>
      <c r="I6" s="220">
        <f>+SUMPRODUCT(PreciosImplicitoDeMateriales!I21:I31,PreciosImplicitoDeMateriales!H6:H16)</f>
        <v>11220034.471238868</v>
      </c>
      <c r="J6" s="220">
        <f>+SUMPRODUCT(PreciosImplicitoDeMateriales!J21:J31,PreciosImplicitoDeMateriales!I6:I16)</f>
        <v>12939377.316187927</v>
      </c>
      <c r="K6" s="220">
        <f>+SUMPRODUCT(PreciosImplicitoDeMateriales!K21:K31,PreciosImplicitoDeMateriales!J6:J16)</f>
        <v>14330740.790460497</v>
      </c>
      <c r="L6" s="220">
        <f>+SUMPRODUCT(PreciosImplicitoDeMateriales!L21:L31,PreciosImplicitoDeMateriales!K6:K16)</f>
        <v>13947369.583227597</v>
      </c>
      <c r="M6" s="220">
        <f>+SUMPRODUCT(PreciosImplicitoDeMateriales!M21:M31,PreciosImplicitoDeMateriales!L6:L16)</f>
        <v>16159203.714795891</v>
      </c>
      <c r="N6" s="220">
        <f>+SUMPRODUCT(PreciosImplicitoDeMateriales!N21:N31,PreciosImplicitoDeMateriales!M6:M16)</f>
        <v>16504819.167376265</v>
      </c>
      <c r="O6" s="220">
        <f>+SUMPRODUCT(PreciosImplicitoDeMateriales!O21:O31,PreciosImplicitoDeMateriales!N6:N16)</f>
        <v>19883972.432235371</v>
      </c>
      <c r="P6" s="183"/>
      <c r="Q6" s="183"/>
    </row>
    <row r="7" spans="2:17" outlineLevel="1">
      <c r="C7" s="219" t="s">
        <v>187</v>
      </c>
      <c r="D7" s="219">
        <f>+SUMPRODUCT(PreciosImplicitoDeMateriales!C21:C31,PreciosImplicitoDeMateriales!C6:C16)</f>
        <v>8864000</v>
      </c>
      <c r="E7" s="219">
        <f>+SUMPRODUCT(PreciosImplicitoDeMateriales!D21:D31,PreciosImplicitoDeMateriales!D6:D16)</f>
        <v>9195000</v>
      </c>
      <c r="F7" s="219">
        <f>+SUMPRODUCT(PreciosImplicitoDeMateriales!E21:E31,PreciosImplicitoDeMateriales!E6:E16)</f>
        <v>10265000</v>
      </c>
      <c r="G7" s="219">
        <f>+SUMPRODUCT(PreciosImplicitoDeMateriales!F21:F31,PreciosImplicitoDeMateriales!F6:F16)</f>
        <v>10381000</v>
      </c>
      <c r="H7" s="219"/>
      <c r="I7" s="219">
        <f>+SUMPRODUCT(PreciosImplicitoDeMateriales!H21:H31,PreciosImplicitoDeMateriales!H6:H16)</f>
        <v>10938999.982234776</v>
      </c>
      <c r="J7" s="219">
        <f>+SUMPRODUCT(PreciosImplicitoDeMateriales!I21:I31,PreciosImplicitoDeMateriales!I6:I16)</f>
        <v>12201271</v>
      </c>
      <c r="K7" s="219">
        <f>+SUMPRODUCT(PreciosImplicitoDeMateriales!J21:J31,PreciosImplicitoDeMateriales!J6:J16)</f>
        <v>12885255.92</v>
      </c>
      <c r="L7" s="219">
        <f>+SUMPRODUCT(PreciosImplicitoDeMateriales!K21:K31,PreciosImplicitoDeMateriales!K6:K16)</f>
        <v>14038631.9</v>
      </c>
      <c r="M7" s="219">
        <f>+SUMPRODUCT(PreciosImplicitoDeMateriales!L21:L31,PreciosImplicitoDeMateriales!L6:L16)</f>
        <v>14808441.120000001</v>
      </c>
      <c r="N7" s="219">
        <f>+SUMPRODUCT(PreciosImplicitoDeMateriales!M21:M31,PreciosImplicitoDeMateriales!M6:M16)</f>
        <v>15519436.08</v>
      </c>
      <c r="O7" s="219">
        <f>+SUMPRODUCT(PreciosImplicitoDeMateriales!N21:N31,PreciosImplicitoDeMateriales!N6:N16)</f>
        <v>18347350.490000002</v>
      </c>
      <c r="P7" s="183"/>
      <c r="Q7" s="183"/>
    </row>
    <row r="8" spans="2:17" outlineLevel="1">
      <c r="C8" s="243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183"/>
      <c r="Q8" s="183"/>
    </row>
    <row r="9" spans="2:17">
      <c r="C9" s="225" t="s">
        <v>193</v>
      </c>
      <c r="D9" s="234">
        <f>+D10/D11</f>
        <v>1.0018437685383483</v>
      </c>
      <c r="E9" s="234">
        <f t="shared" ref="E9:O9" si="1">+E10/E11</f>
        <v>1.052841146567522</v>
      </c>
      <c r="F9" s="234">
        <f t="shared" si="1"/>
        <v>1.0472186927994493</v>
      </c>
      <c r="G9" s="234">
        <f t="shared" si="1"/>
        <v>1.0633773584598927</v>
      </c>
      <c r="H9" s="234"/>
      <c r="I9" s="234">
        <f t="shared" si="1"/>
        <v>1.0256910585483592</v>
      </c>
      <c r="J9" s="234">
        <f t="shared" si="1"/>
        <v>1.0604942154131258</v>
      </c>
      <c r="K9" s="234">
        <f t="shared" si="1"/>
        <v>1.1121813085774162</v>
      </c>
      <c r="L9" s="234">
        <f t="shared" si="1"/>
        <v>0.9934992015302857</v>
      </c>
      <c r="M9" s="234">
        <f t="shared" si="1"/>
        <v>1.0912157183764317</v>
      </c>
      <c r="N9" s="234">
        <f t="shared" si="1"/>
        <v>1.0634934853493896</v>
      </c>
      <c r="O9" s="234">
        <f t="shared" si="1"/>
        <v>1.0837517080775718</v>
      </c>
      <c r="P9" s="275"/>
      <c r="Q9" s="183"/>
    </row>
    <row r="10" spans="2:17" outlineLevel="3">
      <c r="C10" s="220" t="s">
        <v>327</v>
      </c>
      <c r="D10" s="220">
        <f>+SUMPRODUCT(PreciosImplicitoDeMateriales!D21:D31,PreciosImplicitoDeMateriales!D6:D16)</f>
        <v>9195000</v>
      </c>
      <c r="E10" s="220">
        <f>+SUMPRODUCT(PreciosImplicitoDeMateriales!E21:E31,PreciosImplicitoDeMateriales!E6:E16)</f>
        <v>10265000</v>
      </c>
      <c r="F10" s="220">
        <f>+SUMPRODUCT(PreciosImplicitoDeMateriales!F21:F31,PreciosImplicitoDeMateriales!F6:F16)</f>
        <v>10381000</v>
      </c>
      <c r="G10" s="220">
        <f>+SUMPRODUCT(PreciosImplicitoDeMateriales!G21:G31,PreciosImplicitoDeMateriales!G6:G16)</f>
        <v>10742579.554272298</v>
      </c>
      <c r="H10" s="220"/>
      <c r="I10" s="220">
        <f>+SUMPRODUCT(PreciosImplicitoDeMateriales!I21:I31,PreciosImplicitoDeMateriales!I6:I16)</f>
        <v>12201271</v>
      </c>
      <c r="J10" s="220">
        <f>+SUMPRODUCT(PreciosImplicitoDeMateriales!J21:J31,PreciosImplicitoDeMateriales!J6:J16)</f>
        <v>12885255.92</v>
      </c>
      <c r="K10" s="220">
        <f>+SUMPRODUCT(PreciosImplicitoDeMateriales!K21:K31,PreciosImplicitoDeMateriales!K6:K16)</f>
        <v>14038631.9</v>
      </c>
      <c r="L10" s="220">
        <f>+SUMPRODUCT(PreciosImplicitoDeMateriales!L21:L31,PreciosImplicitoDeMateriales!L6:L16)</f>
        <v>14808441.120000001</v>
      </c>
      <c r="M10" s="220">
        <f>+SUMPRODUCT(PreciosImplicitoDeMateriales!M21:M31,PreciosImplicitoDeMateriales!M6:M16)</f>
        <v>15519436.08</v>
      </c>
      <c r="N10" s="220">
        <f>+SUMPRODUCT(PreciosImplicitoDeMateriales!N21:N31,PreciosImplicitoDeMateriales!N6:N16)</f>
        <v>18347350.490000002</v>
      </c>
      <c r="O10" s="220">
        <f>+SUMPRODUCT(PreciosImplicitoDeMateriales!O21:O31,PreciosImplicitoDeMateriales!O6:O16)</f>
        <v>20862866.59</v>
      </c>
      <c r="P10" s="183"/>
      <c r="Q10" s="183"/>
    </row>
    <row r="11" spans="2:17" outlineLevel="3">
      <c r="C11" s="219" t="s">
        <v>187</v>
      </c>
      <c r="D11" s="227">
        <f>SUMPRODUCT(PreciosImplicitoDeMateriales!C21:C31,PreciosImplicitoDeMateriales!D6:D16)</f>
        <v>9178077.7490038723</v>
      </c>
      <c r="E11" s="227">
        <f>SUMPRODUCT(PreciosImplicitoDeMateriales!D21:D31,PreciosImplicitoDeMateriales!E6:E16)</f>
        <v>9749808.9179607052</v>
      </c>
      <c r="F11" s="227">
        <f>SUMPRODUCT(PreciosImplicitoDeMateriales!E21:E31,PreciosImplicitoDeMateriales!F6:F16)</f>
        <v>9912924.6559276655</v>
      </c>
      <c r="G11" s="227">
        <f>SUMPRODUCT(PreciosImplicitoDeMateriales!F21:F31,PreciosImplicitoDeMateriales!G6:G16)</f>
        <v>10102321.126933675</v>
      </c>
      <c r="H11" s="227"/>
      <c r="I11" s="227">
        <f>SUMPRODUCT(PreciosImplicitoDeMateriales!H21:H31,PreciosImplicitoDeMateriales!I6:I16)</f>
        <v>11895658.929959109</v>
      </c>
      <c r="J11" s="227">
        <f>SUMPRODUCT(PreciosImplicitoDeMateriales!I21:I31,PreciosImplicitoDeMateriales!J6:J16)</f>
        <v>12150236.873268019</v>
      </c>
      <c r="K11" s="227">
        <f>SUMPRODUCT(PreciosImplicitoDeMateriales!J21:J31,PreciosImplicitoDeMateriales!K6:K16)</f>
        <v>12622610.892424297</v>
      </c>
      <c r="L11" s="227">
        <f>SUMPRODUCT(PreciosImplicitoDeMateriales!K21:K31,PreciosImplicitoDeMateriales!L6:L16)</f>
        <v>14905337.716618771</v>
      </c>
      <c r="M11" s="227">
        <f>SUMPRODUCT(PreciosImplicitoDeMateriales!L21:L31,PreciosImplicitoDeMateriales!M6:M16)</f>
        <v>14222152.246020278</v>
      </c>
      <c r="N11" s="227">
        <f>SUMPRODUCT(PreciosImplicitoDeMateriales!M21:M31,PreciosImplicitoDeMateriales!N6:N16)</f>
        <v>17251963.216278985</v>
      </c>
      <c r="O11" s="227">
        <f>SUMPRODUCT(PreciosImplicitoDeMateriales!N21:N31,PreciosImplicitoDeMateriales!O6:O16)</f>
        <v>19250596.27080809</v>
      </c>
      <c r="P11" s="183"/>
      <c r="Q11" s="183"/>
    </row>
    <row r="12" spans="2:17" outlineLevel="3">
      <c r="C12" s="243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183"/>
      <c r="Q12" s="183"/>
    </row>
    <row r="13" spans="2:17">
      <c r="C13" s="225" t="s">
        <v>194</v>
      </c>
      <c r="D13" s="234">
        <f>((D5)*(D9))^0.5</f>
        <v>1.0018437685383483</v>
      </c>
      <c r="E13" s="234">
        <f>((E5)*(E9))^0.5</f>
        <v>1.052841146567522</v>
      </c>
      <c r="F13" s="234">
        <f>((F5)*(F9))^0.5</f>
        <v>1.0472186927994491</v>
      </c>
      <c r="G13" s="234">
        <f>((G5)*(G9))^0.5</f>
        <v>1.0633773584598929</v>
      </c>
      <c r="H13" s="234"/>
      <c r="I13" s="234">
        <f t="shared" ref="I13:O13" si="2">((I5)*(I9))^0.5</f>
        <v>1.025691058548359</v>
      </c>
      <c r="J13" s="234">
        <f t="shared" si="2"/>
        <v>1.0604942154131261</v>
      </c>
      <c r="K13" s="234">
        <f t="shared" si="2"/>
        <v>1.1121813085774162</v>
      </c>
      <c r="L13" s="234">
        <f t="shared" si="2"/>
        <v>0.9934992015302857</v>
      </c>
      <c r="M13" s="234">
        <f t="shared" si="2"/>
        <v>1.0912157183764317</v>
      </c>
      <c r="N13" s="234">
        <f t="shared" si="2"/>
        <v>1.0634934853493896</v>
      </c>
      <c r="O13" s="234">
        <f t="shared" si="2"/>
        <v>1.0837517080775718</v>
      </c>
      <c r="P13" s="183"/>
      <c r="Q13" s="183"/>
    </row>
    <row r="14" spans="2:17">
      <c r="C14" s="243" t="s">
        <v>350</v>
      </c>
      <c r="D14" s="325">
        <f>LN(D13)</f>
        <v>1.842070883538213E-3</v>
      </c>
      <c r="E14" s="325">
        <f>LN(E13)</f>
        <v>5.1492363811063903E-2</v>
      </c>
      <c r="F14" s="325">
        <f>LN(F13)</f>
        <v>4.6137785721092638E-2</v>
      </c>
      <c r="G14" s="325">
        <f>LN(G13)</f>
        <v>6.1450030211903581E-2</v>
      </c>
      <c r="H14" s="325"/>
      <c r="I14" s="325">
        <f t="shared" ref="I14:O14" si="3">LN(I13)</f>
        <v>2.5366588879132661E-2</v>
      </c>
      <c r="J14" s="325">
        <f t="shared" si="3"/>
        <v>5.8735040423212752E-2</v>
      </c>
      <c r="K14" s="325">
        <f t="shared" si="3"/>
        <v>0.1063232298194763</v>
      </c>
      <c r="L14" s="325">
        <f t="shared" si="3"/>
        <v>-6.522020684311975E-3</v>
      </c>
      <c r="M14" s="325">
        <f t="shared" si="3"/>
        <v>8.7292412673797948E-2</v>
      </c>
      <c r="N14" s="325">
        <f t="shared" si="3"/>
        <v>6.1559229968861179E-2</v>
      </c>
      <c r="O14" s="325">
        <f t="shared" si="3"/>
        <v>8.0428825192176992E-2</v>
      </c>
      <c r="P14" s="183"/>
      <c r="Q14" s="183"/>
    </row>
    <row r="15" spans="2:17">
      <c r="B15" s="278"/>
      <c r="C15" s="279"/>
      <c r="D15" s="280"/>
      <c r="E15" s="280"/>
      <c r="F15" s="280"/>
      <c r="G15" s="280"/>
      <c r="H15" s="280"/>
      <c r="I15" s="280"/>
      <c r="J15" s="280"/>
      <c r="K15" s="279"/>
      <c r="L15" s="279"/>
      <c r="M15" s="279"/>
      <c r="P15" s="183"/>
      <c r="Q15" s="183"/>
    </row>
    <row r="16" spans="2:17" ht="9.75" thickBot="1"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42" t="s">
        <v>191</v>
      </c>
      <c r="O16" s="172">
        <f>+AVERAGE(D14:O14)</f>
        <v>5.2191414263631296E-2</v>
      </c>
      <c r="P16" s="183"/>
      <c r="Q16" s="183"/>
    </row>
    <row r="17" spans="3:17" ht="9.75" thickTop="1"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</row>
    <row r="18" spans="3:17"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3:17"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</row>
    <row r="20" spans="3:17"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</row>
    <row r="21" spans="3:17"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</row>
    <row r="22" spans="3:17"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</row>
    <row r="23" spans="3:17"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</row>
  </sheetData>
  <mergeCells count="1">
    <mergeCell ref="E2:H2"/>
  </mergeCells>
  <hyperlinks>
    <hyperlink ref="E2:H2" location="Indice!D3" display="ÍNDICE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3"/>
  <dimension ref="B1:V34"/>
  <sheetViews>
    <sheetView showGridLines="0" workbookViewId="0">
      <selection activeCell="E10" sqref="E10"/>
    </sheetView>
  </sheetViews>
  <sheetFormatPr baseColWidth="10" defaultRowHeight="9" outlineLevelRow="1"/>
  <cols>
    <col min="1" max="1" width="4.7109375" style="177" customWidth="1"/>
    <col min="2" max="2" width="30.42578125" style="177" bestFit="1" customWidth="1"/>
    <col min="3" max="3" width="9" style="177" bestFit="1" customWidth="1"/>
    <col min="4" max="4" width="8.7109375" style="177" bestFit="1" customWidth="1"/>
    <col min="5" max="6" width="9" style="177" bestFit="1" customWidth="1"/>
    <col min="7" max="7" width="9.7109375" style="177" customWidth="1"/>
    <col min="8" max="10" width="9" style="177" bestFit="1" customWidth="1"/>
    <col min="11" max="11" width="9.7109375" style="177" customWidth="1"/>
    <col min="12" max="12" width="9" style="91" bestFit="1" customWidth="1"/>
    <col min="13" max="13" width="8.7109375" style="91" bestFit="1" customWidth="1"/>
    <col min="14" max="14" width="9.7109375" style="91" customWidth="1"/>
    <col min="15" max="15" width="11.42578125" style="177" customWidth="1"/>
    <col min="16" max="16" width="4" style="177" customWidth="1"/>
    <col min="17" max="17" width="6.140625" style="177" customWidth="1"/>
    <col min="18" max="22" width="8.28515625" style="177" customWidth="1"/>
    <col min="23" max="28" width="12.7109375" style="177" customWidth="1"/>
    <col min="29" max="256" width="11.42578125" style="177"/>
    <col min="257" max="257" width="4.7109375" style="177" customWidth="1"/>
    <col min="258" max="258" width="37.140625" style="177" customWidth="1"/>
    <col min="259" max="262" width="13.28515625" style="177" bestFit="1" customWidth="1"/>
    <col min="263" max="263" width="12.28515625" style="177" customWidth="1"/>
    <col min="264" max="270" width="13.28515625" style="177" bestFit="1" customWidth="1"/>
    <col min="271" max="271" width="11.42578125" style="177" customWidth="1"/>
    <col min="272" max="272" width="4" style="177" customWidth="1"/>
    <col min="273" max="273" width="31.42578125" style="177" customWidth="1"/>
    <col min="274" max="284" width="12.7109375" style="177" customWidth="1"/>
    <col min="285" max="512" width="11.42578125" style="177"/>
    <col min="513" max="513" width="4.7109375" style="177" customWidth="1"/>
    <col min="514" max="514" width="37.140625" style="177" customWidth="1"/>
    <col min="515" max="518" width="13.28515625" style="177" bestFit="1" customWidth="1"/>
    <col min="519" max="519" width="12.28515625" style="177" customWidth="1"/>
    <col min="520" max="526" width="13.28515625" style="177" bestFit="1" customWidth="1"/>
    <col min="527" max="527" width="11.42578125" style="177" customWidth="1"/>
    <col min="528" max="528" width="4" style="177" customWidth="1"/>
    <col min="529" max="529" width="31.42578125" style="177" customWidth="1"/>
    <col min="530" max="540" width="12.7109375" style="177" customWidth="1"/>
    <col min="541" max="768" width="11.42578125" style="177"/>
    <col min="769" max="769" width="4.7109375" style="177" customWidth="1"/>
    <col min="770" max="770" width="37.140625" style="177" customWidth="1"/>
    <col min="771" max="774" width="13.28515625" style="177" bestFit="1" customWidth="1"/>
    <col min="775" max="775" width="12.28515625" style="177" customWidth="1"/>
    <col min="776" max="782" width="13.28515625" style="177" bestFit="1" customWidth="1"/>
    <col min="783" max="783" width="11.42578125" style="177" customWidth="1"/>
    <col min="784" max="784" width="4" style="177" customWidth="1"/>
    <col min="785" max="785" width="31.42578125" style="177" customWidth="1"/>
    <col min="786" max="796" width="12.7109375" style="177" customWidth="1"/>
    <col min="797" max="1024" width="11.42578125" style="177"/>
    <col min="1025" max="1025" width="4.7109375" style="177" customWidth="1"/>
    <col min="1026" max="1026" width="37.140625" style="177" customWidth="1"/>
    <col min="1027" max="1030" width="13.28515625" style="177" bestFit="1" customWidth="1"/>
    <col min="1031" max="1031" width="12.28515625" style="177" customWidth="1"/>
    <col min="1032" max="1038" width="13.28515625" style="177" bestFit="1" customWidth="1"/>
    <col min="1039" max="1039" width="11.42578125" style="177" customWidth="1"/>
    <col min="1040" max="1040" width="4" style="177" customWidth="1"/>
    <col min="1041" max="1041" width="31.42578125" style="177" customWidth="1"/>
    <col min="1042" max="1052" width="12.7109375" style="177" customWidth="1"/>
    <col min="1053" max="1280" width="11.42578125" style="177"/>
    <col min="1281" max="1281" width="4.7109375" style="177" customWidth="1"/>
    <col min="1282" max="1282" width="37.140625" style="177" customWidth="1"/>
    <col min="1283" max="1286" width="13.28515625" style="177" bestFit="1" customWidth="1"/>
    <col min="1287" max="1287" width="12.28515625" style="177" customWidth="1"/>
    <col min="1288" max="1294" width="13.28515625" style="177" bestFit="1" customWidth="1"/>
    <col min="1295" max="1295" width="11.42578125" style="177" customWidth="1"/>
    <col min="1296" max="1296" width="4" style="177" customWidth="1"/>
    <col min="1297" max="1297" width="31.42578125" style="177" customWidth="1"/>
    <col min="1298" max="1308" width="12.7109375" style="177" customWidth="1"/>
    <col min="1309" max="1536" width="11.42578125" style="177"/>
    <col min="1537" max="1537" width="4.7109375" style="177" customWidth="1"/>
    <col min="1538" max="1538" width="37.140625" style="177" customWidth="1"/>
    <col min="1539" max="1542" width="13.28515625" style="177" bestFit="1" customWidth="1"/>
    <col min="1543" max="1543" width="12.28515625" style="177" customWidth="1"/>
    <col min="1544" max="1550" width="13.28515625" style="177" bestFit="1" customWidth="1"/>
    <col min="1551" max="1551" width="11.42578125" style="177" customWidth="1"/>
    <col min="1552" max="1552" width="4" style="177" customWidth="1"/>
    <col min="1553" max="1553" width="31.42578125" style="177" customWidth="1"/>
    <col min="1554" max="1564" width="12.7109375" style="177" customWidth="1"/>
    <col min="1565" max="1792" width="11.42578125" style="177"/>
    <col min="1793" max="1793" width="4.7109375" style="177" customWidth="1"/>
    <col min="1794" max="1794" width="37.140625" style="177" customWidth="1"/>
    <col min="1795" max="1798" width="13.28515625" style="177" bestFit="1" customWidth="1"/>
    <col min="1799" max="1799" width="12.28515625" style="177" customWidth="1"/>
    <col min="1800" max="1806" width="13.28515625" style="177" bestFit="1" customWidth="1"/>
    <col min="1807" max="1807" width="11.42578125" style="177" customWidth="1"/>
    <col min="1808" max="1808" width="4" style="177" customWidth="1"/>
    <col min="1809" max="1809" width="31.42578125" style="177" customWidth="1"/>
    <col min="1810" max="1820" width="12.7109375" style="177" customWidth="1"/>
    <col min="1821" max="2048" width="11.42578125" style="177"/>
    <col min="2049" max="2049" width="4.7109375" style="177" customWidth="1"/>
    <col min="2050" max="2050" width="37.140625" style="177" customWidth="1"/>
    <col min="2051" max="2054" width="13.28515625" style="177" bestFit="1" customWidth="1"/>
    <col min="2055" max="2055" width="12.28515625" style="177" customWidth="1"/>
    <col min="2056" max="2062" width="13.28515625" style="177" bestFit="1" customWidth="1"/>
    <col min="2063" max="2063" width="11.42578125" style="177" customWidth="1"/>
    <col min="2064" max="2064" width="4" style="177" customWidth="1"/>
    <col min="2065" max="2065" width="31.42578125" style="177" customWidth="1"/>
    <col min="2066" max="2076" width="12.7109375" style="177" customWidth="1"/>
    <col min="2077" max="2304" width="11.42578125" style="177"/>
    <col min="2305" max="2305" width="4.7109375" style="177" customWidth="1"/>
    <col min="2306" max="2306" width="37.140625" style="177" customWidth="1"/>
    <col min="2307" max="2310" width="13.28515625" style="177" bestFit="1" customWidth="1"/>
    <col min="2311" max="2311" width="12.28515625" style="177" customWidth="1"/>
    <col min="2312" max="2318" width="13.28515625" style="177" bestFit="1" customWidth="1"/>
    <col min="2319" max="2319" width="11.42578125" style="177" customWidth="1"/>
    <col min="2320" max="2320" width="4" style="177" customWidth="1"/>
    <col min="2321" max="2321" width="31.42578125" style="177" customWidth="1"/>
    <col min="2322" max="2332" width="12.7109375" style="177" customWidth="1"/>
    <col min="2333" max="2560" width="11.42578125" style="177"/>
    <col min="2561" max="2561" width="4.7109375" style="177" customWidth="1"/>
    <col min="2562" max="2562" width="37.140625" style="177" customWidth="1"/>
    <col min="2563" max="2566" width="13.28515625" style="177" bestFit="1" customWidth="1"/>
    <col min="2567" max="2567" width="12.28515625" style="177" customWidth="1"/>
    <col min="2568" max="2574" width="13.28515625" style="177" bestFit="1" customWidth="1"/>
    <col min="2575" max="2575" width="11.42578125" style="177" customWidth="1"/>
    <col min="2576" max="2576" width="4" style="177" customWidth="1"/>
    <col min="2577" max="2577" width="31.42578125" style="177" customWidth="1"/>
    <col min="2578" max="2588" width="12.7109375" style="177" customWidth="1"/>
    <col min="2589" max="2816" width="11.42578125" style="177"/>
    <col min="2817" max="2817" width="4.7109375" style="177" customWidth="1"/>
    <col min="2818" max="2818" width="37.140625" style="177" customWidth="1"/>
    <col min="2819" max="2822" width="13.28515625" style="177" bestFit="1" customWidth="1"/>
    <col min="2823" max="2823" width="12.28515625" style="177" customWidth="1"/>
    <col min="2824" max="2830" width="13.28515625" style="177" bestFit="1" customWidth="1"/>
    <col min="2831" max="2831" width="11.42578125" style="177" customWidth="1"/>
    <col min="2832" max="2832" width="4" style="177" customWidth="1"/>
    <col min="2833" max="2833" width="31.42578125" style="177" customWidth="1"/>
    <col min="2834" max="2844" width="12.7109375" style="177" customWidth="1"/>
    <col min="2845" max="3072" width="11.42578125" style="177"/>
    <col min="3073" max="3073" width="4.7109375" style="177" customWidth="1"/>
    <col min="3074" max="3074" width="37.140625" style="177" customWidth="1"/>
    <col min="3075" max="3078" width="13.28515625" style="177" bestFit="1" customWidth="1"/>
    <col min="3079" max="3079" width="12.28515625" style="177" customWidth="1"/>
    <col min="3080" max="3086" width="13.28515625" style="177" bestFit="1" customWidth="1"/>
    <col min="3087" max="3087" width="11.42578125" style="177" customWidth="1"/>
    <col min="3088" max="3088" width="4" style="177" customWidth="1"/>
    <col min="3089" max="3089" width="31.42578125" style="177" customWidth="1"/>
    <col min="3090" max="3100" width="12.7109375" style="177" customWidth="1"/>
    <col min="3101" max="3328" width="11.42578125" style="177"/>
    <col min="3329" max="3329" width="4.7109375" style="177" customWidth="1"/>
    <col min="3330" max="3330" width="37.140625" style="177" customWidth="1"/>
    <col min="3331" max="3334" width="13.28515625" style="177" bestFit="1" customWidth="1"/>
    <col min="3335" max="3335" width="12.28515625" style="177" customWidth="1"/>
    <col min="3336" max="3342" width="13.28515625" style="177" bestFit="1" customWidth="1"/>
    <col min="3343" max="3343" width="11.42578125" style="177" customWidth="1"/>
    <col min="3344" max="3344" width="4" style="177" customWidth="1"/>
    <col min="3345" max="3345" width="31.42578125" style="177" customWidth="1"/>
    <col min="3346" max="3356" width="12.7109375" style="177" customWidth="1"/>
    <col min="3357" max="3584" width="11.42578125" style="177"/>
    <col min="3585" max="3585" width="4.7109375" style="177" customWidth="1"/>
    <col min="3586" max="3586" width="37.140625" style="177" customWidth="1"/>
    <col min="3587" max="3590" width="13.28515625" style="177" bestFit="1" customWidth="1"/>
    <col min="3591" max="3591" width="12.28515625" style="177" customWidth="1"/>
    <col min="3592" max="3598" width="13.28515625" style="177" bestFit="1" customWidth="1"/>
    <col min="3599" max="3599" width="11.42578125" style="177" customWidth="1"/>
    <col min="3600" max="3600" width="4" style="177" customWidth="1"/>
    <col min="3601" max="3601" width="31.42578125" style="177" customWidth="1"/>
    <col min="3602" max="3612" width="12.7109375" style="177" customWidth="1"/>
    <col min="3613" max="3840" width="11.42578125" style="177"/>
    <col min="3841" max="3841" width="4.7109375" style="177" customWidth="1"/>
    <col min="3842" max="3842" width="37.140625" style="177" customWidth="1"/>
    <col min="3843" max="3846" width="13.28515625" style="177" bestFit="1" customWidth="1"/>
    <col min="3847" max="3847" width="12.28515625" style="177" customWidth="1"/>
    <col min="3848" max="3854" width="13.28515625" style="177" bestFit="1" customWidth="1"/>
    <col min="3855" max="3855" width="11.42578125" style="177" customWidth="1"/>
    <col min="3856" max="3856" width="4" style="177" customWidth="1"/>
    <col min="3857" max="3857" width="31.42578125" style="177" customWidth="1"/>
    <col min="3858" max="3868" width="12.7109375" style="177" customWidth="1"/>
    <col min="3869" max="4096" width="11.42578125" style="177"/>
    <col min="4097" max="4097" width="4.7109375" style="177" customWidth="1"/>
    <col min="4098" max="4098" width="37.140625" style="177" customWidth="1"/>
    <col min="4099" max="4102" width="13.28515625" style="177" bestFit="1" customWidth="1"/>
    <col min="4103" max="4103" width="12.28515625" style="177" customWidth="1"/>
    <col min="4104" max="4110" width="13.28515625" style="177" bestFit="1" customWidth="1"/>
    <col min="4111" max="4111" width="11.42578125" style="177" customWidth="1"/>
    <col min="4112" max="4112" width="4" style="177" customWidth="1"/>
    <col min="4113" max="4113" width="31.42578125" style="177" customWidth="1"/>
    <col min="4114" max="4124" width="12.7109375" style="177" customWidth="1"/>
    <col min="4125" max="4352" width="11.42578125" style="177"/>
    <col min="4353" max="4353" width="4.7109375" style="177" customWidth="1"/>
    <col min="4354" max="4354" width="37.140625" style="177" customWidth="1"/>
    <col min="4355" max="4358" width="13.28515625" style="177" bestFit="1" customWidth="1"/>
    <col min="4359" max="4359" width="12.28515625" style="177" customWidth="1"/>
    <col min="4360" max="4366" width="13.28515625" style="177" bestFit="1" customWidth="1"/>
    <col min="4367" max="4367" width="11.42578125" style="177" customWidth="1"/>
    <col min="4368" max="4368" width="4" style="177" customWidth="1"/>
    <col min="4369" max="4369" width="31.42578125" style="177" customWidth="1"/>
    <col min="4370" max="4380" width="12.7109375" style="177" customWidth="1"/>
    <col min="4381" max="4608" width="11.42578125" style="177"/>
    <col min="4609" max="4609" width="4.7109375" style="177" customWidth="1"/>
    <col min="4610" max="4610" width="37.140625" style="177" customWidth="1"/>
    <col min="4611" max="4614" width="13.28515625" style="177" bestFit="1" customWidth="1"/>
    <col min="4615" max="4615" width="12.28515625" style="177" customWidth="1"/>
    <col min="4616" max="4622" width="13.28515625" style="177" bestFit="1" customWidth="1"/>
    <col min="4623" max="4623" width="11.42578125" style="177" customWidth="1"/>
    <col min="4624" max="4624" width="4" style="177" customWidth="1"/>
    <col min="4625" max="4625" width="31.42578125" style="177" customWidth="1"/>
    <col min="4626" max="4636" width="12.7109375" style="177" customWidth="1"/>
    <col min="4637" max="4864" width="11.42578125" style="177"/>
    <col min="4865" max="4865" width="4.7109375" style="177" customWidth="1"/>
    <col min="4866" max="4866" width="37.140625" style="177" customWidth="1"/>
    <col min="4867" max="4870" width="13.28515625" style="177" bestFit="1" customWidth="1"/>
    <col min="4871" max="4871" width="12.28515625" style="177" customWidth="1"/>
    <col min="4872" max="4878" width="13.28515625" style="177" bestFit="1" customWidth="1"/>
    <col min="4879" max="4879" width="11.42578125" style="177" customWidth="1"/>
    <col min="4880" max="4880" width="4" style="177" customWidth="1"/>
    <col min="4881" max="4881" width="31.42578125" style="177" customWidth="1"/>
    <col min="4882" max="4892" width="12.7109375" style="177" customWidth="1"/>
    <col min="4893" max="5120" width="11.42578125" style="177"/>
    <col min="5121" max="5121" width="4.7109375" style="177" customWidth="1"/>
    <col min="5122" max="5122" width="37.140625" style="177" customWidth="1"/>
    <col min="5123" max="5126" width="13.28515625" style="177" bestFit="1" customWidth="1"/>
    <col min="5127" max="5127" width="12.28515625" style="177" customWidth="1"/>
    <col min="5128" max="5134" width="13.28515625" style="177" bestFit="1" customWidth="1"/>
    <col min="5135" max="5135" width="11.42578125" style="177" customWidth="1"/>
    <col min="5136" max="5136" width="4" style="177" customWidth="1"/>
    <col min="5137" max="5137" width="31.42578125" style="177" customWidth="1"/>
    <col min="5138" max="5148" width="12.7109375" style="177" customWidth="1"/>
    <col min="5149" max="5376" width="11.42578125" style="177"/>
    <col min="5377" max="5377" width="4.7109375" style="177" customWidth="1"/>
    <col min="5378" max="5378" width="37.140625" style="177" customWidth="1"/>
    <col min="5379" max="5382" width="13.28515625" style="177" bestFit="1" customWidth="1"/>
    <col min="5383" max="5383" width="12.28515625" style="177" customWidth="1"/>
    <col min="5384" max="5390" width="13.28515625" style="177" bestFit="1" customWidth="1"/>
    <col min="5391" max="5391" width="11.42578125" style="177" customWidth="1"/>
    <col min="5392" max="5392" width="4" style="177" customWidth="1"/>
    <col min="5393" max="5393" width="31.42578125" style="177" customWidth="1"/>
    <col min="5394" max="5404" width="12.7109375" style="177" customWidth="1"/>
    <col min="5405" max="5632" width="11.42578125" style="177"/>
    <col min="5633" max="5633" width="4.7109375" style="177" customWidth="1"/>
    <col min="5634" max="5634" width="37.140625" style="177" customWidth="1"/>
    <col min="5635" max="5638" width="13.28515625" style="177" bestFit="1" customWidth="1"/>
    <col min="5639" max="5639" width="12.28515625" style="177" customWidth="1"/>
    <col min="5640" max="5646" width="13.28515625" style="177" bestFit="1" customWidth="1"/>
    <col min="5647" max="5647" width="11.42578125" style="177" customWidth="1"/>
    <col min="5648" max="5648" width="4" style="177" customWidth="1"/>
    <col min="5649" max="5649" width="31.42578125" style="177" customWidth="1"/>
    <col min="5650" max="5660" width="12.7109375" style="177" customWidth="1"/>
    <col min="5661" max="5888" width="11.42578125" style="177"/>
    <col min="5889" max="5889" width="4.7109375" style="177" customWidth="1"/>
    <col min="5890" max="5890" width="37.140625" style="177" customWidth="1"/>
    <col min="5891" max="5894" width="13.28515625" style="177" bestFit="1" customWidth="1"/>
    <col min="5895" max="5895" width="12.28515625" style="177" customWidth="1"/>
    <col min="5896" max="5902" width="13.28515625" style="177" bestFit="1" customWidth="1"/>
    <col min="5903" max="5903" width="11.42578125" style="177" customWidth="1"/>
    <col min="5904" max="5904" width="4" style="177" customWidth="1"/>
    <col min="5905" max="5905" width="31.42578125" style="177" customWidth="1"/>
    <col min="5906" max="5916" width="12.7109375" style="177" customWidth="1"/>
    <col min="5917" max="6144" width="11.42578125" style="177"/>
    <col min="6145" max="6145" width="4.7109375" style="177" customWidth="1"/>
    <col min="6146" max="6146" width="37.140625" style="177" customWidth="1"/>
    <col min="6147" max="6150" width="13.28515625" style="177" bestFit="1" customWidth="1"/>
    <col min="6151" max="6151" width="12.28515625" style="177" customWidth="1"/>
    <col min="6152" max="6158" width="13.28515625" style="177" bestFit="1" customWidth="1"/>
    <col min="6159" max="6159" width="11.42578125" style="177" customWidth="1"/>
    <col min="6160" max="6160" width="4" style="177" customWidth="1"/>
    <col min="6161" max="6161" width="31.42578125" style="177" customWidth="1"/>
    <col min="6162" max="6172" width="12.7109375" style="177" customWidth="1"/>
    <col min="6173" max="6400" width="11.42578125" style="177"/>
    <col min="6401" max="6401" width="4.7109375" style="177" customWidth="1"/>
    <col min="6402" max="6402" width="37.140625" style="177" customWidth="1"/>
    <col min="6403" max="6406" width="13.28515625" style="177" bestFit="1" customWidth="1"/>
    <col min="6407" max="6407" width="12.28515625" style="177" customWidth="1"/>
    <col min="6408" max="6414" width="13.28515625" style="177" bestFit="1" customWidth="1"/>
    <col min="6415" max="6415" width="11.42578125" style="177" customWidth="1"/>
    <col min="6416" max="6416" width="4" style="177" customWidth="1"/>
    <col min="6417" max="6417" width="31.42578125" style="177" customWidth="1"/>
    <col min="6418" max="6428" width="12.7109375" style="177" customWidth="1"/>
    <col min="6429" max="6656" width="11.42578125" style="177"/>
    <col min="6657" max="6657" width="4.7109375" style="177" customWidth="1"/>
    <col min="6658" max="6658" width="37.140625" style="177" customWidth="1"/>
    <col min="6659" max="6662" width="13.28515625" style="177" bestFit="1" customWidth="1"/>
    <col min="6663" max="6663" width="12.28515625" style="177" customWidth="1"/>
    <col min="6664" max="6670" width="13.28515625" style="177" bestFit="1" customWidth="1"/>
    <col min="6671" max="6671" width="11.42578125" style="177" customWidth="1"/>
    <col min="6672" max="6672" width="4" style="177" customWidth="1"/>
    <col min="6673" max="6673" width="31.42578125" style="177" customWidth="1"/>
    <col min="6674" max="6684" width="12.7109375" style="177" customWidth="1"/>
    <col min="6685" max="6912" width="11.42578125" style="177"/>
    <col min="6913" max="6913" width="4.7109375" style="177" customWidth="1"/>
    <col min="6914" max="6914" width="37.140625" style="177" customWidth="1"/>
    <col min="6915" max="6918" width="13.28515625" style="177" bestFit="1" customWidth="1"/>
    <col min="6919" max="6919" width="12.28515625" style="177" customWidth="1"/>
    <col min="6920" max="6926" width="13.28515625" style="177" bestFit="1" customWidth="1"/>
    <col min="6927" max="6927" width="11.42578125" style="177" customWidth="1"/>
    <col min="6928" max="6928" width="4" style="177" customWidth="1"/>
    <col min="6929" max="6929" width="31.42578125" style="177" customWidth="1"/>
    <col min="6930" max="6940" width="12.7109375" style="177" customWidth="1"/>
    <col min="6941" max="7168" width="11.42578125" style="177"/>
    <col min="7169" max="7169" width="4.7109375" style="177" customWidth="1"/>
    <col min="7170" max="7170" width="37.140625" style="177" customWidth="1"/>
    <col min="7171" max="7174" width="13.28515625" style="177" bestFit="1" customWidth="1"/>
    <col min="7175" max="7175" width="12.28515625" style="177" customWidth="1"/>
    <col min="7176" max="7182" width="13.28515625" style="177" bestFit="1" customWidth="1"/>
    <col min="7183" max="7183" width="11.42578125" style="177" customWidth="1"/>
    <col min="7184" max="7184" width="4" style="177" customWidth="1"/>
    <col min="7185" max="7185" width="31.42578125" style="177" customWidth="1"/>
    <col min="7186" max="7196" width="12.7109375" style="177" customWidth="1"/>
    <col min="7197" max="7424" width="11.42578125" style="177"/>
    <col min="7425" max="7425" width="4.7109375" style="177" customWidth="1"/>
    <col min="7426" max="7426" width="37.140625" style="177" customWidth="1"/>
    <col min="7427" max="7430" width="13.28515625" style="177" bestFit="1" customWidth="1"/>
    <col min="7431" max="7431" width="12.28515625" style="177" customWidth="1"/>
    <col min="7432" max="7438" width="13.28515625" style="177" bestFit="1" customWidth="1"/>
    <col min="7439" max="7439" width="11.42578125" style="177" customWidth="1"/>
    <col min="7440" max="7440" width="4" style="177" customWidth="1"/>
    <col min="7441" max="7441" width="31.42578125" style="177" customWidth="1"/>
    <col min="7442" max="7452" width="12.7109375" style="177" customWidth="1"/>
    <col min="7453" max="7680" width="11.42578125" style="177"/>
    <col min="7681" max="7681" width="4.7109375" style="177" customWidth="1"/>
    <col min="7682" max="7682" width="37.140625" style="177" customWidth="1"/>
    <col min="7683" max="7686" width="13.28515625" style="177" bestFit="1" customWidth="1"/>
    <col min="7687" max="7687" width="12.28515625" style="177" customWidth="1"/>
    <col min="7688" max="7694" width="13.28515625" style="177" bestFit="1" customWidth="1"/>
    <col min="7695" max="7695" width="11.42578125" style="177" customWidth="1"/>
    <col min="7696" max="7696" width="4" style="177" customWidth="1"/>
    <col min="7697" max="7697" width="31.42578125" style="177" customWidth="1"/>
    <col min="7698" max="7708" width="12.7109375" style="177" customWidth="1"/>
    <col min="7709" max="7936" width="11.42578125" style="177"/>
    <col min="7937" max="7937" width="4.7109375" style="177" customWidth="1"/>
    <col min="7938" max="7938" width="37.140625" style="177" customWidth="1"/>
    <col min="7939" max="7942" width="13.28515625" style="177" bestFit="1" customWidth="1"/>
    <col min="7943" max="7943" width="12.28515625" style="177" customWidth="1"/>
    <col min="7944" max="7950" width="13.28515625" style="177" bestFit="1" customWidth="1"/>
    <col min="7951" max="7951" width="11.42578125" style="177" customWidth="1"/>
    <col min="7952" max="7952" width="4" style="177" customWidth="1"/>
    <col min="7953" max="7953" width="31.42578125" style="177" customWidth="1"/>
    <col min="7954" max="7964" width="12.7109375" style="177" customWidth="1"/>
    <col min="7965" max="8192" width="11.42578125" style="177"/>
    <col min="8193" max="8193" width="4.7109375" style="177" customWidth="1"/>
    <col min="8194" max="8194" width="37.140625" style="177" customWidth="1"/>
    <col min="8195" max="8198" width="13.28515625" style="177" bestFit="1" customWidth="1"/>
    <col min="8199" max="8199" width="12.28515625" style="177" customWidth="1"/>
    <col min="8200" max="8206" width="13.28515625" style="177" bestFit="1" customWidth="1"/>
    <col min="8207" max="8207" width="11.42578125" style="177" customWidth="1"/>
    <col min="8208" max="8208" width="4" style="177" customWidth="1"/>
    <col min="8209" max="8209" width="31.42578125" style="177" customWidth="1"/>
    <col min="8210" max="8220" width="12.7109375" style="177" customWidth="1"/>
    <col min="8221" max="8448" width="11.42578125" style="177"/>
    <col min="8449" max="8449" width="4.7109375" style="177" customWidth="1"/>
    <col min="8450" max="8450" width="37.140625" style="177" customWidth="1"/>
    <col min="8451" max="8454" width="13.28515625" style="177" bestFit="1" customWidth="1"/>
    <col min="8455" max="8455" width="12.28515625" style="177" customWidth="1"/>
    <col min="8456" max="8462" width="13.28515625" style="177" bestFit="1" customWidth="1"/>
    <col min="8463" max="8463" width="11.42578125" style="177" customWidth="1"/>
    <col min="8464" max="8464" width="4" style="177" customWidth="1"/>
    <col min="8465" max="8465" width="31.42578125" style="177" customWidth="1"/>
    <col min="8466" max="8476" width="12.7109375" style="177" customWidth="1"/>
    <col min="8477" max="8704" width="11.42578125" style="177"/>
    <col min="8705" max="8705" width="4.7109375" style="177" customWidth="1"/>
    <col min="8706" max="8706" width="37.140625" style="177" customWidth="1"/>
    <col min="8707" max="8710" width="13.28515625" style="177" bestFit="1" customWidth="1"/>
    <col min="8711" max="8711" width="12.28515625" style="177" customWidth="1"/>
    <col min="8712" max="8718" width="13.28515625" style="177" bestFit="1" customWidth="1"/>
    <col min="8719" max="8719" width="11.42578125" style="177" customWidth="1"/>
    <col min="8720" max="8720" width="4" style="177" customWidth="1"/>
    <col min="8721" max="8721" width="31.42578125" style="177" customWidth="1"/>
    <col min="8722" max="8732" width="12.7109375" style="177" customWidth="1"/>
    <col min="8733" max="8960" width="11.42578125" style="177"/>
    <col min="8961" max="8961" width="4.7109375" style="177" customWidth="1"/>
    <col min="8962" max="8962" width="37.140625" style="177" customWidth="1"/>
    <col min="8963" max="8966" width="13.28515625" style="177" bestFit="1" customWidth="1"/>
    <col min="8967" max="8967" width="12.28515625" style="177" customWidth="1"/>
    <col min="8968" max="8974" width="13.28515625" style="177" bestFit="1" customWidth="1"/>
    <col min="8975" max="8975" width="11.42578125" style="177" customWidth="1"/>
    <col min="8976" max="8976" width="4" style="177" customWidth="1"/>
    <col min="8977" max="8977" width="31.42578125" style="177" customWidth="1"/>
    <col min="8978" max="8988" width="12.7109375" style="177" customWidth="1"/>
    <col min="8989" max="9216" width="11.42578125" style="177"/>
    <col min="9217" max="9217" width="4.7109375" style="177" customWidth="1"/>
    <col min="9218" max="9218" width="37.140625" style="177" customWidth="1"/>
    <col min="9219" max="9222" width="13.28515625" style="177" bestFit="1" customWidth="1"/>
    <col min="9223" max="9223" width="12.28515625" style="177" customWidth="1"/>
    <col min="9224" max="9230" width="13.28515625" style="177" bestFit="1" customWidth="1"/>
    <col min="9231" max="9231" width="11.42578125" style="177" customWidth="1"/>
    <col min="9232" max="9232" width="4" style="177" customWidth="1"/>
    <col min="9233" max="9233" width="31.42578125" style="177" customWidth="1"/>
    <col min="9234" max="9244" width="12.7109375" style="177" customWidth="1"/>
    <col min="9245" max="9472" width="11.42578125" style="177"/>
    <col min="9473" max="9473" width="4.7109375" style="177" customWidth="1"/>
    <col min="9474" max="9474" width="37.140625" style="177" customWidth="1"/>
    <col min="9475" max="9478" width="13.28515625" style="177" bestFit="1" customWidth="1"/>
    <col min="9479" max="9479" width="12.28515625" style="177" customWidth="1"/>
    <col min="9480" max="9486" width="13.28515625" style="177" bestFit="1" customWidth="1"/>
    <col min="9487" max="9487" width="11.42578125" style="177" customWidth="1"/>
    <col min="9488" max="9488" width="4" style="177" customWidth="1"/>
    <col min="9489" max="9489" width="31.42578125" style="177" customWidth="1"/>
    <col min="9490" max="9500" width="12.7109375" style="177" customWidth="1"/>
    <col min="9501" max="9728" width="11.42578125" style="177"/>
    <col min="9729" max="9729" width="4.7109375" style="177" customWidth="1"/>
    <col min="9730" max="9730" width="37.140625" style="177" customWidth="1"/>
    <col min="9731" max="9734" width="13.28515625" style="177" bestFit="1" customWidth="1"/>
    <col min="9735" max="9735" width="12.28515625" style="177" customWidth="1"/>
    <col min="9736" max="9742" width="13.28515625" style="177" bestFit="1" customWidth="1"/>
    <col min="9743" max="9743" width="11.42578125" style="177" customWidth="1"/>
    <col min="9744" max="9744" width="4" style="177" customWidth="1"/>
    <col min="9745" max="9745" width="31.42578125" style="177" customWidth="1"/>
    <col min="9746" max="9756" width="12.7109375" style="177" customWidth="1"/>
    <col min="9757" max="9984" width="11.42578125" style="177"/>
    <col min="9985" max="9985" width="4.7109375" style="177" customWidth="1"/>
    <col min="9986" max="9986" width="37.140625" style="177" customWidth="1"/>
    <col min="9987" max="9990" width="13.28515625" style="177" bestFit="1" customWidth="1"/>
    <col min="9991" max="9991" width="12.28515625" style="177" customWidth="1"/>
    <col min="9992" max="9998" width="13.28515625" style="177" bestFit="1" customWidth="1"/>
    <col min="9999" max="9999" width="11.42578125" style="177" customWidth="1"/>
    <col min="10000" max="10000" width="4" style="177" customWidth="1"/>
    <col min="10001" max="10001" width="31.42578125" style="177" customWidth="1"/>
    <col min="10002" max="10012" width="12.7109375" style="177" customWidth="1"/>
    <col min="10013" max="10240" width="11.42578125" style="177"/>
    <col min="10241" max="10241" width="4.7109375" style="177" customWidth="1"/>
    <col min="10242" max="10242" width="37.140625" style="177" customWidth="1"/>
    <col min="10243" max="10246" width="13.28515625" style="177" bestFit="1" customWidth="1"/>
    <col min="10247" max="10247" width="12.28515625" style="177" customWidth="1"/>
    <col min="10248" max="10254" width="13.28515625" style="177" bestFit="1" customWidth="1"/>
    <col min="10255" max="10255" width="11.42578125" style="177" customWidth="1"/>
    <col min="10256" max="10256" width="4" style="177" customWidth="1"/>
    <col min="10257" max="10257" width="31.42578125" style="177" customWidth="1"/>
    <col min="10258" max="10268" width="12.7109375" style="177" customWidth="1"/>
    <col min="10269" max="10496" width="11.42578125" style="177"/>
    <col min="10497" max="10497" width="4.7109375" style="177" customWidth="1"/>
    <col min="10498" max="10498" width="37.140625" style="177" customWidth="1"/>
    <col min="10499" max="10502" width="13.28515625" style="177" bestFit="1" customWidth="1"/>
    <col min="10503" max="10503" width="12.28515625" style="177" customWidth="1"/>
    <col min="10504" max="10510" width="13.28515625" style="177" bestFit="1" customWidth="1"/>
    <col min="10511" max="10511" width="11.42578125" style="177" customWidth="1"/>
    <col min="10512" max="10512" width="4" style="177" customWidth="1"/>
    <col min="10513" max="10513" width="31.42578125" style="177" customWidth="1"/>
    <col min="10514" max="10524" width="12.7109375" style="177" customWidth="1"/>
    <col min="10525" max="10752" width="11.42578125" style="177"/>
    <col min="10753" max="10753" width="4.7109375" style="177" customWidth="1"/>
    <col min="10754" max="10754" width="37.140625" style="177" customWidth="1"/>
    <col min="10755" max="10758" width="13.28515625" style="177" bestFit="1" customWidth="1"/>
    <col min="10759" max="10759" width="12.28515625" style="177" customWidth="1"/>
    <col min="10760" max="10766" width="13.28515625" style="177" bestFit="1" customWidth="1"/>
    <col min="10767" max="10767" width="11.42578125" style="177" customWidth="1"/>
    <col min="10768" max="10768" width="4" style="177" customWidth="1"/>
    <col min="10769" max="10769" width="31.42578125" style="177" customWidth="1"/>
    <col min="10770" max="10780" width="12.7109375" style="177" customWidth="1"/>
    <col min="10781" max="11008" width="11.42578125" style="177"/>
    <col min="11009" max="11009" width="4.7109375" style="177" customWidth="1"/>
    <col min="11010" max="11010" width="37.140625" style="177" customWidth="1"/>
    <col min="11011" max="11014" width="13.28515625" style="177" bestFit="1" customWidth="1"/>
    <col min="11015" max="11015" width="12.28515625" style="177" customWidth="1"/>
    <col min="11016" max="11022" width="13.28515625" style="177" bestFit="1" customWidth="1"/>
    <col min="11023" max="11023" width="11.42578125" style="177" customWidth="1"/>
    <col min="11024" max="11024" width="4" style="177" customWidth="1"/>
    <col min="11025" max="11025" width="31.42578125" style="177" customWidth="1"/>
    <col min="11026" max="11036" width="12.7109375" style="177" customWidth="1"/>
    <col min="11037" max="11264" width="11.42578125" style="177"/>
    <col min="11265" max="11265" width="4.7109375" style="177" customWidth="1"/>
    <col min="11266" max="11266" width="37.140625" style="177" customWidth="1"/>
    <col min="11267" max="11270" width="13.28515625" style="177" bestFit="1" customWidth="1"/>
    <col min="11271" max="11271" width="12.28515625" style="177" customWidth="1"/>
    <col min="11272" max="11278" width="13.28515625" style="177" bestFit="1" customWidth="1"/>
    <col min="11279" max="11279" width="11.42578125" style="177" customWidth="1"/>
    <col min="11280" max="11280" width="4" style="177" customWidth="1"/>
    <col min="11281" max="11281" width="31.42578125" style="177" customWidth="1"/>
    <col min="11282" max="11292" width="12.7109375" style="177" customWidth="1"/>
    <col min="11293" max="11520" width="11.42578125" style="177"/>
    <col min="11521" max="11521" width="4.7109375" style="177" customWidth="1"/>
    <col min="11522" max="11522" width="37.140625" style="177" customWidth="1"/>
    <col min="11523" max="11526" width="13.28515625" style="177" bestFit="1" customWidth="1"/>
    <col min="11527" max="11527" width="12.28515625" style="177" customWidth="1"/>
    <col min="11528" max="11534" width="13.28515625" style="177" bestFit="1" customWidth="1"/>
    <col min="11535" max="11535" width="11.42578125" style="177" customWidth="1"/>
    <col min="11536" max="11536" width="4" style="177" customWidth="1"/>
    <col min="11537" max="11537" width="31.42578125" style="177" customWidth="1"/>
    <col min="11538" max="11548" width="12.7109375" style="177" customWidth="1"/>
    <col min="11549" max="11776" width="11.42578125" style="177"/>
    <col min="11777" max="11777" width="4.7109375" style="177" customWidth="1"/>
    <col min="11778" max="11778" width="37.140625" style="177" customWidth="1"/>
    <col min="11779" max="11782" width="13.28515625" style="177" bestFit="1" customWidth="1"/>
    <col min="11783" max="11783" width="12.28515625" style="177" customWidth="1"/>
    <col min="11784" max="11790" width="13.28515625" style="177" bestFit="1" customWidth="1"/>
    <col min="11791" max="11791" width="11.42578125" style="177" customWidth="1"/>
    <col min="11792" max="11792" width="4" style="177" customWidth="1"/>
    <col min="11793" max="11793" width="31.42578125" style="177" customWidth="1"/>
    <col min="11794" max="11804" width="12.7109375" style="177" customWidth="1"/>
    <col min="11805" max="12032" width="11.42578125" style="177"/>
    <col min="12033" max="12033" width="4.7109375" style="177" customWidth="1"/>
    <col min="12034" max="12034" width="37.140625" style="177" customWidth="1"/>
    <col min="12035" max="12038" width="13.28515625" style="177" bestFit="1" customWidth="1"/>
    <col min="12039" max="12039" width="12.28515625" style="177" customWidth="1"/>
    <col min="12040" max="12046" width="13.28515625" style="177" bestFit="1" customWidth="1"/>
    <col min="12047" max="12047" width="11.42578125" style="177" customWidth="1"/>
    <col min="12048" max="12048" width="4" style="177" customWidth="1"/>
    <col min="12049" max="12049" width="31.42578125" style="177" customWidth="1"/>
    <col min="12050" max="12060" width="12.7109375" style="177" customWidth="1"/>
    <col min="12061" max="12288" width="11.42578125" style="177"/>
    <col min="12289" max="12289" width="4.7109375" style="177" customWidth="1"/>
    <col min="12290" max="12290" width="37.140625" style="177" customWidth="1"/>
    <col min="12291" max="12294" width="13.28515625" style="177" bestFit="1" customWidth="1"/>
    <col min="12295" max="12295" width="12.28515625" style="177" customWidth="1"/>
    <col min="12296" max="12302" width="13.28515625" style="177" bestFit="1" customWidth="1"/>
    <col min="12303" max="12303" width="11.42578125" style="177" customWidth="1"/>
    <col min="12304" max="12304" width="4" style="177" customWidth="1"/>
    <col min="12305" max="12305" width="31.42578125" style="177" customWidth="1"/>
    <col min="12306" max="12316" width="12.7109375" style="177" customWidth="1"/>
    <col min="12317" max="12544" width="11.42578125" style="177"/>
    <col min="12545" max="12545" width="4.7109375" style="177" customWidth="1"/>
    <col min="12546" max="12546" width="37.140625" style="177" customWidth="1"/>
    <col min="12547" max="12550" width="13.28515625" style="177" bestFit="1" customWidth="1"/>
    <col min="12551" max="12551" width="12.28515625" style="177" customWidth="1"/>
    <col min="12552" max="12558" width="13.28515625" style="177" bestFit="1" customWidth="1"/>
    <col min="12559" max="12559" width="11.42578125" style="177" customWidth="1"/>
    <col min="12560" max="12560" width="4" style="177" customWidth="1"/>
    <col min="12561" max="12561" width="31.42578125" style="177" customWidth="1"/>
    <col min="12562" max="12572" width="12.7109375" style="177" customWidth="1"/>
    <col min="12573" max="12800" width="11.42578125" style="177"/>
    <col min="12801" max="12801" width="4.7109375" style="177" customWidth="1"/>
    <col min="12802" max="12802" width="37.140625" style="177" customWidth="1"/>
    <col min="12803" max="12806" width="13.28515625" style="177" bestFit="1" customWidth="1"/>
    <col min="12807" max="12807" width="12.28515625" style="177" customWidth="1"/>
    <col min="12808" max="12814" width="13.28515625" style="177" bestFit="1" customWidth="1"/>
    <col min="12815" max="12815" width="11.42578125" style="177" customWidth="1"/>
    <col min="12816" max="12816" width="4" style="177" customWidth="1"/>
    <col min="12817" max="12817" width="31.42578125" style="177" customWidth="1"/>
    <col min="12818" max="12828" width="12.7109375" style="177" customWidth="1"/>
    <col min="12829" max="13056" width="11.42578125" style="177"/>
    <col min="13057" max="13057" width="4.7109375" style="177" customWidth="1"/>
    <col min="13058" max="13058" width="37.140625" style="177" customWidth="1"/>
    <col min="13059" max="13062" width="13.28515625" style="177" bestFit="1" customWidth="1"/>
    <col min="13063" max="13063" width="12.28515625" style="177" customWidth="1"/>
    <col min="13064" max="13070" width="13.28515625" style="177" bestFit="1" customWidth="1"/>
    <col min="13071" max="13071" width="11.42578125" style="177" customWidth="1"/>
    <col min="13072" max="13072" width="4" style="177" customWidth="1"/>
    <col min="13073" max="13073" width="31.42578125" style="177" customWidth="1"/>
    <col min="13074" max="13084" width="12.7109375" style="177" customWidth="1"/>
    <col min="13085" max="13312" width="11.42578125" style="177"/>
    <col min="13313" max="13313" width="4.7109375" style="177" customWidth="1"/>
    <col min="13314" max="13314" width="37.140625" style="177" customWidth="1"/>
    <col min="13315" max="13318" width="13.28515625" style="177" bestFit="1" customWidth="1"/>
    <col min="13319" max="13319" width="12.28515625" style="177" customWidth="1"/>
    <col min="13320" max="13326" width="13.28515625" style="177" bestFit="1" customWidth="1"/>
    <col min="13327" max="13327" width="11.42578125" style="177" customWidth="1"/>
    <col min="13328" max="13328" width="4" style="177" customWidth="1"/>
    <col min="13329" max="13329" width="31.42578125" style="177" customWidth="1"/>
    <col min="13330" max="13340" width="12.7109375" style="177" customWidth="1"/>
    <col min="13341" max="13568" width="11.42578125" style="177"/>
    <col min="13569" max="13569" width="4.7109375" style="177" customWidth="1"/>
    <col min="13570" max="13570" width="37.140625" style="177" customWidth="1"/>
    <col min="13571" max="13574" width="13.28515625" style="177" bestFit="1" customWidth="1"/>
    <col min="13575" max="13575" width="12.28515625" style="177" customWidth="1"/>
    <col min="13576" max="13582" width="13.28515625" style="177" bestFit="1" customWidth="1"/>
    <col min="13583" max="13583" width="11.42578125" style="177" customWidth="1"/>
    <col min="13584" max="13584" width="4" style="177" customWidth="1"/>
    <col min="13585" max="13585" width="31.42578125" style="177" customWidth="1"/>
    <col min="13586" max="13596" width="12.7109375" style="177" customWidth="1"/>
    <col min="13597" max="13824" width="11.42578125" style="177"/>
    <col min="13825" max="13825" width="4.7109375" style="177" customWidth="1"/>
    <col min="13826" max="13826" width="37.140625" style="177" customWidth="1"/>
    <col min="13827" max="13830" width="13.28515625" style="177" bestFit="1" customWidth="1"/>
    <col min="13831" max="13831" width="12.28515625" style="177" customWidth="1"/>
    <col min="13832" max="13838" width="13.28515625" style="177" bestFit="1" customWidth="1"/>
    <col min="13839" max="13839" width="11.42578125" style="177" customWidth="1"/>
    <col min="13840" max="13840" width="4" style="177" customWidth="1"/>
    <col min="13841" max="13841" width="31.42578125" style="177" customWidth="1"/>
    <col min="13842" max="13852" width="12.7109375" style="177" customWidth="1"/>
    <col min="13853" max="14080" width="11.42578125" style="177"/>
    <col min="14081" max="14081" width="4.7109375" style="177" customWidth="1"/>
    <col min="14082" max="14082" width="37.140625" style="177" customWidth="1"/>
    <col min="14083" max="14086" width="13.28515625" style="177" bestFit="1" customWidth="1"/>
    <col min="14087" max="14087" width="12.28515625" style="177" customWidth="1"/>
    <col min="14088" max="14094" width="13.28515625" style="177" bestFit="1" customWidth="1"/>
    <col min="14095" max="14095" width="11.42578125" style="177" customWidth="1"/>
    <col min="14096" max="14096" width="4" style="177" customWidth="1"/>
    <col min="14097" max="14097" width="31.42578125" style="177" customWidth="1"/>
    <col min="14098" max="14108" width="12.7109375" style="177" customWidth="1"/>
    <col min="14109" max="14336" width="11.42578125" style="177"/>
    <col min="14337" max="14337" width="4.7109375" style="177" customWidth="1"/>
    <col min="14338" max="14338" width="37.140625" style="177" customWidth="1"/>
    <col min="14339" max="14342" width="13.28515625" style="177" bestFit="1" customWidth="1"/>
    <col min="14343" max="14343" width="12.28515625" style="177" customWidth="1"/>
    <col min="14344" max="14350" width="13.28515625" style="177" bestFit="1" customWidth="1"/>
    <col min="14351" max="14351" width="11.42578125" style="177" customWidth="1"/>
    <col min="14352" max="14352" width="4" style="177" customWidth="1"/>
    <col min="14353" max="14353" width="31.42578125" style="177" customWidth="1"/>
    <col min="14354" max="14364" width="12.7109375" style="177" customWidth="1"/>
    <col min="14365" max="14592" width="11.42578125" style="177"/>
    <col min="14593" max="14593" width="4.7109375" style="177" customWidth="1"/>
    <col min="14594" max="14594" width="37.140625" style="177" customWidth="1"/>
    <col min="14595" max="14598" width="13.28515625" style="177" bestFit="1" customWidth="1"/>
    <col min="14599" max="14599" width="12.28515625" style="177" customWidth="1"/>
    <col min="14600" max="14606" width="13.28515625" style="177" bestFit="1" customWidth="1"/>
    <col min="14607" max="14607" width="11.42578125" style="177" customWidth="1"/>
    <col min="14608" max="14608" width="4" style="177" customWidth="1"/>
    <col min="14609" max="14609" width="31.42578125" style="177" customWidth="1"/>
    <col min="14610" max="14620" width="12.7109375" style="177" customWidth="1"/>
    <col min="14621" max="14848" width="11.42578125" style="177"/>
    <col min="14849" max="14849" width="4.7109375" style="177" customWidth="1"/>
    <col min="14850" max="14850" width="37.140625" style="177" customWidth="1"/>
    <col min="14851" max="14854" width="13.28515625" style="177" bestFit="1" customWidth="1"/>
    <col min="14855" max="14855" width="12.28515625" style="177" customWidth="1"/>
    <col min="14856" max="14862" width="13.28515625" style="177" bestFit="1" customWidth="1"/>
    <col min="14863" max="14863" width="11.42578125" style="177" customWidth="1"/>
    <col min="14864" max="14864" width="4" style="177" customWidth="1"/>
    <col min="14865" max="14865" width="31.42578125" style="177" customWidth="1"/>
    <col min="14866" max="14876" width="12.7109375" style="177" customWidth="1"/>
    <col min="14877" max="15104" width="11.42578125" style="177"/>
    <col min="15105" max="15105" width="4.7109375" style="177" customWidth="1"/>
    <col min="15106" max="15106" width="37.140625" style="177" customWidth="1"/>
    <col min="15107" max="15110" width="13.28515625" style="177" bestFit="1" customWidth="1"/>
    <col min="15111" max="15111" width="12.28515625" style="177" customWidth="1"/>
    <col min="15112" max="15118" width="13.28515625" style="177" bestFit="1" customWidth="1"/>
    <col min="15119" max="15119" width="11.42578125" style="177" customWidth="1"/>
    <col min="15120" max="15120" width="4" style="177" customWidth="1"/>
    <col min="15121" max="15121" width="31.42578125" style="177" customWidth="1"/>
    <col min="15122" max="15132" width="12.7109375" style="177" customWidth="1"/>
    <col min="15133" max="15360" width="11.42578125" style="177"/>
    <col min="15361" max="15361" width="4.7109375" style="177" customWidth="1"/>
    <col min="15362" max="15362" width="37.140625" style="177" customWidth="1"/>
    <col min="15363" max="15366" width="13.28515625" style="177" bestFit="1" customWidth="1"/>
    <col min="15367" max="15367" width="12.28515625" style="177" customWidth="1"/>
    <col min="15368" max="15374" width="13.28515625" style="177" bestFit="1" customWidth="1"/>
    <col min="15375" max="15375" width="11.42578125" style="177" customWidth="1"/>
    <col min="15376" max="15376" width="4" style="177" customWidth="1"/>
    <col min="15377" max="15377" width="31.42578125" style="177" customWidth="1"/>
    <col min="15378" max="15388" width="12.7109375" style="177" customWidth="1"/>
    <col min="15389" max="15616" width="11.42578125" style="177"/>
    <col min="15617" max="15617" width="4.7109375" style="177" customWidth="1"/>
    <col min="15618" max="15618" width="37.140625" style="177" customWidth="1"/>
    <col min="15619" max="15622" width="13.28515625" style="177" bestFit="1" customWidth="1"/>
    <col min="15623" max="15623" width="12.28515625" style="177" customWidth="1"/>
    <col min="15624" max="15630" width="13.28515625" style="177" bestFit="1" customWidth="1"/>
    <col min="15631" max="15631" width="11.42578125" style="177" customWidth="1"/>
    <col min="15632" max="15632" width="4" style="177" customWidth="1"/>
    <col min="15633" max="15633" width="31.42578125" style="177" customWidth="1"/>
    <col min="15634" max="15644" width="12.7109375" style="177" customWidth="1"/>
    <col min="15645" max="15872" width="11.42578125" style="177"/>
    <col min="15873" max="15873" width="4.7109375" style="177" customWidth="1"/>
    <col min="15874" max="15874" width="37.140625" style="177" customWidth="1"/>
    <col min="15875" max="15878" width="13.28515625" style="177" bestFit="1" customWidth="1"/>
    <col min="15879" max="15879" width="12.28515625" style="177" customWidth="1"/>
    <col min="15880" max="15886" width="13.28515625" style="177" bestFit="1" customWidth="1"/>
    <col min="15887" max="15887" width="11.42578125" style="177" customWidth="1"/>
    <col min="15888" max="15888" width="4" style="177" customWidth="1"/>
    <col min="15889" max="15889" width="31.42578125" style="177" customWidth="1"/>
    <col min="15890" max="15900" width="12.7109375" style="177" customWidth="1"/>
    <col min="15901" max="16128" width="11.42578125" style="177"/>
    <col min="16129" max="16129" width="4.7109375" style="177" customWidth="1"/>
    <col min="16130" max="16130" width="37.140625" style="177" customWidth="1"/>
    <col min="16131" max="16134" width="13.28515625" style="177" bestFit="1" customWidth="1"/>
    <col min="16135" max="16135" width="12.28515625" style="177" customWidth="1"/>
    <col min="16136" max="16142" width="13.28515625" style="177" bestFit="1" customWidth="1"/>
    <col min="16143" max="16143" width="11.42578125" style="177" customWidth="1"/>
    <col min="16144" max="16144" width="4" style="177" customWidth="1"/>
    <col min="16145" max="16145" width="31.42578125" style="177" customWidth="1"/>
    <col min="16146" max="16156" width="12.7109375" style="177" customWidth="1"/>
    <col min="16157" max="16384" width="11.42578125" style="177"/>
  </cols>
  <sheetData>
    <row r="1" spans="2:22" ht="15.75">
      <c r="B1" s="344"/>
      <c r="C1" s="444" t="s">
        <v>555</v>
      </c>
      <c r="D1" s="444"/>
      <c r="E1" s="444"/>
      <c r="F1" s="444"/>
      <c r="Q1" s="91"/>
      <c r="R1" s="91"/>
      <c r="S1" s="91"/>
      <c r="T1" s="91"/>
      <c r="U1" s="91"/>
      <c r="V1" s="91"/>
    </row>
    <row r="2" spans="2:22" s="91" customFormat="1" ht="18.75" customHeight="1"/>
    <row r="3" spans="2:22" s="288" customFormat="1" ht="16.5" customHeight="1" thickBot="1">
      <c r="B3" s="42"/>
      <c r="C3" s="42">
        <v>2002</v>
      </c>
      <c r="D3" s="42">
        <v>2003</v>
      </c>
      <c r="E3" s="42">
        <v>2004</v>
      </c>
      <c r="F3" s="49" t="s">
        <v>469</v>
      </c>
      <c r="G3" s="88">
        <v>2005</v>
      </c>
      <c r="H3" s="42">
        <v>2006</v>
      </c>
      <c r="I3" s="42">
        <v>2007</v>
      </c>
      <c r="J3" s="42">
        <v>2008</v>
      </c>
      <c r="K3" s="42">
        <v>2009</v>
      </c>
      <c r="L3" s="42">
        <v>2010</v>
      </c>
      <c r="M3" s="42">
        <v>2011</v>
      </c>
      <c r="N3" s="42">
        <v>2012</v>
      </c>
      <c r="O3" s="91"/>
    </row>
    <row r="4" spans="2:22" s="91" customFormat="1" ht="12" customHeight="1" outlineLevel="1" thickTop="1">
      <c r="B4" s="312" t="s">
        <v>369</v>
      </c>
      <c r="C4" s="313">
        <f>+SUM(C5:C7)</f>
        <v>22809321.555023573</v>
      </c>
      <c r="D4" s="313">
        <f t="shared" ref="D4:N4" si="0">+SUM(D5:D7)</f>
        <v>21812486.897857454</v>
      </c>
      <c r="E4" s="313">
        <f t="shared" si="0"/>
        <v>23671025.003227491</v>
      </c>
      <c r="F4" s="313">
        <f t="shared" si="0"/>
        <v>21478825.057296447</v>
      </c>
      <c r="G4" s="313"/>
      <c r="H4" s="313">
        <f t="shared" si="0"/>
        <v>31130647.450718418</v>
      </c>
      <c r="I4" s="313">
        <f t="shared" si="0"/>
        <v>47250704.285990842</v>
      </c>
      <c r="J4" s="313">
        <f t="shared" si="0"/>
        <v>37970947.591546126</v>
      </c>
      <c r="K4" s="313">
        <f t="shared" si="0"/>
        <v>64216936.579757847</v>
      </c>
      <c r="L4" s="313">
        <f t="shared" si="0"/>
        <v>56618784.140548587</v>
      </c>
      <c r="M4" s="313">
        <f t="shared" si="0"/>
        <v>63507064.60773021</v>
      </c>
      <c r="N4" s="313">
        <f t="shared" si="0"/>
        <v>69788840.026554465</v>
      </c>
    </row>
    <row r="5" spans="2:22" s="91" customFormat="1" ht="12" customHeight="1" outlineLevel="1">
      <c r="B5" s="46" t="s">
        <v>355</v>
      </c>
      <c r="C5" s="47">
        <f>+IndicePreciosCapital!D6</f>
        <v>10022336.2118569</v>
      </c>
      <c r="D5" s="47">
        <f>+IndicePreciosCapital!E6</f>
        <v>7096610.8437625095</v>
      </c>
      <c r="E5" s="47">
        <f>+IndicePreciosCapital!F6</f>
        <v>7491390.857864893</v>
      </c>
      <c r="F5" s="47">
        <f>+IndicePreciosCapital!G6</f>
        <v>4758014.2775229132</v>
      </c>
      <c r="G5" s="47"/>
      <c r="H5" s="47">
        <f>+IndicePreciosCapital!I6</f>
        <v>13965977.986894405</v>
      </c>
      <c r="I5" s="47">
        <f>+IndicePreciosCapital!J6</f>
        <v>27995369.681871925</v>
      </c>
      <c r="J5" s="47">
        <f>+IndicePreciosCapital!K6</f>
        <v>15664404.82790021</v>
      </c>
      <c r="K5" s="47">
        <f>+IndicePreciosCapital!L6</f>
        <v>41274231.424614228</v>
      </c>
      <c r="L5" s="47">
        <f>+IndicePreciosCapital!M6</f>
        <v>30636931.560356013</v>
      </c>
      <c r="M5" s="47">
        <f>+IndicePreciosCapital!N6</f>
        <v>32632797.376202267</v>
      </c>
      <c r="N5" s="47">
        <f>+IndicePreciosCapital!O6</f>
        <v>35984966.401287496</v>
      </c>
    </row>
    <row r="6" spans="2:22" s="91" customFormat="1" ht="12" customHeight="1" outlineLevel="1">
      <c r="B6" s="44" t="s">
        <v>356</v>
      </c>
      <c r="C6" s="45">
        <f>+IndicePreciosTrabajo!D5</f>
        <v>3906642.1788427522</v>
      </c>
      <c r="D6" s="45">
        <f>+IndicePreciosTrabajo!E5</f>
        <v>5035001.7114065764</v>
      </c>
      <c r="E6" s="45">
        <f>+IndicePreciosTrabajo!F5</f>
        <v>5429934.2637762539</v>
      </c>
      <c r="F6" s="45">
        <f>+IndicePreciosTrabajo!G5</f>
        <v>5681890.4216013812</v>
      </c>
      <c r="G6" s="45"/>
      <c r="H6" s="45">
        <f>+IndicePreciosTrabajo!I5</f>
        <v>5944634.9925851449</v>
      </c>
      <c r="I6" s="45">
        <f>+IndicePreciosTrabajo!J5</f>
        <v>6315957.2879309934</v>
      </c>
      <c r="J6" s="45">
        <f>+IndicePreciosTrabajo!K5</f>
        <v>7975801.9731854182</v>
      </c>
      <c r="K6" s="45">
        <f>+IndicePreciosTrabajo!L5</f>
        <v>8995335.5719160233</v>
      </c>
      <c r="L6" s="45">
        <f>+IndicePreciosTrabajo!M5</f>
        <v>9822648.8653966822</v>
      </c>
      <c r="M6" s="45">
        <f>+IndicePreciosTrabajo!N5</f>
        <v>14369448.06415168</v>
      </c>
      <c r="N6" s="45">
        <f>+IndicePreciosTrabajo!O5</f>
        <v>13919901.19303159</v>
      </c>
      <c r="O6" s="287"/>
      <c r="Q6" s="287"/>
    </row>
    <row r="7" spans="2:22" s="91" customFormat="1" ht="12" customHeight="1" outlineLevel="1">
      <c r="B7" s="46" t="s">
        <v>357</v>
      </c>
      <c r="C7" s="47">
        <f>+IndicePreciosMateriales!D6</f>
        <v>8880343.1643239204</v>
      </c>
      <c r="D7" s="47">
        <f>+IndicePreciosMateriales!E6</f>
        <v>9680874.3426883668</v>
      </c>
      <c r="E7" s="47">
        <f>+IndicePreciosMateriales!F6</f>
        <v>10749699.881586343</v>
      </c>
      <c r="F7" s="47">
        <f>+IndicePreciosMateriales!G6</f>
        <v>11038920.35817215</v>
      </c>
      <c r="G7" s="47"/>
      <c r="H7" s="47">
        <f>+IndicePreciosMateriales!I6</f>
        <v>11220034.471238868</v>
      </c>
      <c r="I7" s="47">
        <f>+IndicePreciosMateriales!J6</f>
        <v>12939377.316187927</v>
      </c>
      <c r="J7" s="47">
        <f>+IndicePreciosMateriales!K6</f>
        <v>14330740.790460497</v>
      </c>
      <c r="K7" s="47">
        <f>+IndicePreciosMateriales!L6</f>
        <v>13947369.583227597</v>
      </c>
      <c r="L7" s="47">
        <f>+IndicePreciosMateriales!M6</f>
        <v>16159203.714795891</v>
      </c>
      <c r="M7" s="47">
        <f>+IndicePreciosMateriales!N6</f>
        <v>16504819.167376265</v>
      </c>
      <c r="N7" s="47">
        <f>+IndicePreciosMateriales!O6</f>
        <v>19883972.432235371</v>
      </c>
    </row>
    <row r="8" spans="2:22" s="91" customFormat="1" ht="12" customHeight="1" outlineLevel="1">
      <c r="B8" s="312" t="s">
        <v>358</v>
      </c>
      <c r="C8" s="313">
        <f>+SUM(C9:C11)</f>
        <v>20547169.67658399</v>
      </c>
      <c r="D8" s="313">
        <f t="shared" ref="D8:N8" si="1">+SUM(D9:D11)</f>
        <v>25601716.453023531</v>
      </c>
      <c r="E8" s="313">
        <f t="shared" si="1"/>
        <v>22879420.796188015</v>
      </c>
      <c r="F8" s="313">
        <f t="shared" si="1"/>
        <v>22775841.438339792</v>
      </c>
      <c r="G8" s="313"/>
      <c r="H8" s="313">
        <f t="shared" si="1"/>
        <v>27966359.87313024</v>
      </c>
      <c r="I8" s="313">
        <f t="shared" si="1"/>
        <v>39876710.987397939</v>
      </c>
      <c r="J8" s="313">
        <f t="shared" si="1"/>
        <v>48683052.265554532</v>
      </c>
      <c r="K8" s="313">
        <f t="shared" si="1"/>
        <v>37512969.798878416</v>
      </c>
      <c r="L8" s="313">
        <f t="shared" si="1"/>
        <v>68390851.990503892</v>
      </c>
      <c r="M8" s="313">
        <f t="shared" si="1"/>
        <v>59398125.525040448</v>
      </c>
      <c r="N8" s="313">
        <f t="shared" si="1"/>
        <v>63731157.365910515</v>
      </c>
    </row>
    <row r="9" spans="2:22" s="91" customFormat="1" ht="12" customHeight="1" outlineLevel="1">
      <c r="B9" s="46" t="s">
        <v>355</v>
      </c>
      <c r="C9" s="47">
        <f>+IndicePreciosCapital!D7</f>
        <v>7496371.7844697107</v>
      </c>
      <c r="D9" s="47">
        <f>+IndicePreciosCapital!E7</f>
        <v>11435249.983023532</v>
      </c>
      <c r="E9" s="47">
        <f>+IndicePreciosCapital!F7</f>
        <v>7210530.7477765344</v>
      </c>
      <c r="F9" s="47">
        <f>+IndicePreciosCapital!G7</f>
        <v>6989935.5425871741</v>
      </c>
      <c r="G9" s="47"/>
      <c r="H9" s="47">
        <f>+IndicePreciosCapital!I7</f>
        <v>11003867.300895471</v>
      </c>
      <c r="I9" s="47">
        <f>+IndicePreciosCapital!J7</f>
        <v>21723345.499090161</v>
      </c>
      <c r="J9" s="47">
        <f>+IndicePreciosCapital!K7</f>
        <v>28090559.743166026</v>
      </c>
      <c r="K9" s="47">
        <f>+IndicePreciosCapital!L7</f>
        <v>14722265.444837587</v>
      </c>
      <c r="L9" s="47">
        <f>+IndicePreciosCapital!M7</f>
        <v>44468055.961753279</v>
      </c>
      <c r="M9" s="47">
        <f>+IndicePreciosCapital!N7</f>
        <v>33670316.23833923</v>
      </c>
      <c r="N9" s="47">
        <f>+IndicePreciosCapital!O7</f>
        <v>30635075.536646087</v>
      </c>
    </row>
    <row r="10" spans="2:22" s="91" customFormat="1" ht="12" customHeight="1" outlineLevel="1">
      <c r="B10" s="44" t="s">
        <v>356</v>
      </c>
      <c r="C10" s="45">
        <f>+IndicePreciosTrabajo!D6</f>
        <v>4186797.8921142812</v>
      </c>
      <c r="D10" s="45">
        <f>+IndicePreciosTrabajo!E6</f>
        <v>4971466.47</v>
      </c>
      <c r="E10" s="45">
        <f>+IndicePreciosTrabajo!F6</f>
        <v>5403890.0484114802</v>
      </c>
      <c r="F10" s="45">
        <f>+IndicePreciosTrabajo!G6</f>
        <v>5404905.89575262</v>
      </c>
      <c r="G10" s="45"/>
      <c r="H10" s="45">
        <f>+IndicePreciosTrabajo!I6</f>
        <v>6023492.5899999905</v>
      </c>
      <c r="I10" s="45">
        <f>+IndicePreciosTrabajo!J6</f>
        <v>5952094.488307775</v>
      </c>
      <c r="J10" s="45">
        <f>+IndicePreciosTrabajo!K6</f>
        <v>7707236.6023885012</v>
      </c>
      <c r="K10" s="45">
        <f>+IndicePreciosTrabajo!L6</f>
        <v>8752072.4540408272</v>
      </c>
      <c r="L10" s="45">
        <f>+IndicePreciosTrabajo!M6</f>
        <v>9114354.9087506179</v>
      </c>
      <c r="M10" s="45">
        <f>+IndicePreciosTrabajo!N6</f>
        <v>10208373.206701221</v>
      </c>
      <c r="N10" s="45">
        <f>+IndicePreciosTrabajo!O6</f>
        <v>14748731.339264428</v>
      </c>
      <c r="O10" s="287"/>
      <c r="Q10" s="287"/>
    </row>
    <row r="11" spans="2:22" s="91" customFormat="1" ht="12" customHeight="1" outlineLevel="1">
      <c r="B11" s="46" t="s">
        <v>357</v>
      </c>
      <c r="C11" s="47">
        <f>+IndicePreciosMateriales!D7</f>
        <v>8864000</v>
      </c>
      <c r="D11" s="47">
        <f>+IndicePreciosMateriales!E7</f>
        <v>9195000</v>
      </c>
      <c r="E11" s="47">
        <f>+IndicePreciosMateriales!F7</f>
        <v>10265000</v>
      </c>
      <c r="F11" s="47">
        <f>+IndicePreciosMateriales!G7</f>
        <v>10381000</v>
      </c>
      <c r="G11" s="47"/>
      <c r="H11" s="47">
        <f>+IndicePreciosMateriales!I7</f>
        <v>10938999.982234776</v>
      </c>
      <c r="I11" s="47">
        <f>+IndicePreciosMateriales!J7</f>
        <v>12201271</v>
      </c>
      <c r="J11" s="47">
        <f>+IndicePreciosMateriales!K7</f>
        <v>12885255.92</v>
      </c>
      <c r="K11" s="47">
        <f>+IndicePreciosMateriales!L7</f>
        <v>14038631.9</v>
      </c>
      <c r="L11" s="47">
        <f>+IndicePreciosMateriales!M7</f>
        <v>14808441.120000001</v>
      </c>
      <c r="M11" s="47">
        <f>+IndicePreciosMateriales!N7</f>
        <v>15519436.08</v>
      </c>
      <c r="N11" s="47">
        <f>+IndicePreciosMateriales!O7</f>
        <v>18347350.490000002</v>
      </c>
    </row>
    <row r="12" spans="2:22" s="302" customFormat="1" ht="12" customHeight="1" outlineLevel="1">
      <c r="B12" s="312" t="s">
        <v>370</v>
      </c>
      <c r="C12" s="314">
        <f>+C4/C8</f>
        <v>1.1100955466882421</v>
      </c>
      <c r="D12" s="314">
        <f t="shared" ref="D12:N12" si="2">+D4/D8</f>
        <v>0.85199314420504124</v>
      </c>
      <c r="E12" s="314">
        <f t="shared" si="2"/>
        <v>1.0345989618396008</v>
      </c>
      <c r="F12" s="314">
        <f t="shared" si="2"/>
        <v>0.94305297634975593</v>
      </c>
      <c r="G12" s="314"/>
      <c r="H12" s="314">
        <f t="shared" si="2"/>
        <v>1.1131462082281358</v>
      </c>
      <c r="I12" s="314">
        <f t="shared" si="2"/>
        <v>1.1849197969442182</v>
      </c>
      <c r="J12" s="314">
        <f t="shared" si="2"/>
        <v>0.77996234468668046</v>
      </c>
      <c r="K12" s="314">
        <f t="shared" si="2"/>
        <v>1.7118595761425917</v>
      </c>
      <c r="L12" s="314">
        <f t="shared" si="2"/>
        <v>0.82787072382736415</v>
      </c>
      <c r="M12" s="314">
        <f t="shared" si="2"/>
        <v>1.0691762416131727</v>
      </c>
      <c r="N12" s="314">
        <f t="shared" si="2"/>
        <v>1.095050567273774</v>
      </c>
    </row>
    <row r="13" spans="2:22" s="91" customFormat="1" ht="12" customHeight="1" outlineLevel="1">
      <c r="B13" s="177"/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</row>
    <row r="14" spans="2:22" s="91" customFormat="1" ht="12" customHeight="1" outlineLevel="1">
      <c r="B14" s="177"/>
      <c r="C14" s="290"/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</row>
    <row r="15" spans="2:22" s="91" customFormat="1" ht="12" customHeight="1" outlineLevel="1">
      <c r="B15" s="312" t="s">
        <v>360</v>
      </c>
      <c r="C15" s="313">
        <f>+SUM(C16:C18)</f>
        <v>25601716.453023531</v>
      </c>
      <c r="D15" s="313">
        <f t="shared" ref="D15:N15" si="3">+SUM(D16:D18)</f>
        <v>22879420.796188015</v>
      </c>
      <c r="E15" s="313">
        <f t="shared" si="3"/>
        <v>22775841.438339792</v>
      </c>
      <c r="F15" s="313">
        <f t="shared" si="3"/>
        <v>27324616.857039984</v>
      </c>
      <c r="G15" s="313"/>
      <c r="H15" s="313">
        <f t="shared" si="3"/>
        <v>39876710.987397939</v>
      </c>
      <c r="I15" s="313">
        <f t="shared" si="3"/>
        <v>48683052.265554532</v>
      </c>
      <c r="J15" s="313">
        <f t="shared" si="3"/>
        <v>37512969.798878416</v>
      </c>
      <c r="K15" s="313">
        <f t="shared" si="3"/>
        <v>68390851.990503892</v>
      </c>
      <c r="L15" s="313">
        <f t="shared" si="3"/>
        <v>59398125.525040448</v>
      </c>
      <c r="M15" s="313">
        <f t="shared" si="3"/>
        <v>63731157.365910515</v>
      </c>
      <c r="N15" s="313">
        <f t="shared" si="3"/>
        <v>72254967.642784327</v>
      </c>
    </row>
    <row r="16" spans="2:22" s="91" customFormat="1" ht="12" customHeight="1" outlineLevel="1">
      <c r="B16" s="46" t="s">
        <v>355</v>
      </c>
      <c r="C16" s="47">
        <f>+IndicePreciosCapital!D9</f>
        <v>11435249.983023532</v>
      </c>
      <c r="D16" s="47">
        <f>+IndicePreciosCapital!E9</f>
        <v>7210530.7477765344</v>
      </c>
      <c r="E16" s="47">
        <f>+IndicePreciosCapital!F9</f>
        <v>6989935.5425871741</v>
      </c>
      <c r="F16" s="47">
        <f>+IndicePreciosCapital!G9</f>
        <v>10558544.712767696</v>
      </c>
      <c r="G16" s="47"/>
      <c r="H16" s="47">
        <f>+IndicePreciosCapital!I9</f>
        <v>21723345.499090161</v>
      </c>
      <c r="I16" s="47">
        <f>+IndicePreciosCapital!J9</f>
        <v>28090559.743166026</v>
      </c>
      <c r="J16" s="47">
        <f>+IndicePreciosCapital!K9</f>
        <v>14722265.444837587</v>
      </c>
      <c r="K16" s="47">
        <f>+IndicePreciosCapital!L9</f>
        <v>44468055.961753279</v>
      </c>
      <c r="L16" s="47">
        <f>+IndicePreciosCapital!M9</f>
        <v>33670316.23833923</v>
      </c>
      <c r="M16" s="47">
        <f>+IndicePreciosCapital!N9</f>
        <v>30635075.536646087</v>
      </c>
      <c r="N16" s="47">
        <f>+IndicePreciosCapital!O9</f>
        <v>35753802.256152779</v>
      </c>
    </row>
    <row r="17" spans="2:19" s="91" customFormat="1" ht="12" customHeight="1" outlineLevel="1">
      <c r="B17" s="44" t="s">
        <v>356</v>
      </c>
      <c r="C17" s="45">
        <f>+IndicePreciosTrabajo!D8</f>
        <v>4971466.47</v>
      </c>
      <c r="D17" s="45">
        <f>+IndicePreciosTrabajo!E8</f>
        <v>5403890.0484114802</v>
      </c>
      <c r="E17" s="45">
        <f>+IndicePreciosTrabajo!F8</f>
        <v>5404905.89575262</v>
      </c>
      <c r="F17" s="45">
        <f>+IndicePreciosTrabajo!G8</f>
        <v>6023492.5899999905</v>
      </c>
      <c r="G17" s="45"/>
      <c r="H17" s="45">
        <f>+IndicePreciosTrabajo!I8</f>
        <v>5952094.488307775</v>
      </c>
      <c r="I17" s="45">
        <f>+IndicePreciosTrabajo!J8</f>
        <v>7707236.6023885012</v>
      </c>
      <c r="J17" s="45">
        <f>+IndicePreciosTrabajo!K8</f>
        <v>8752072.4540408272</v>
      </c>
      <c r="K17" s="45">
        <f>+IndicePreciosTrabajo!L8</f>
        <v>9114354.9087506179</v>
      </c>
      <c r="L17" s="45">
        <f>+IndicePreciosTrabajo!M8</f>
        <v>10208373.206701221</v>
      </c>
      <c r="M17" s="45">
        <f>+IndicePreciosTrabajo!N8</f>
        <v>14748731.339264428</v>
      </c>
      <c r="N17" s="45">
        <f>+IndicePreciosTrabajo!O8</f>
        <v>15638298.79663155</v>
      </c>
      <c r="O17" s="287"/>
      <c r="Q17" s="287"/>
    </row>
    <row r="18" spans="2:19" s="91" customFormat="1" ht="12" customHeight="1" outlineLevel="1">
      <c r="B18" s="46" t="s">
        <v>357</v>
      </c>
      <c r="C18" s="47">
        <f>+IndicePreciosMateriales!D10</f>
        <v>9195000</v>
      </c>
      <c r="D18" s="47">
        <f>+IndicePreciosMateriales!E10</f>
        <v>10265000</v>
      </c>
      <c r="E18" s="47">
        <f>+IndicePreciosMateriales!F10</f>
        <v>10381000</v>
      </c>
      <c r="F18" s="47">
        <f>+IndicePreciosMateriales!G10</f>
        <v>10742579.554272298</v>
      </c>
      <c r="G18" s="47"/>
      <c r="H18" s="47">
        <f>+IndicePreciosMateriales!I10</f>
        <v>12201271</v>
      </c>
      <c r="I18" s="47">
        <f>+IndicePreciosMateriales!J10</f>
        <v>12885255.92</v>
      </c>
      <c r="J18" s="47">
        <f>+IndicePreciosMateriales!K10</f>
        <v>14038631.9</v>
      </c>
      <c r="K18" s="47">
        <f>+IndicePreciosMateriales!L10</f>
        <v>14808441.120000001</v>
      </c>
      <c r="L18" s="47">
        <f>+IndicePreciosMateriales!M10</f>
        <v>15519436.08</v>
      </c>
      <c r="M18" s="47">
        <f>+IndicePreciosMateriales!N10</f>
        <v>18347350.490000002</v>
      </c>
      <c r="N18" s="47">
        <f>+IndicePreciosMateriales!O10</f>
        <v>20862866.59</v>
      </c>
    </row>
    <row r="19" spans="2:19" s="91" customFormat="1" ht="12" customHeight="1" outlineLevel="1">
      <c r="B19" s="312" t="s">
        <v>361</v>
      </c>
      <c r="C19" s="313">
        <f>+SUM(C20:C22)</f>
        <v>22661595.913258128</v>
      </c>
      <c r="D19" s="313">
        <f t="shared" ref="D19:N19" si="4">+SUM(D20:D22)</f>
        <v>26679277.995093442</v>
      </c>
      <c r="E19" s="313">
        <f t="shared" si="4"/>
        <v>22039157.899502885</v>
      </c>
      <c r="F19" s="313">
        <f t="shared" si="4"/>
        <v>31149968.807354417</v>
      </c>
      <c r="G19" s="313"/>
      <c r="H19" s="313">
        <f t="shared" si="4"/>
        <v>35072206.615449362</v>
      </c>
      <c r="I19" s="313">
        <f t="shared" si="4"/>
        <v>41279291.745533451</v>
      </c>
      <c r="J19" s="313">
        <f t="shared" si="4"/>
        <v>47481779.481023699</v>
      </c>
      <c r="K19" s="313">
        <f t="shared" si="4"/>
        <v>39673187.009059146</v>
      </c>
      <c r="L19" s="313">
        <f t="shared" si="4"/>
        <v>72532486.905396298</v>
      </c>
      <c r="M19" s="313">
        <f t="shared" si="4"/>
        <v>59340198.594988741</v>
      </c>
      <c r="N19" s="313">
        <f t="shared" si="4"/>
        <v>66251642.295597494</v>
      </c>
    </row>
    <row r="20" spans="2:19" s="91" customFormat="1" ht="12" customHeight="1" outlineLevel="1">
      <c r="B20" s="46" t="s">
        <v>355</v>
      </c>
      <c r="C20" s="47">
        <f>+IndicePreciosCapital!D10</f>
        <v>8173222.3492916021</v>
      </c>
      <c r="D20" s="47">
        <f>+IndicePreciosCapital!E10</f>
        <v>11595506.472818868</v>
      </c>
      <c r="E20" s="47">
        <f>+IndicePreciosCapital!F10</f>
        <v>6738731.1632854436</v>
      </c>
      <c r="F20" s="47">
        <f>+IndicePreciosCapital!G10</f>
        <v>15298035.622534666</v>
      </c>
      <c r="G20" s="47"/>
      <c r="H20" s="47">
        <f>+IndicePreciosCapital!I10</f>
        <v>17160185.239733838</v>
      </c>
      <c r="I20" s="47">
        <f>+IndicePreciosCapital!J10</f>
        <v>21818399.717268389</v>
      </c>
      <c r="J20" s="47">
        <f>+IndicePreciosCapital!K10</f>
        <v>26388512.983331513</v>
      </c>
      <c r="K20" s="47">
        <f>+IndicePreciosCapital!L10</f>
        <v>15900788.202693317</v>
      </c>
      <c r="L20" s="47">
        <f>+IndicePreciosCapital!M10</f>
        <v>48782227.227394924</v>
      </c>
      <c r="M20" s="47">
        <f>+IndicePreciosCapital!N10</f>
        <v>31648909.742485847</v>
      </c>
      <c r="N20" s="47">
        <f>+IndicePreciosCapital!O10</f>
        <v>30428054.893480692</v>
      </c>
    </row>
    <row r="21" spans="2:19" s="91" customFormat="1" ht="12" customHeight="1" outlineLevel="1">
      <c r="B21" s="44" t="s">
        <v>356</v>
      </c>
      <c r="C21" s="45">
        <f>+IndicePreciosTrabajo!D9</f>
        <v>5310295.8149626516</v>
      </c>
      <c r="D21" s="45">
        <f>+IndicePreciosTrabajo!E9</f>
        <v>5333962.6043138681</v>
      </c>
      <c r="E21" s="45">
        <f>+IndicePreciosTrabajo!F9</f>
        <v>5387502.0802897764</v>
      </c>
      <c r="F21" s="45">
        <f>+IndicePreciosTrabajo!G9</f>
        <v>5749612.0578860743</v>
      </c>
      <c r="G21" s="45"/>
      <c r="H21" s="45">
        <f>+IndicePreciosTrabajo!I9</f>
        <v>6016362.4457564121</v>
      </c>
      <c r="I21" s="45">
        <f>+IndicePreciosTrabajo!J9</f>
        <v>7310655.154997047</v>
      </c>
      <c r="J21" s="45">
        <f>+IndicePreciosTrabajo!K9</f>
        <v>8470655.6052678842</v>
      </c>
      <c r="K21" s="45">
        <f>+IndicePreciosTrabajo!L9</f>
        <v>8867061.0897470564</v>
      </c>
      <c r="L21" s="45">
        <f>+IndicePreciosTrabajo!M9</f>
        <v>9528107.4319811035</v>
      </c>
      <c r="M21" s="45">
        <f>+IndicePreciosTrabajo!N9</f>
        <v>10439325.636223907</v>
      </c>
      <c r="N21" s="45">
        <f>+IndicePreciosTrabajo!O9</f>
        <v>16572991.13130871</v>
      </c>
      <c r="O21" s="287"/>
      <c r="Q21" s="287"/>
    </row>
    <row r="22" spans="2:19" s="91" customFormat="1" ht="12" customHeight="1" outlineLevel="1">
      <c r="B22" s="46" t="s">
        <v>357</v>
      </c>
      <c r="C22" s="47">
        <f>+IndicePreciosMateriales!D11</f>
        <v>9178077.7490038723</v>
      </c>
      <c r="D22" s="47">
        <f>+IndicePreciosMateriales!E11</f>
        <v>9749808.9179607052</v>
      </c>
      <c r="E22" s="47">
        <f>+IndicePreciosMateriales!F11</f>
        <v>9912924.6559276655</v>
      </c>
      <c r="F22" s="47">
        <f>+IndicePreciosMateriales!G11</f>
        <v>10102321.126933675</v>
      </c>
      <c r="G22" s="47"/>
      <c r="H22" s="47">
        <f>+IndicePreciosMateriales!I11</f>
        <v>11895658.929959109</v>
      </c>
      <c r="I22" s="47">
        <f>+IndicePreciosMateriales!J11</f>
        <v>12150236.873268019</v>
      </c>
      <c r="J22" s="47">
        <f>+IndicePreciosMateriales!K11</f>
        <v>12622610.892424297</v>
      </c>
      <c r="K22" s="47">
        <f>+IndicePreciosMateriales!L11</f>
        <v>14905337.716618771</v>
      </c>
      <c r="L22" s="47">
        <f>+IndicePreciosMateriales!M11</f>
        <v>14222152.246020278</v>
      </c>
      <c r="M22" s="47">
        <f>+IndicePreciosMateriales!N11</f>
        <v>17251963.216278985</v>
      </c>
      <c r="N22" s="47">
        <f>+IndicePreciosMateriales!O11</f>
        <v>19250596.27080809</v>
      </c>
    </row>
    <row r="23" spans="2:19" s="91" customFormat="1" ht="12" customHeight="1" outlineLevel="1">
      <c r="B23" s="312" t="s">
        <v>371</v>
      </c>
      <c r="C23" s="314">
        <f>+C15/C19</f>
        <v>1.129740224431647</v>
      </c>
      <c r="D23" s="314">
        <f t="shared" ref="D23:N23" si="5">+D15/D19</f>
        <v>0.85757271243980981</v>
      </c>
      <c r="E23" s="314">
        <f t="shared" si="5"/>
        <v>1.0334261200993311</v>
      </c>
      <c r="F23" s="314">
        <f t="shared" si="5"/>
        <v>0.87719564106236669</v>
      </c>
      <c r="G23" s="314"/>
      <c r="H23" s="314">
        <f t="shared" si="5"/>
        <v>1.1369889389803089</v>
      </c>
      <c r="I23" s="314">
        <f t="shared" si="5"/>
        <v>1.1793577410596487</v>
      </c>
      <c r="J23" s="314">
        <f t="shared" si="5"/>
        <v>0.79004978770584278</v>
      </c>
      <c r="K23" s="314">
        <f t="shared" si="5"/>
        <v>1.7238557611942602</v>
      </c>
      <c r="L23" s="314">
        <f t="shared" si="5"/>
        <v>0.8189175369446946</v>
      </c>
      <c r="M23" s="314">
        <f t="shared" si="5"/>
        <v>1.0739963612338261</v>
      </c>
      <c r="N23" s="314">
        <f t="shared" si="5"/>
        <v>1.090613985392265</v>
      </c>
    </row>
    <row r="24" spans="2:19" s="91" customFormat="1" ht="18.75" customHeight="1"/>
    <row r="25" spans="2:19" s="91" customFormat="1" ht="18.75" customHeight="1">
      <c r="O25" s="177"/>
    </row>
    <row r="26" spans="2:19" ht="18" customHeight="1" thickBot="1">
      <c r="B26" s="101" t="s">
        <v>368</v>
      </c>
      <c r="C26" s="101">
        <f>+C3</f>
        <v>2002</v>
      </c>
      <c r="D26" s="101">
        <f t="shared" ref="D26:I26" si="6">C26+1</f>
        <v>2003</v>
      </c>
      <c r="E26" s="101">
        <f t="shared" si="6"/>
        <v>2004</v>
      </c>
      <c r="F26" s="49" t="s">
        <v>469</v>
      </c>
      <c r="G26" s="88">
        <v>2005</v>
      </c>
      <c r="H26" s="101">
        <f t="shared" si="6"/>
        <v>2006</v>
      </c>
      <c r="I26" s="101">
        <f t="shared" si="6"/>
        <v>2007</v>
      </c>
      <c r="J26" s="101">
        <f>I26+1</f>
        <v>2008</v>
      </c>
      <c r="K26" s="101">
        <f>J26+1</f>
        <v>2009</v>
      </c>
      <c r="L26" s="101">
        <f>K26+1</f>
        <v>2010</v>
      </c>
      <c r="M26" s="101">
        <f>L26+1</f>
        <v>2011</v>
      </c>
      <c r="N26" s="101">
        <f>M26+1</f>
        <v>2012</v>
      </c>
    </row>
    <row r="27" spans="2:19" ht="14.25" customHeight="1" thickTop="1">
      <c r="B27" s="315" t="s">
        <v>522</v>
      </c>
      <c r="C27" s="315">
        <f>+C12</f>
        <v>1.1100955466882421</v>
      </c>
      <c r="D27" s="315">
        <f t="shared" ref="D27:N27" si="7">+D12</f>
        <v>0.85199314420504124</v>
      </c>
      <c r="E27" s="315">
        <f t="shared" si="7"/>
        <v>1.0345989618396008</v>
      </c>
      <c r="F27" s="315">
        <f t="shared" si="7"/>
        <v>0.94305297634975593</v>
      </c>
      <c r="G27" s="315"/>
      <c r="H27" s="315">
        <f t="shared" si="7"/>
        <v>1.1131462082281358</v>
      </c>
      <c r="I27" s="315">
        <f t="shared" si="7"/>
        <v>1.1849197969442182</v>
      </c>
      <c r="J27" s="315">
        <f t="shared" si="7"/>
        <v>0.77996234468668046</v>
      </c>
      <c r="K27" s="315">
        <f t="shared" si="7"/>
        <v>1.7118595761425917</v>
      </c>
      <c r="L27" s="315">
        <f t="shared" si="7"/>
        <v>0.82787072382736415</v>
      </c>
      <c r="M27" s="315">
        <f t="shared" si="7"/>
        <v>1.0691762416131727</v>
      </c>
      <c r="N27" s="315">
        <f t="shared" si="7"/>
        <v>1.095050567273774</v>
      </c>
      <c r="O27" s="292"/>
      <c r="Q27" s="292"/>
      <c r="S27" s="91"/>
    </row>
    <row r="28" spans="2:19" ht="14.25" customHeight="1">
      <c r="B28" s="316" t="s">
        <v>523</v>
      </c>
      <c r="C28" s="316">
        <f>+C23</f>
        <v>1.129740224431647</v>
      </c>
      <c r="D28" s="316">
        <f t="shared" ref="D28:N28" si="8">+D23</f>
        <v>0.85757271243980981</v>
      </c>
      <c r="E28" s="316">
        <f t="shared" si="8"/>
        <v>1.0334261200993311</v>
      </c>
      <c r="F28" s="316">
        <f t="shared" si="8"/>
        <v>0.87719564106236669</v>
      </c>
      <c r="G28" s="316"/>
      <c r="H28" s="316">
        <f t="shared" si="8"/>
        <v>1.1369889389803089</v>
      </c>
      <c r="I28" s="316">
        <f t="shared" si="8"/>
        <v>1.1793577410596487</v>
      </c>
      <c r="J28" s="316">
        <f t="shared" si="8"/>
        <v>0.79004978770584278</v>
      </c>
      <c r="K28" s="316">
        <f t="shared" si="8"/>
        <v>1.7238557611942602</v>
      </c>
      <c r="L28" s="316">
        <f t="shared" si="8"/>
        <v>0.8189175369446946</v>
      </c>
      <c r="M28" s="316">
        <f t="shared" si="8"/>
        <v>1.0739963612338261</v>
      </c>
      <c r="N28" s="316">
        <f t="shared" si="8"/>
        <v>1.090613985392265</v>
      </c>
      <c r="O28" s="292"/>
      <c r="Q28" s="292"/>
      <c r="S28" s="91"/>
    </row>
    <row r="29" spans="2:19" ht="14.25" customHeight="1">
      <c r="B29" s="315" t="s">
        <v>524</v>
      </c>
      <c r="C29" s="315">
        <f>(C27*C28)^0.5</f>
        <v>1.1198748108856393</v>
      </c>
      <c r="D29" s="315">
        <f>(D27*D28)^0.5</f>
        <v>0.85477837575364479</v>
      </c>
      <c r="E29" s="315">
        <f>(E27*E28)^0.5</f>
        <v>1.0340123746806391</v>
      </c>
      <c r="F29" s="315">
        <f>(F27*F28)^0.5</f>
        <v>0.90952842734292649</v>
      </c>
      <c r="G29" s="315"/>
      <c r="H29" s="315">
        <f t="shared" ref="H29:N29" si="9">(H27*H28)^0.5</f>
        <v>1.1250044116461331</v>
      </c>
      <c r="I29" s="315">
        <f t="shared" si="9"/>
        <v>1.1821354977586076</v>
      </c>
      <c r="J29" s="315">
        <f t="shared" si="9"/>
        <v>0.78498986288885497</v>
      </c>
      <c r="K29" s="315">
        <f t="shared" si="9"/>
        <v>1.7178471971304581</v>
      </c>
      <c r="L29" s="315">
        <f t="shared" si="9"/>
        <v>0.82338196122172025</v>
      </c>
      <c r="M29" s="315">
        <f t="shared" si="9"/>
        <v>1.0715835912378491</v>
      </c>
      <c r="N29" s="315">
        <f t="shared" si="9"/>
        <v>1.092830024926343</v>
      </c>
    </row>
    <row r="30" spans="2:19" ht="14.25" customHeight="1">
      <c r="B30" s="317" t="s">
        <v>529</v>
      </c>
      <c r="C30" s="317">
        <f>LN(C29)</f>
        <v>0.11321690306463623</v>
      </c>
      <c r="D30" s="317">
        <f>LN(D29)</f>
        <v>-0.15691305329086325</v>
      </c>
      <c r="E30" s="317">
        <f>LN(E29)</f>
        <v>3.3446743790870849E-2</v>
      </c>
      <c r="F30" s="317">
        <f>LN(F29)</f>
        <v>-9.482902550040534E-2</v>
      </c>
      <c r="G30" s="317"/>
      <c r="H30" s="317">
        <f t="shared" ref="H30:N30" si="10">LN(H29)</f>
        <v>0.11778695711192394</v>
      </c>
      <c r="I30" s="317">
        <f t="shared" si="10"/>
        <v>0.16732254672743843</v>
      </c>
      <c r="J30" s="317">
        <f t="shared" si="10"/>
        <v>-0.242084474800491</v>
      </c>
      <c r="K30" s="317">
        <f t="shared" si="10"/>
        <v>0.54107187730754436</v>
      </c>
      <c r="L30" s="317">
        <f t="shared" si="10"/>
        <v>-0.19433507755971199</v>
      </c>
      <c r="M30" s="317">
        <f t="shared" si="10"/>
        <v>6.9137546176389661E-2</v>
      </c>
      <c r="N30" s="317">
        <f t="shared" si="10"/>
        <v>8.8770684682375117E-2</v>
      </c>
    </row>
    <row r="31" spans="2:19" ht="18.75" customHeight="1">
      <c r="B31" s="92" t="s">
        <v>521</v>
      </c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173">
        <f>AVERAGE(C30:N30)</f>
        <v>4.023560251906428E-2</v>
      </c>
    </row>
    <row r="32" spans="2:19" s="291" customFormat="1">
      <c r="B32" s="303"/>
      <c r="C32" s="304"/>
      <c r="D32" s="304"/>
      <c r="E32" s="304"/>
      <c r="F32" s="304"/>
      <c r="G32" s="304"/>
      <c r="H32" s="304"/>
      <c r="I32" s="304"/>
      <c r="L32" s="91"/>
      <c r="M32" s="91"/>
      <c r="N32" s="91"/>
    </row>
    <row r="33" spans="3:15">
      <c r="C33" s="305"/>
      <c r="D33" s="305"/>
      <c r="E33" s="305"/>
      <c r="F33" s="305"/>
      <c r="G33" s="305"/>
      <c r="H33" s="306"/>
      <c r="I33" s="306"/>
      <c r="J33" s="306"/>
      <c r="K33" s="306"/>
      <c r="L33" s="306"/>
      <c r="M33" s="306"/>
      <c r="N33" s="306"/>
      <c r="O33" s="306"/>
    </row>
    <row r="34" spans="3:15">
      <c r="C34" s="300"/>
      <c r="D34" s="300"/>
      <c r="E34" s="300"/>
      <c r="F34" s="300"/>
      <c r="G34" s="300"/>
      <c r="H34" s="300"/>
      <c r="I34" s="300"/>
      <c r="J34" s="300"/>
      <c r="K34" s="300"/>
      <c r="L34" s="300"/>
      <c r="M34" s="300"/>
      <c r="N34" s="300"/>
    </row>
  </sheetData>
  <mergeCells count="1">
    <mergeCell ref="C1:F1"/>
  </mergeCells>
  <hyperlinks>
    <hyperlink ref="C1:F1" location="Indice!D3" display="ÍNDICE"/>
  </hyperlink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codeName="Hoja32">
    <tabColor rgb="FFC00000"/>
  </sheetPr>
  <dimension ref="A1:GJ48"/>
  <sheetViews>
    <sheetView showGridLines="0" workbookViewId="0">
      <selection activeCell="E2" sqref="E2:H2"/>
    </sheetView>
  </sheetViews>
  <sheetFormatPr baseColWidth="10" defaultColWidth="9.140625" defaultRowHeight="12.75"/>
  <cols>
    <col min="1" max="1" width="19.5703125" style="162" customWidth="1"/>
    <col min="2" max="15" width="8.42578125" style="162" customWidth="1"/>
    <col min="16" max="17" width="9.7109375" style="162" bestFit="1" customWidth="1"/>
    <col min="18" max="33" width="9.7109375" style="162" customWidth="1"/>
    <col min="34" max="41" width="9.7109375" style="162" bestFit="1" customWidth="1"/>
    <col min="42" max="44" width="9.28515625" style="162" bestFit="1" customWidth="1"/>
    <col min="45" max="113" width="9.7109375" style="162" bestFit="1" customWidth="1"/>
    <col min="114" max="127" width="9.28515625" style="162" bestFit="1" customWidth="1"/>
    <col min="128" max="130" width="9.7109375" style="162" bestFit="1" customWidth="1"/>
    <col min="131" max="131" width="9.28515625" style="162" bestFit="1" customWidth="1"/>
    <col min="132" max="132" width="9.7109375" style="162" bestFit="1" customWidth="1"/>
    <col min="133" max="136" width="9.28515625" style="162" bestFit="1" customWidth="1"/>
    <col min="137" max="173" width="9.7109375" style="162" bestFit="1" customWidth="1"/>
    <col min="174" max="273" width="9.140625" style="162"/>
    <col min="274" max="283" width="12" style="162" bestFit="1" customWidth="1"/>
    <col min="284" max="284" width="9.42578125" style="162" customWidth="1"/>
    <col min="285" max="286" width="12" style="162" bestFit="1" customWidth="1"/>
    <col min="287" max="529" width="9.140625" style="162"/>
    <col min="530" max="539" width="12" style="162" bestFit="1" customWidth="1"/>
    <col min="540" max="540" width="9.42578125" style="162" customWidth="1"/>
    <col min="541" max="542" width="12" style="162" bestFit="1" customWidth="1"/>
    <col min="543" max="785" width="9.140625" style="162"/>
    <col min="786" max="795" width="12" style="162" bestFit="1" customWidth="1"/>
    <col min="796" max="796" width="9.42578125" style="162" customWidth="1"/>
    <col min="797" max="798" width="12" style="162" bestFit="1" customWidth="1"/>
    <col min="799" max="1041" width="9.140625" style="162"/>
    <col min="1042" max="1051" width="12" style="162" bestFit="1" customWidth="1"/>
    <col min="1052" max="1052" width="9.42578125" style="162" customWidth="1"/>
    <col min="1053" max="1054" width="12" style="162" bestFit="1" customWidth="1"/>
    <col min="1055" max="1297" width="9.140625" style="162"/>
    <col min="1298" max="1307" width="12" style="162" bestFit="1" customWidth="1"/>
    <col min="1308" max="1308" width="9.42578125" style="162" customWidth="1"/>
    <col min="1309" max="1310" width="12" style="162" bestFit="1" customWidth="1"/>
    <col min="1311" max="1553" width="9.140625" style="162"/>
    <col min="1554" max="1563" width="12" style="162" bestFit="1" customWidth="1"/>
    <col min="1564" max="1564" width="9.42578125" style="162" customWidth="1"/>
    <col min="1565" max="1566" width="12" style="162" bestFit="1" customWidth="1"/>
    <col min="1567" max="1809" width="9.140625" style="162"/>
    <col min="1810" max="1819" width="12" style="162" bestFit="1" customWidth="1"/>
    <col min="1820" max="1820" width="9.42578125" style="162" customWidth="1"/>
    <col min="1821" max="1822" width="12" style="162" bestFit="1" customWidth="1"/>
    <col min="1823" max="2065" width="9.140625" style="162"/>
    <col min="2066" max="2075" width="12" style="162" bestFit="1" customWidth="1"/>
    <col min="2076" max="2076" width="9.42578125" style="162" customWidth="1"/>
    <col min="2077" max="2078" width="12" style="162" bestFit="1" customWidth="1"/>
    <col min="2079" max="2321" width="9.140625" style="162"/>
    <col min="2322" max="2331" width="12" style="162" bestFit="1" customWidth="1"/>
    <col min="2332" max="2332" width="9.42578125" style="162" customWidth="1"/>
    <col min="2333" max="2334" width="12" style="162" bestFit="1" customWidth="1"/>
    <col min="2335" max="2577" width="9.140625" style="162"/>
    <col min="2578" max="2587" width="12" style="162" bestFit="1" customWidth="1"/>
    <col min="2588" max="2588" width="9.42578125" style="162" customWidth="1"/>
    <col min="2589" max="2590" width="12" style="162" bestFit="1" customWidth="1"/>
    <col min="2591" max="2833" width="9.140625" style="162"/>
    <col min="2834" max="2843" width="12" style="162" bestFit="1" customWidth="1"/>
    <col min="2844" max="2844" width="9.42578125" style="162" customWidth="1"/>
    <col min="2845" max="2846" width="12" style="162" bestFit="1" customWidth="1"/>
    <col min="2847" max="3089" width="9.140625" style="162"/>
    <col min="3090" max="3099" width="12" style="162" bestFit="1" customWidth="1"/>
    <col min="3100" max="3100" width="9.42578125" style="162" customWidth="1"/>
    <col min="3101" max="3102" width="12" style="162" bestFit="1" customWidth="1"/>
    <col min="3103" max="3345" width="9.140625" style="162"/>
    <col min="3346" max="3355" width="12" style="162" bestFit="1" customWidth="1"/>
    <col min="3356" max="3356" width="9.42578125" style="162" customWidth="1"/>
    <col min="3357" max="3358" width="12" style="162" bestFit="1" customWidth="1"/>
    <col min="3359" max="3601" width="9.140625" style="162"/>
    <col min="3602" max="3611" width="12" style="162" bestFit="1" customWidth="1"/>
    <col min="3612" max="3612" width="9.42578125" style="162" customWidth="1"/>
    <col min="3613" max="3614" width="12" style="162" bestFit="1" customWidth="1"/>
    <col min="3615" max="3857" width="9.140625" style="162"/>
    <col min="3858" max="3867" width="12" style="162" bestFit="1" customWidth="1"/>
    <col min="3868" max="3868" width="9.42578125" style="162" customWidth="1"/>
    <col min="3869" max="3870" width="12" style="162" bestFit="1" customWidth="1"/>
    <col min="3871" max="4113" width="9.140625" style="162"/>
    <col min="4114" max="4123" width="12" style="162" bestFit="1" customWidth="1"/>
    <col min="4124" max="4124" width="9.42578125" style="162" customWidth="1"/>
    <col min="4125" max="4126" width="12" style="162" bestFit="1" customWidth="1"/>
    <col min="4127" max="4369" width="9.140625" style="162"/>
    <col min="4370" max="4379" width="12" style="162" bestFit="1" customWidth="1"/>
    <col min="4380" max="4380" width="9.42578125" style="162" customWidth="1"/>
    <col min="4381" max="4382" width="12" style="162" bestFit="1" customWidth="1"/>
    <col min="4383" max="4625" width="9.140625" style="162"/>
    <col min="4626" max="4635" width="12" style="162" bestFit="1" customWidth="1"/>
    <col min="4636" max="4636" width="9.42578125" style="162" customWidth="1"/>
    <col min="4637" max="4638" width="12" style="162" bestFit="1" customWidth="1"/>
    <col min="4639" max="4881" width="9.140625" style="162"/>
    <col min="4882" max="4891" width="12" style="162" bestFit="1" customWidth="1"/>
    <col min="4892" max="4892" width="9.42578125" style="162" customWidth="1"/>
    <col min="4893" max="4894" width="12" style="162" bestFit="1" customWidth="1"/>
    <col min="4895" max="5137" width="9.140625" style="162"/>
    <col min="5138" max="5147" width="12" style="162" bestFit="1" customWidth="1"/>
    <col min="5148" max="5148" width="9.42578125" style="162" customWidth="1"/>
    <col min="5149" max="5150" width="12" style="162" bestFit="1" customWidth="1"/>
    <col min="5151" max="5393" width="9.140625" style="162"/>
    <col min="5394" max="5403" width="12" style="162" bestFit="1" customWidth="1"/>
    <col min="5404" max="5404" width="9.42578125" style="162" customWidth="1"/>
    <col min="5405" max="5406" width="12" style="162" bestFit="1" customWidth="1"/>
    <col min="5407" max="5649" width="9.140625" style="162"/>
    <col min="5650" max="5659" width="12" style="162" bestFit="1" customWidth="1"/>
    <col min="5660" max="5660" width="9.42578125" style="162" customWidth="1"/>
    <col min="5661" max="5662" width="12" style="162" bestFit="1" customWidth="1"/>
    <col min="5663" max="5905" width="9.140625" style="162"/>
    <col min="5906" max="5915" width="12" style="162" bestFit="1" customWidth="1"/>
    <col min="5916" max="5916" width="9.42578125" style="162" customWidth="1"/>
    <col min="5917" max="5918" width="12" style="162" bestFit="1" customWidth="1"/>
    <col min="5919" max="6161" width="9.140625" style="162"/>
    <col min="6162" max="6171" width="12" style="162" bestFit="1" customWidth="1"/>
    <col min="6172" max="6172" width="9.42578125" style="162" customWidth="1"/>
    <col min="6173" max="6174" width="12" style="162" bestFit="1" customWidth="1"/>
    <col min="6175" max="6417" width="9.140625" style="162"/>
    <col min="6418" max="6427" width="12" style="162" bestFit="1" customWidth="1"/>
    <col min="6428" max="6428" width="9.42578125" style="162" customWidth="1"/>
    <col min="6429" max="6430" width="12" style="162" bestFit="1" customWidth="1"/>
    <col min="6431" max="6673" width="9.140625" style="162"/>
    <col min="6674" max="6683" width="12" style="162" bestFit="1" customWidth="1"/>
    <col min="6684" max="6684" width="9.42578125" style="162" customWidth="1"/>
    <col min="6685" max="6686" width="12" style="162" bestFit="1" customWidth="1"/>
    <col min="6687" max="6929" width="9.140625" style="162"/>
    <col min="6930" max="6939" width="12" style="162" bestFit="1" customWidth="1"/>
    <col min="6940" max="6940" width="9.42578125" style="162" customWidth="1"/>
    <col min="6941" max="6942" width="12" style="162" bestFit="1" customWidth="1"/>
    <col min="6943" max="7185" width="9.140625" style="162"/>
    <col min="7186" max="7195" width="12" style="162" bestFit="1" customWidth="1"/>
    <col min="7196" max="7196" width="9.42578125" style="162" customWidth="1"/>
    <col min="7197" max="7198" width="12" style="162" bestFit="1" customWidth="1"/>
    <col min="7199" max="7441" width="9.140625" style="162"/>
    <col min="7442" max="7451" width="12" style="162" bestFit="1" customWidth="1"/>
    <col min="7452" max="7452" width="9.42578125" style="162" customWidth="1"/>
    <col min="7453" max="7454" width="12" style="162" bestFit="1" customWidth="1"/>
    <col min="7455" max="7697" width="9.140625" style="162"/>
    <col min="7698" max="7707" width="12" style="162" bestFit="1" customWidth="1"/>
    <col min="7708" max="7708" width="9.42578125" style="162" customWidth="1"/>
    <col min="7709" max="7710" width="12" style="162" bestFit="1" customWidth="1"/>
    <col min="7711" max="7953" width="9.140625" style="162"/>
    <col min="7954" max="7963" width="12" style="162" bestFit="1" customWidth="1"/>
    <col min="7964" max="7964" width="9.42578125" style="162" customWidth="1"/>
    <col min="7965" max="7966" width="12" style="162" bestFit="1" customWidth="1"/>
    <col min="7967" max="8209" width="9.140625" style="162"/>
    <col min="8210" max="8219" width="12" style="162" bestFit="1" customWidth="1"/>
    <col min="8220" max="8220" width="9.42578125" style="162" customWidth="1"/>
    <col min="8221" max="8222" width="12" style="162" bestFit="1" customWidth="1"/>
    <col min="8223" max="8465" width="9.140625" style="162"/>
    <col min="8466" max="8475" width="12" style="162" bestFit="1" customWidth="1"/>
    <col min="8476" max="8476" width="9.42578125" style="162" customWidth="1"/>
    <col min="8477" max="8478" width="12" style="162" bestFit="1" customWidth="1"/>
    <col min="8479" max="8721" width="9.140625" style="162"/>
    <col min="8722" max="8731" width="12" style="162" bestFit="1" customWidth="1"/>
    <col min="8732" max="8732" width="9.42578125" style="162" customWidth="1"/>
    <col min="8733" max="8734" width="12" style="162" bestFit="1" customWidth="1"/>
    <col min="8735" max="8977" width="9.140625" style="162"/>
    <col min="8978" max="8987" width="12" style="162" bestFit="1" customWidth="1"/>
    <col min="8988" max="8988" width="9.42578125" style="162" customWidth="1"/>
    <col min="8989" max="8990" width="12" style="162" bestFit="1" customWidth="1"/>
    <col min="8991" max="9233" width="9.140625" style="162"/>
    <col min="9234" max="9243" width="12" style="162" bestFit="1" customWidth="1"/>
    <col min="9244" max="9244" width="9.42578125" style="162" customWidth="1"/>
    <col min="9245" max="9246" width="12" style="162" bestFit="1" customWidth="1"/>
    <col min="9247" max="9489" width="9.140625" style="162"/>
    <col min="9490" max="9499" width="12" style="162" bestFit="1" customWidth="1"/>
    <col min="9500" max="9500" width="9.42578125" style="162" customWidth="1"/>
    <col min="9501" max="9502" width="12" style="162" bestFit="1" customWidth="1"/>
    <col min="9503" max="9745" width="9.140625" style="162"/>
    <col min="9746" max="9755" width="12" style="162" bestFit="1" customWidth="1"/>
    <col min="9756" max="9756" width="9.42578125" style="162" customWidth="1"/>
    <col min="9757" max="9758" width="12" style="162" bestFit="1" customWidth="1"/>
    <col min="9759" max="10001" width="9.140625" style="162"/>
    <col min="10002" max="10011" width="12" style="162" bestFit="1" customWidth="1"/>
    <col min="10012" max="10012" width="9.42578125" style="162" customWidth="1"/>
    <col min="10013" max="10014" width="12" style="162" bestFit="1" customWidth="1"/>
    <col min="10015" max="10257" width="9.140625" style="162"/>
    <col min="10258" max="10267" width="12" style="162" bestFit="1" customWidth="1"/>
    <col min="10268" max="10268" width="9.42578125" style="162" customWidth="1"/>
    <col min="10269" max="10270" width="12" style="162" bestFit="1" customWidth="1"/>
    <col min="10271" max="10513" width="9.140625" style="162"/>
    <col min="10514" max="10523" width="12" style="162" bestFit="1" customWidth="1"/>
    <col min="10524" max="10524" width="9.42578125" style="162" customWidth="1"/>
    <col min="10525" max="10526" width="12" style="162" bestFit="1" customWidth="1"/>
    <col min="10527" max="10769" width="9.140625" style="162"/>
    <col min="10770" max="10779" width="12" style="162" bestFit="1" customWidth="1"/>
    <col min="10780" max="10780" width="9.42578125" style="162" customWidth="1"/>
    <col min="10781" max="10782" width="12" style="162" bestFit="1" customWidth="1"/>
    <col min="10783" max="11025" width="9.140625" style="162"/>
    <col min="11026" max="11035" width="12" style="162" bestFit="1" customWidth="1"/>
    <col min="11036" max="11036" width="9.42578125" style="162" customWidth="1"/>
    <col min="11037" max="11038" width="12" style="162" bestFit="1" customWidth="1"/>
    <col min="11039" max="11281" width="9.140625" style="162"/>
    <col min="11282" max="11291" width="12" style="162" bestFit="1" customWidth="1"/>
    <col min="11292" max="11292" width="9.42578125" style="162" customWidth="1"/>
    <col min="11293" max="11294" width="12" style="162" bestFit="1" customWidth="1"/>
    <col min="11295" max="11537" width="9.140625" style="162"/>
    <col min="11538" max="11547" width="12" style="162" bestFit="1" customWidth="1"/>
    <col min="11548" max="11548" width="9.42578125" style="162" customWidth="1"/>
    <col min="11549" max="11550" width="12" style="162" bestFit="1" customWidth="1"/>
    <col min="11551" max="11793" width="9.140625" style="162"/>
    <col min="11794" max="11803" width="12" style="162" bestFit="1" customWidth="1"/>
    <col min="11804" max="11804" width="9.42578125" style="162" customWidth="1"/>
    <col min="11805" max="11806" width="12" style="162" bestFit="1" customWidth="1"/>
    <col min="11807" max="12049" width="9.140625" style="162"/>
    <col min="12050" max="12059" width="12" style="162" bestFit="1" customWidth="1"/>
    <col min="12060" max="12060" width="9.42578125" style="162" customWidth="1"/>
    <col min="12061" max="12062" width="12" style="162" bestFit="1" customWidth="1"/>
    <col min="12063" max="12305" width="9.140625" style="162"/>
    <col min="12306" max="12315" width="12" style="162" bestFit="1" customWidth="1"/>
    <col min="12316" max="12316" width="9.42578125" style="162" customWidth="1"/>
    <col min="12317" max="12318" width="12" style="162" bestFit="1" customWidth="1"/>
    <col min="12319" max="12561" width="9.140625" style="162"/>
    <col min="12562" max="12571" width="12" style="162" bestFit="1" customWidth="1"/>
    <col min="12572" max="12572" width="9.42578125" style="162" customWidth="1"/>
    <col min="12573" max="12574" width="12" style="162" bestFit="1" customWidth="1"/>
    <col min="12575" max="12817" width="9.140625" style="162"/>
    <col min="12818" max="12827" width="12" style="162" bestFit="1" customWidth="1"/>
    <col min="12828" max="12828" width="9.42578125" style="162" customWidth="1"/>
    <col min="12829" max="12830" width="12" style="162" bestFit="1" customWidth="1"/>
    <col min="12831" max="13073" width="9.140625" style="162"/>
    <col min="13074" max="13083" width="12" style="162" bestFit="1" customWidth="1"/>
    <col min="13084" max="13084" width="9.42578125" style="162" customWidth="1"/>
    <col min="13085" max="13086" width="12" style="162" bestFit="1" customWidth="1"/>
    <col min="13087" max="13329" width="9.140625" style="162"/>
    <col min="13330" max="13339" width="12" style="162" bestFit="1" customWidth="1"/>
    <col min="13340" max="13340" width="9.42578125" style="162" customWidth="1"/>
    <col min="13341" max="13342" width="12" style="162" bestFit="1" customWidth="1"/>
    <col min="13343" max="13585" width="9.140625" style="162"/>
    <col min="13586" max="13595" width="12" style="162" bestFit="1" customWidth="1"/>
    <col min="13596" max="13596" width="9.42578125" style="162" customWidth="1"/>
    <col min="13597" max="13598" width="12" style="162" bestFit="1" customWidth="1"/>
    <col min="13599" max="13841" width="9.140625" style="162"/>
    <col min="13842" max="13851" width="12" style="162" bestFit="1" customWidth="1"/>
    <col min="13852" max="13852" width="9.42578125" style="162" customWidth="1"/>
    <col min="13853" max="13854" width="12" style="162" bestFit="1" customWidth="1"/>
    <col min="13855" max="14097" width="9.140625" style="162"/>
    <col min="14098" max="14107" width="12" style="162" bestFit="1" customWidth="1"/>
    <col min="14108" max="14108" width="9.42578125" style="162" customWidth="1"/>
    <col min="14109" max="14110" width="12" style="162" bestFit="1" customWidth="1"/>
    <col min="14111" max="14353" width="9.140625" style="162"/>
    <col min="14354" max="14363" width="12" style="162" bestFit="1" customWidth="1"/>
    <col min="14364" max="14364" width="9.42578125" style="162" customWidth="1"/>
    <col min="14365" max="14366" width="12" style="162" bestFit="1" customWidth="1"/>
    <col min="14367" max="14609" width="9.140625" style="162"/>
    <col min="14610" max="14619" width="12" style="162" bestFit="1" customWidth="1"/>
    <col min="14620" max="14620" width="9.42578125" style="162" customWidth="1"/>
    <col min="14621" max="14622" width="12" style="162" bestFit="1" customWidth="1"/>
    <col min="14623" max="14865" width="9.140625" style="162"/>
    <col min="14866" max="14875" width="12" style="162" bestFit="1" customWidth="1"/>
    <col min="14876" max="14876" width="9.42578125" style="162" customWidth="1"/>
    <col min="14877" max="14878" width="12" style="162" bestFit="1" customWidth="1"/>
    <col min="14879" max="15121" width="9.140625" style="162"/>
    <col min="15122" max="15131" width="12" style="162" bestFit="1" customWidth="1"/>
    <col min="15132" max="15132" width="9.42578125" style="162" customWidth="1"/>
    <col min="15133" max="15134" width="12" style="162" bestFit="1" customWidth="1"/>
    <col min="15135" max="15377" width="9.140625" style="162"/>
    <col min="15378" max="15387" width="12" style="162" bestFit="1" customWidth="1"/>
    <col min="15388" max="15388" width="9.42578125" style="162" customWidth="1"/>
    <col min="15389" max="15390" width="12" style="162" bestFit="1" customWidth="1"/>
    <col min="15391" max="15633" width="9.140625" style="162"/>
    <col min="15634" max="15643" width="12" style="162" bestFit="1" customWidth="1"/>
    <col min="15644" max="15644" width="9.42578125" style="162" customWidth="1"/>
    <col min="15645" max="15646" width="12" style="162" bestFit="1" customWidth="1"/>
    <col min="15647" max="15889" width="9.140625" style="162"/>
    <col min="15890" max="15899" width="12" style="162" bestFit="1" customWidth="1"/>
    <col min="15900" max="15900" width="9.42578125" style="162" customWidth="1"/>
    <col min="15901" max="15902" width="12" style="162" bestFit="1" customWidth="1"/>
    <col min="15903" max="16145" width="9.140625" style="162"/>
    <col min="16146" max="16155" width="12" style="162" bestFit="1" customWidth="1"/>
    <col min="16156" max="16156" width="9.42578125" style="162" customWidth="1"/>
    <col min="16157" max="16158" width="12" style="162" bestFit="1" customWidth="1"/>
    <col min="16159" max="16384" width="9.140625" style="162"/>
  </cols>
  <sheetData>
    <row r="1" spans="1:192">
      <c r="R1" s="77"/>
      <c r="S1" s="77"/>
      <c r="T1" s="77"/>
      <c r="U1" s="77"/>
      <c r="V1" s="77"/>
      <c r="AJ1" s="163" t="s">
        <v>201</v>
      </c>
    </row>
    <row r="2" spans="1:192" ht="15">
      <c r="E2" s="444" t="s">
        <v>555</v>
      </c>
      <c r="F2" s="444"/>
      <c r="G2" s="444"/>
      <c r="H2" s="444"/>
      <c r="P2" s="77"/>
      <c r="R2" s="77"/>
      <c r="S2" s="77"/>
      <c r="T2" s="77"/>
      <c r="U2" s="77"/>
      <c r="V2" s="77"/>
      <c r="AJ2" s="162">
        <v>2000</v>
      </c>
      <c r="AV2" s="162">
        <v>2001</v>
      </c>
      <c r="BH2" s="162">
        <v>2002</v>
      </c>
      <c r="BT2" s="162">
        <v>2003</v>
      </c>
      <c r="CF2" s="162">
        <v>2004</v>
      </c>
      <c r="CR2" s="162">
        <v>2005</v>
      </c>
      <c r="DD2" s="162">
        <v>2006</v>
      </c>
      <c r="DP2" s="162">
        <v>2007</v>
      </c>
      <c r="EB2" s="162">
        <v>2008</v>
      </c>
      <c r="EN2" s="162">
        <v>2009</v>
      </c>
      <c r="EZ2" s="162">
        <v>2010</v>
      </c>
      <c r="FL2" s="162">
        <v>2011</v>
      </c>
      <c r="FX2" s="162">
        <v>2012</v>
      </c>
    </row>
    <row r="3" spans="1:192" s="77" customFormat="1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92"/>
      <c r="P3" s="191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  <c r="CY3" s="164"/>
      <c r="CZ3" s="164"/>
      <c r="DA3" s="164"/>
      <c r="DB3" s="164"/>
      <c r="DC3" s="164"/>
      <c r="DD3" s="164"/>
      <c r="DE3" s="164"/>
      <c r="DF3" s="164"/>
      <c r="DG3" s="164"/>
      <c r="DH3" s="164"/>
      <c r="DI3" s="164"/>
      <c r="DJ3" s="164"/>
      <c r="DK3" s="164"/>
      <c r="DL3" s="164"/>
      <c r="DM3" s="164"/>
      <c r="DN3" s="164"/>
      <c r="DO3" s="164"/>
      <c r="DP3" s="164"/>
      <c r="DQ3" s="164"/>
      <c r="DR3" s="164"/>
      <c r="DS3" s="164"/>
      <c r="DT3" s="164"/>
      <c r="DU3" s="164"/>
      <c r="DV3" s="164"/>
      <c r="DW3" s="164"/>
      <c r="DX3" s="164"/>
      <c r="DY3" s="164"/>
      <c r="DZ3" s="164"/>
      <c r="EA3" s="164"/>
      <c r="EB3" s="164"/>
      <c r="EC3" s="164"/>
      <c r="ED3" s="164"/>
      <c r="EE3" s="164"/>
      <c r="EF3" s="164"/>
      <c r="EG3" s="164"/>
      <c r="EH3" s="164"/>
      <c r="EI3" s="164"/>
      <c r="EJ3" s="164"/>
      <c r="EK3" s="164"/>
      <c r="EL3" s="164"/>
      <c r="EM3" s="164"/>
      <c r="EN3" s="164"/>
      <c r="EO3" s="164"/>
      <c r="EP3" s="164"/>
      <c r="EQ3" s="164"/>
      <c r="ER3" s="164"/>
      <c r="ES3" s="164"/>
      <c r="ET3" s="164"/>
      <c r="EU3" s="164"/>
      <c r="EV3" s="164"/>
      <c r="EW3" s="164"/>
      <c r="EX3" s="164"/>
      <c r="EY3" s="164"/>
      <c r="EZ3" s="164"/>
      <c r="FA3" s="164"/>
      <c r="FB3" s="164"/>
      <c r="FC3" s="164"/>
      <c r="FD3" s="164"/>
      <c r="FE3" s="164"/>
      <c r="FF3" s="164"/>
      <c r="FG3" s="164"/>
      <c r="FH3" s="164"/>
      <c r="FI3" s="164"/>
      <c r="FJ3" s="164"/>
      <c r="FK3" s="164"/>
      <c r="FL3" s="164"/>
      <c r="FM3" s="164"/>
      <c r="FN3" s="164"/>
      <c r="FO3" s="164"/>
      <c r="FP3" s="164"/>
      <c r="FQ3" s="164"/>
      <c r="FR3" s="164"/>
      <c r="FS3" s="164"/>
      <c r="FT3" s="164"/>
      <c r="FU3" s="164"/>
      <c r="FV3" s="164"/>
      <c r="FW3" s="164"/>
      <c r="FX3" s="164"/>
      <c r="FY3" s="164"/>
      <c r="FZ3" s="164"/>
      <c r="GA3" s="164"/>
      <c r="GB3" s="164"/>
      <c r="GC3" s="164"/>
      <c r="GD3" s="164"/>
      <c r="GE3" s="164"/>
      <c r="GF3" s="164"/>
      <c r="GG3" s="164"/>
      <c r="GH3" s="164"/>
      <c r="GI3" s="164"/>
      <c r="GJ3" s="162"/>
    </row>
    <row r="4" spans="1:192" s="77" customFormat="1" ht="13.5" thickBot="1">
      <c r="A4" s="88" t="s">
        <v>403</v>
      </c>
      <c r="B4" s="88">
        <v>2000</v>
      </c>
      <c r="C4" s="88">
        <v>2001</v>
      </c>
      <c r="D4" s="88">
        <v>2002</v>
      </c>
      <c r="E4" s="88">
        <v>2003</v>
      </c>
      <c r="F4" s="88">
        <v>2004</v>
      </c>
      <c r="G4" s="88">
        <v>2005</v>
      </c>
      <c r="H4" s="88">
        <v>2006</v>
      </c>
      <c r="I4" s="88">
        <v>2007</v>
      </c>
      <c r="J4" s="88">
        <v>2008</v>
      </c>
      <c r="K4" s="88">
        <v>2009</v>
      </c>
      <c r="L4" s="88">
        <v>2010</v>
      </c>
      <c r="M4" s="88">
        <v>2011</v>
      </c>
      <c r="N4" s="88">
        <v>2012</v>
      </c>
      <c r="O4" s="88" t="s">
        <v>147</v>
      </c>
      <c r="P4" s="191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4"/>
      <c r="EF4" s="164"/>
      <c r="EG4" s="164"/>
      <c r="EH4" s="164"/>
      <c r="EI4" s="164"/>
      <c r="EJ4" s="164"/>
      <c r="EK4" s="164"/>
      <c r="EL4" s="164"/>
      <c r="EM4" s="164"/>
      <c r="EN4" s="164"/>
      <c r="EO4" s="164"/>
      <c r="EP4" s="164"/>
      <c r="EQ4" s="164"/>
      <c r="ER4" s="164"/>
      <c r="ES4" s="164"/>
      <c r="ET4" s="164"/>
      <c r="EU4" s="164"/>
      <c r="EV4" s="164"/>
      <c r="EW4" s="164"/>
      <c r="EX4" s="164"/>
      <c r="EY4" s="164"/>
      <c r="EZ4" s="164"/>
      <c r="FA4" s="164"/>
      <c r="FB4" s="164"/>
      <c r="FC4" s="164"/>
      <c r="FD4" s="164"/>
      <c r="FE4" s="164"/>
      <c r="FF4" s="164"/>
      <c r="FG4" s="164"/>
      <c r="FH4" s="164"/>
      <c r="FI4" s="164"/>
      <c r="FJ4" s="164"/>
      <c r="FK4" s="164"/>
      <c r="FL4" s="164"/>
      <c r="FM4" s="164"/>
      <c r="FN4" s="164"/>
      <c r="FO4" s="164"/>
      <c r="FP4" s="164"/>
      <c r="FQ4" s="164"/>
      <c r="FR4" s="164"/>
      <c r="FS4" s="164"/>
      <c r="FT4" s="164"/>
      <c r="FU4" s="164"/>
      <c r="FV4" s="164"/>
      <c r="FW4" s="164"/>
      <c r="FX4" s="164"/>
      <c r="FY4" s="164"/>
      <c r="FZ4" s="164"/>
      <c r="GA4" s="164"/>
      <c r="GB4" s="164"/>
      <c r="GC4" s="164"/>
      <c r="GD4" s="164"/>
      <c r="GE4" s="164"/>
      <c r="GF4" s="164"/>
      <c r="GG4" s="164"/>
      <c r="GH4" s="164"/>
      <c r="GI4" s="164"/>
      <c r="GJ4" s="162"/>
    </row>
    <row r="5" spans="1:192" s="77" customFormat="1" ht="13.5" thickTop="1">
      <c r="A5" s="217" t="s">
        <v>202</v>
      </c>
      <c r="B5" s="217">
        <v>78.745801999999998</v>
      </c>
      <c r="C5" s="217">
        <v>81.782987000000006</v>
      </c>
      <c r="D5" s="217">
        <v>81.101951</v>
      </c>
      <c r="E5" s="217">
        <v>82.953156000000007</v>
      </c>
      <c r="F5" s="217">
        <v>85.273071999999999</v>
      </c>
      <c r="G5" s="217">
        <v>87.857680999999999</v>
      </c>
      <c r="H5" s="217">
        <v>89.526347000000001</v>
      </c>
      <c r="I5" s="217">
        <v>90.103069000000005</v>
      </c>
      <c r="J5" s="217">
        <v>93.84111</v>
      </c>
      <c r="K5" s="217">
        <v>99.965633999999994</v>
      </c>
      <c r="L5" s="217">
        <v>100.401203</v>
      </c>
      <c r="M5" s="217">
        <v>102.582562</v>
      </c>
      <c r="N5" s="217">
        <v>106.91704900000001</v>
      </c>
      <c r="O5" s="218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64"/>
      <c r="DE5" s="164"/>
      <c r="DF5" s="164"/>
      <c r="DG5" s="164"/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4"/>
      <c r="EW5" s="164"/>
      <c r="EX5" s="164"/>
      <c r="EY5" s="164"/>
      <c r="EZ5" s="164"/>
      <c r="FA5" s="164"/>
      <c r="FB5" s="164"/>
      <c r="FC5" s="164"/>
      <c r="FD5" s="164"/>
      <c r="FE5" s="164"/>
      <c r="FF5" s="164"/>
      <c r="FG5" s="164"/>
      <c r="FH5" s="164"/>
      <c r="FI5" s="164"/>
      <c r="FJ5" s="164"/>
      <c r="FK5" s="164"/>
      <c r="FL5" s="164"/>
      <c r="FM5" s="164"/>
      <c r="FN5" s="164"/>
      <c r="FO5" s="164"/>
      <c r="FP5" s="164"/>
      <c r="FQ5" s="164"/>
      <c r="FR5" s="164"/>
      <c r="FS5" s="164"/>
      <c r="FT5" s="164"/>
      <c r="FU5" s="164"/>
      <c r="FV5" s="164"/>
      <c r="FW5" s="164"/>
      <c r="FX5" s="164"/>
      <c r="FY5" s="164"/>
      <c r="FZ5" s="164"/>
      <c r="GA5" s="164"/>
      <c r="GB5" s="164"/>
      <c r="GC5" s="164"/>
      <c r="GD5" s="164"/>
      <c r="GE5" s="164"/>
      <c r="GF5" s="164"/>
      <c r="GG5" s="164"/>
      <c r="GH5" s="164"/>
      <c r="GI5" s="164"/>
      <c r="GJ5" s="162"/>
    </row>
    <row r="6" spans="1:192" s="77" customFormat="1">
      <c r="A6" s="218" t="s">
        <v>203</v>
      </c>
      <c r="B6" s="218">
        <v>79.123884000000004</v>
      </c>
      <c r="C6" s="218">
        <v>81.983653000000004</v>
      </c>
      <c r="D6" s="218">
        <v>81.070059999999998</v>
      </c>
      <c r="E6" s="218">
        <v>83.342061000000001</v>
      </c>
      <c r="F6" s="218">
        <v>86.199209999999994</v>
      </c>
      <c r="G6" s="218">
        <v>87.651549000000003</v>
      </c>
      <c r="H6" s="218">
        <v>90.017200000000003</v>
      </c>
      <c r="I6" s="218">
        <v>90.336856999999995</v>
      </c>
      <c r="J6" s="218">
        <v>94.692266000000004</v>
      </c>
      <c r="K6" s="218">
        <v>99.890872999999999</v>
      </c>
      <c r="L6" s="218">
        <v>100.725005</v>
      </c>
      <c r="M6" s="218">
        <v>102.974757</v>
      </c>
      <c r="N6" s="218">
        <v>107.264432</v>
      </c>
      <c r="O6" s="218"/>
      <c r="P6" s="253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164"/>
      <c r="CF6" s="164"/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164"/>
      <c r="CS6" s="164"/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164"/>
      <c r="DF6" s="164"/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4"/>
      <c r="DR6" s="164"/>
      <c r="DS6" s="164"/>
      <c r="DT6" s="164"/>
      <c r="DU6" s="164"/>
      <c r="DV6" s="164"/>
      <c r="DW6" s="164"/>
      <c r="DX6" s="164"/>
      <c r="DY6" s="164"/>
      <c r="DZ6" s="164"/>
      <c r="EA6" s="164"/>
      <c r="EB6" s="164"/>
      <c r="EC6" s="164"/>
      <c r="ED6" s="164"/>
      <c r="EE6" s="164"/>
      <c r="EF6" s="164"/>
      <c r="EG6" s="164"/>
      <c r="EH6" s="164"/>
      <c r="EI6" s="164"/>
      <c r="EJ6" s="164"/>
      <c r="EK6" s="164"/>
      <c r="EL6" s="164"/>
      <c r="EM6" s="164"/>
      <c r="EN6" s="164"/>
      <c r="EO6" s="164"/>
      <c r="EP6" s="164"/>
      <c r="EQ6" s="164"/>
      <c r="ER6" s="164"/>
      <c r="ES6" s="164"/>
      <c r="ET6" s="164"/>
      <c r="EU6" s="164"/>
      <c r="EV6" s="164"/>
      <c r="EW6" s="164"/>
      <c r="EX6" s="164"/>
      <c r="EY6" s="164"/>
      <c r="EZ6" s="164"/>
      <c r="FA6" s="164"/>
      <c r="FB6" s="164"/>
      <c r="FC6" s="164"/>
      <c r="FD6" s="164"/>
      <c r="FE6" s="164"/>
      <c r="FF6" s="164"/>
      <c r="FG6" s="164"/>
      <c r="FH6" s="164"/>
      <c r="FI6" s="164"/>
      <c r="FJ6" s="164"/>
      <c r="FK6" s="164"/>
      <c r="FL6" s="164"/>
      <c r="FM6" s="164"/>
      <c r="FN6" s="164"/>
      <c r="FO6" s="164"/>
      <c r="FP6" s="164"/>
      <c r="FQ6" s="164"/>
      <c r="FR6" s="164"/>
      <c r="FS6" s="164"/>
      <c r="FT6" s="164"/>
      <c r="FU6" s="164"/>
      <c r="FV6" s="164"/>
      <c r="FW6" s="164"/>
      <c r="FX6" s="164"/>
      <c r="FY6" s="164"/>
      <c r="FZ6" s="164"/>
      <c r="GA6" s="164"/>
      <c r="GB6" s="164"/>
      <c r="GC6" s="164"/>
      <c r="GD6" s="164"/>
      <c r="GE6" s="164"/>
      <c r="GF6" s="164"/>
      <c r="GG6" s="164"/>
      <c r="GH6" s="164"/>
      <c r="GI6" s="164"/>
      <c r="GJ6" s="162"/>
    </row>
    <row r="7" spans="1:192" s="77" customFormat="1">
      <c r="A7" s="217" t="s">
        <v>204</v>
      </c>
      <c r="B7" s="217">
        <v>79.552148000000003</v>
      </c>
      <c r="C7" s="217">
        <v>82.400056000000006</v>
      </c>
      <c r="D7" s="217">
        <v>81.506551999999999</v>
      </c>
      <c r="E7" s="217">
        <v>84.273641999999995</v>
      </c>
      <c r="F7" s="217">
        <v>86.596113000000003</v>
      </c>
      <c r="G7" s="217">
        <v>88.221456000000003</v>
      </c>
      <c r="H7" s="217">
        <v>90.428725</v>
      </c>
      <c r="I7" s="217">
        <v>90.651983999999999</v>
      </c>
      <c r="J7" s="217">
        <v>95.678818000000007</v>
      </c>
      <c r="K7" s="217">
        <v>100.250699</v>
      </c>
      <c r="L7" s="217">
        <v>101.007853</v>
      </c>
      <c r="M7" s="217">
        <v>103.698122</v>
      </c>
      <c r="N7" s="217">
        <v>108.086095</v>
      </c>
      <c r="O7" s="218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4"/>
      <c r="BJ7" s="164"/>
      <c r="BK7" s="164"/>
      <c r="BL7" s="164"/>
      <c r="BM7" s="164"/>
      <c r="BN7" s="164"/>
      <c r="BO7" s="164"/>
      <c r="BP7" s="164"/>
      <c r="BQ7" s="164"/>
      <c r="BR7" s="164"/>
      <c r="BS7" s="164"/>
      <c r="BT7" s="164"/>
      <c r="BU7" s="164"/>
      <c r="BV7" s="164"/>
      <c r="BW7" s="164"/>
      <c r="BX7" s="164"/>
      <c r="BY7" s="164"/>
      <c r="BZ7" s="164"/>
      <c r="CA7" s="164"/>
      <c r="CB7" s="164"/>
      <c r="CC7" s="164"/>
      <c r="CD7" s="164"/>
      <c r="CE7" s="164"/>
      <c r="CF7" s="164"/>
      <c r="CG7" s="164"/>
      <c r="CH7" s="164"/>
      <c r="CI7" s="164"/>
      <c r="CJ7" s="164"/>
      <c r="CK7" s="164"/>
      <c r="CL7" s="164"/>
      <c r="CM7" s="164"/>
      <c r="CN7" s="164"/>
      <c r="CO7" s="164"/>
      <c r="CP7" s="164"/>
      <c r="CQ7" s="164"/>
      <c r="CR7" s="164"/>
      <c r="CS7" s="164"/>
      <c r="CT7" s="164"/>
      <c r="CU7" s="164"/>
      <c r="CV7" s="164"/>
      <c r="CW7" s="164"/>
      <c r="CX7" s="164"/>
      <c r="CY7" s="164"/>
      <c r="CZ7" s="164"/>
      <c r="DA7" s="164"/>
      <c r="DB7" s="164"/>
      <c r="DC7" s="164"/>
      <c r="DD7" s="164"/>
      <c r="DE7" s="164"/>
      <c r="DF7" s="164"/>
      <c r="DG7" s="164"/>
      <c r="DH7" s="164"/>
      <c r="DI7" s="164"/>
      <c r="DJ7" s="164"/>
      <c r="DK7" s="164"/>
      <c r="DL7" s="164"/>
      <c r="DM7" s="164"/>
      <c r="DN7" s="164"/>
      <c r="DO7" s="164"/>
      <c r="DP7" s="164"/>
      <c r="DQ7" s="164"/>
      <c r="DR7" s="164"/>
      <c r="DS7" s="164"/>
      <c r="DT7" s="164"/>
      <c r="DU7" s="164"/>
      <c r="DV7" s="164"/>
      <c r="DW7" s="164"/>
      <c r="DX7" s="164"/>
      <c r="DY7" s="164"/>
      <c r="DZ7" s="164"/>
      <c r="EA7" s="164"/>
      <c r="EB7" s="164"/>
      <c r="EC7" s="164"/>
      <c r="ED7" s="164"/>
      <c r="EE7" s="164"/>
      <c r="EF7" s="164"/>
      <c r="EG7" s="164"/>
      <c r="EH7" s="164"/>
      <c r="EI7" s="164"/>
      <c r="EJ7" s="164"/>
      <c r="EK7" s="164"/>
      <c r="EL7" s="164"/>
      <c r="EM7" s="164"/>
      <c r="EN7" s="164"/>
      <c r="EO7" s="164"/>
      <c r="EP7" s="164"/>
      <c r="EQ7" s="164"/>
      <c r="ER7" s="164"/>
      <c r="ES7" s="164"/>
      <c r="ET7" s="164"/>
      <c r="EU7" s="164"/>
      <c r="EV7" s="164"/>
      <c r="EW7" s="164"/>
      <c r="EX7" s="164"/>
      <c r="EY7" s="164"/>
      <c r="EZ7" s="164"/>
      <c r="FA7" s="164"/>
      <c r="FB7" s="164"/>
      <c r="FC7" s="164"/>
      <c r="FD7" s="164"/>
      <c r="FE7" s="164"/>
      <c r="FF7" s="164"/>
      <c r="FG7" s="164"/>
      <c r="FH7" s="164"/>
      <c r="FI7" s="164"/>
      <c r="FJ7" s="164"/>
      <c r="FK7" s="164"/>
      <c r="FL7" s="164"/>
      <c r="FM7" s="164"/>
      <c r="FN7" s="164"/>
      <c r="FO7" s="164"/>
      <c r="FP7" s="164"/>
      <c r="FQ7" s="164"/>
      <c r="FR7" s="164"/>
      <c r="FS7" s="164"/>
      <c r="FT7" s="164"/>
      <c r="FU7" s="164"/>
      <c r="FV7" s="164"/>
      <c r="FW7" s="164"/>
      <c r="FX7" s="164"/>
      <c r="FY7" s="164"/>
      <c r="FZ7" s="164"/>
      <c r="GA7" s="164"/>
      <c r="GB7" s="164"/>
      <c r="GC7" s="164"/>
      <c r="GD7" s="164"/>
      <c r="GE7" s="164"/>
      <c r="GF7" s="164"/>
      <c r="GG7" s="164"/>
      <c r="GH7" s="164"/>
      <c r="GI7" s="164"/>
      <c r="GJ7" s="162"/>
    </row>
    <row r="8" spans="1:192" s="77" customFormat="1">
      <c r="A8" s="218" t="s">
        <v>205</v>
      </c>
      <c r="B8" s="218">
        <v>79.959134000000006</v>
      </c>
      <c r="C8" s="218">
        <v>82.056997999999993</v>
      </c>
      <c r="D8" s="218">
        <v>82.100994</v>
      </c>
      <c r="E8" s="218">
        <v>84.230783000000002</v>
      </c>
      <c r="F8" s="218">
        <v>86.576395000000005</v>
      </c>
      <c r="G8" s="218">
        <v>88.326284000000001</v>
      </c>
      <c r="H8" s="218">
        <v>90.889917999999994</v>
      </c>
      <c r="I8" s="218">
        <v>90.813531999999995</v>
      </c>
      <c r="J8" s="218">
        <v>95.826374000000001</v>
      </c>
      <c r="K8" s="218">
        <v>100.269758</v>
      </c>
      <c r="L8" s="218">
        <v>101.033466</v>
      </c>
      <c r="M8" s="218">
        <v>104.40421600000001</v>
      </c>
      <c r="N8" s="218">
        <v>108.660616</v>
      </c>
      <c r="O8" s="218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  <c r="BR8" s="164"/>
      <c r="BS8" s="164"/>
      <c r="BT8" s="164"/>
      <c r="BU8" s="164"/>
      <c r="BV8" s="164"/>
      <c r="BW8" s="164"/>
      <c r="BX8" s="164"/>
      <c r="BY8" s="164"/>
      <c r="BZ8" s="164"/>
      <c r="CA8" s="164"/>
      <c r="CB8" s="164"/>
      <c r="CC8" s="164"/>
      <c r="CD8" s="164"/>
      <c r="CE8" s="164"/>
      <c r="CF8" s="164"/>
      <c r="CG8" s="164"/>
      <c r="CH8" s="164"/>
      <c r="CI8" s="164"/>
      <c r="CJ8" s="164"/>
      <c r="CK8" s="164"/>
      <c r="CL8" s="164"/>
      <c r="CM8" s="164"/>
      <c r="CN8" s="164"/>
      <c r="CO8" s="164"/>
      <c r="CP8" s="164"/>
      <c r="CQ8" s="164"/>
      <c r="CR8" s="164"/>
      <c r="CS8" s="164"/>
      <c r="CT8" s="164"/>
      <c r="CU8" s="164"/>
      <c r="CV8" s="164"/>
      <c r="CW8" s="164"/>
      <c r="CX8" s="164"/>
      <c r="CY8" s="164"/>
      <c r="CZ8" s="164"/>
      <c r="DA8" s="164"/>
      <c r="DB8" s="164"/>
      <c r="DC8" s="164"/>
      <c r="DD8" s="164"/>
      <c r="DE8" s="164"/>
      <c r="DF8" s="164"/>
      <c r="DG8" s="164"/>
      <c r="DH8" s="164"/>
      <c r="DI8" s="164"/>
      <c r="DJ8" s="164"/>
      <c r="DK8" s="164"/>
      <c r="DL8" s="164"/>
      <c r="DM8" s="164"/>
      <c r="DN8" s="164"/>
      <c r="DO8" s="164"/>
      <c r="DP8" s="164"/>
      <c r="DQ8" s="164"/>
      <c r="DR8" s="164"/>
      <c r="DS8" s="164"/>
      <c r="DT8" s="164"/>
      <c r="DU8" s="164"/>
      <c r="DV8" s="164"/>
      <c r="DW8" s="164"/>
      <c r="DX8" s="164"/>
      <c r="DY8" s="164"/>
      <c r="DZ8" s="164"/>
      <c r="EA8" s="164"/>
      <c r="EB8" s="164"/>
      <c r="EC8" s="164"/>
      <c r="ED8" s="164"/>
      <c r="EE8" s="164"/>
      <c r="EF8" s="164"/>
      <c r="EG8" s="164"/>
      <c r="EH8" s="164"/>
      <c r="EI8" s="164"/>
      <c r="EJ8" s="164"/>
      <c r="EK8" s="164"/>
      <c r="EL8" s="164"/>
      <c r="EM8" s="164"/>
      <c r="EN8" s="164"/>
      <c r="EO8" s="164"/>
      <c r="EP8" s="164"/>
      <c r="EQ8" s="164"/>
      <c r="ER8" s="164"/>
      <c r="ES8" s="164"/>
      <c r="ET8" s="164"/>
      <c r="EU8" s="164"/>
      <c r="EV8" s="164"/>
      <c r="EW8" s="164"/>
      <c r="EX8" s="164"/>
      <c r="EY8" s="164"/>
      <c r="EZ8" s="164"/>
      <c r="FA8" s="164"/>
      <c r="FB8" s="164"/>
      <c r="FC8" s="164"/>
      <c r="FD8" s="164"/>
      <c r="FE8" s="164"/>
      <c r="FF8" s="164"/>
      <c r="FG8" s="164"/>
      <c r="FH8" s="164"/>
      <c r="FI8" s="164"/>
      <c r="FJ8" s="164"/>
      <c r="FK8" s="164"/>
      <c r="FL8" s="164"/>
      <c r="FM8" s="164"/>
      <c r="FN8" s="164"/>
      <c r="FO8" s="164"/>
      <c r="FP8" s="164"/>
      <c r="FQ8" s="164"/>
      <c r="FR8" s="164"/>
      <c r="FS8" s="164"/>
      <c r="FT8" s="164"/>
      <c r="FU8" s="164"/>
      <c r="FV8" s="164"/>
      <c r="FW8" s="164"/>
      <c r="FX8" s="164"/>
      <c r="FY8" s="164"/>
      <c r="FZ8" s="164"/>
      <c r="GA8" s="164"/>
      <c r="GB8" s="164"/>
      <c r="GC8" s="164"/>
      <c r="GD8" s="164"/>
      <c r="GE8" s="164"/>
      <c r="GF8" s="164"/>
      <c r="GG8" s="164"/>
      <c r="GH8" s="164"/>
      <c r="GI8" s="164"/>
      <c r="GJ8" s="162"/>
    </row>
    <row r="9" spans="1:192" s="77" customFormat="1">
      <c r="A9" s="217" t="s">
        <v>206</v>
      </c>
      <c r="B9" s="217">
        <v>79.972536000000005</v>
      </c>
      <c r="C9" s="217">
        <v>82.076916999999995</v>
      </c>
      <c r="D9" s="217">
        <v>82.214967000000001</v>
      </c>
      <c r="E9" s="217">
        <v>84.203807999999995</v>
      </c>
      <c r="F9" s="217">
        <v>86.882740999999996</v>
      </c>
      <c r="G9" s="217">
        <v>88.437866999999997</v>
      </c>
      <c r="H9" s="217">
        <v>90.410062999999994</v>
      </c>
      <c r="I9" s="217">
        <v>91.260217999999995</v>
      </c>
      <c r="J9" s="217">
        <v>96.180443999999994</v>
      </c>
      <c r="K9" s="217">
        <v>100.226636</v>
      </c>
      <c r="L9" s="217">
        <v>101.27378400000001</v>
      </c>
      <c r="M9" s="217">
        <v>104.37946599999999</v>
      </c>
      <c r="N9" s="217">
        <v>108.703277</v>
      </c>
      <c r="O9" s="218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  <c r="BR9" s="164"/>
      <c r="BS9" s="164"/>
      <c r="BT9" s="164"/>
      <c r="BU9" s="164"/>
      <c r="BV9" s="164"/>
      <c r="BW9" s="164"/>
      <c r="BX9" s="164"/>
      <c r="BY9" s="164"/>
      <c r="BZ9" s="164"/>
      <c r="CA9" s="164"/>
      <c r="CB9" s="164"/>
      <c r="CC9" s="164"/>
      <c r="CD9" s="164"/>
      <c r="CE9" s="164"/>
      <c r="CF9" s="164"/>
      <c r="CG9" s="164"/>
      <c r="CH9" s="164"/>
      <c r="CI9" s="164"/>
      <c r="CJ9" s="164"/>
      <c r="CK9" s="164"/>
      <c r="CL9" s="164"/>
      <c r="CM9" s="164"/>
      <c r="CN9" s="164"/>
      <c r="CO9" s="164"/>
      <c r="CP9" s="164"/>
      <c r="CQ9" s="164"/>
      <c r="CR9" s="164"/>
      <c r="CS9" s="164"/>
      <c r="CT9" s="164"/>
      <c r="CU9" s="164"/>
      <c r="CV9" s="164"/>
      <c r="CW9" s="164"/>
      <c r="CX9" s="164"/>
      <c r="CY9" s="164"/>
      <c r="CZ9" s="164"/>
      <c r="DA9" s="164"/>
      <c r="DB9" s="164"/>
      <c r="DC9" s="164"/>
      <c r="DD9" s="164"/>
      <c r="DE9" s="164"/>
      <c r="DF9" s="164"/>
      <c r="DG9" s="164"/>
      <c r="DH9" s="164"/>
      <c r="DI9" s="164"/>
      <c r="DJ9" s="164"/>
      <c r="DK9" s="164"/>
      <c r="DL9" s="164"/>
      <c r="DM9" s="164"/>
      <c r="DN9" s="164"/>
      <c r="DO9" s="164"/>
      <c r="DP9" s="164"/>
      <c r="DQ9" s="164"/>
      <c r="DR9" s="164"/>
      <c r="DS9" s="164"/>
      <c r="DT9" s="164"/>
      <c r="DU9" s="164"/>
      <c r="DV9" s="164"/>
      <c r="DW9" s="164"/>
      <c r="DX9" s="164"/>
      <c r="DY9" s="164"/>
      <c r="DZ9" s="164"/>
      <c r="EA9" s="164"/>
      <c r="EB9" s="164"/>
      <c r="EC9" s="164"/>
      <c r="ED9" s="164"/>
      <c r="EE9" s="164"/>
      <c r="EF9" s="164"/>
      <c r="EG9" s="164"/>
      <c r="EH9" s="164"/>
      <c r="EI9" s="164"/>
      <c r="EJ9" s="164"/>
      <c r="EK9" s="164"/>
      <c r="EL9" s="164"/>
      <c r="EM9" s="164"/>
      <c r="EN9" s="164"/>
      <c r="EO9" s="164"/>
      <c r="EP9" s="164"/>
      <c r="EQ9" s="164"/>
      <c r="ER9" s="164"/>
      <c r="ES9" s="164"/>
      <c r="ET9" s="164"/>
      <c r="EU9" s="164"/>
      <c r="EV9" s="164"/>
      <c r="EW9" s="164"/>
      <c r="EX9" s="164"/>
      <c r="EY9" s="164"/>
      <c r="EZ9" s="164"/>
      <c r="FA9" s="164"/>
      <c r="FB9" s="164"/>
      <c r="FC9" s="164"/>
      <c r="FD9" s="164"/>
      <c r="FE9" s="164"/>
      <c r="FF9" s="164"/>
      <c r="FG9" s="164"/>
      <c r="FH9" s="164"/>
      <c r="FI9" s="164"/>
      <c r="FJ9" s="164"/>
      <c r="FK9" s="164"/>
      <c r="FL9" s="164"/>
      <c r="FM9" s="164"/>
      <c r="FN9" s="164"/>
      <c r="FO9" s="164"/>
      <c r="FP9" s="164"/>
      <c r="FQ9" s="164"/>
      <c r="FR9" s="164"/>
      <c r="FS9" s="164"/>
      <c r="FT9" s="164"/>
      <c r="FU9" s="164"/>
      <c r="FV9" s="164"/>
      <c r="FW9" s="164"/>
      <c r="FX9" s="164"/>
      <c r="FY9" s="164"/>
      <c r="FZ9" s="164"/>
      <c r="GA9" s="164"/>
      <c r="GB9" s="164"/>
      <c r="GC9" s="164"/>
      <c r="GD9" s="164"/>
      <c r="GE9" s="164"/>
      <c r="GF9" s="164"/>
      <c r="GG9" s="164"/>
      <c r="GH9" s="164"/>
      <c r="GI9" s="164"/>
      <c r="GJ9" s="162"/>
    </row>
    <row r="10" spans="1:192" s="77" customFormat="1">
      <c r="A10" s="218" t="s">
        <v>207</v>
      </c>
      <c r="B10" s="218">
        <v>80.023947000000007</v>
      </c>
      <c r="C10" s="218">
        <v>82.029777999999993</v>
      </c>
      <c r="D10" s="218">
        <v>82.028109000000001</v>
      </c>
      <c r="E10" s="218">
        <v>83.805414999999996</v>
      </c>
      <c r="F10" s="218">
        <v>87.372591999999997</v>
      </c>
      <c r="G10" s="218">
        <v>88.671115</v>
      </c>
      <c r="H10" s="218">
        <v>90.290235999999993</v>
      </c>
      <c r="I10" s="218">
        <v>91.688860000000005</v>
      </c>
      <c r="J10" s="218">
        <v>96.920651000000007</v>
      </c>
      <c r="K10" s="218">
        <v>99.886290000000002</v>
      </c>
      <c r="L10" s="218">
        <v>101.527828</v>
      </c>
      <c r="M10" s="218">
        <v>104.482951</v>
      </c>
      <c r="N10" s="218">
        <v>108.663388</v>
      </c>
      <c r="O10" s="218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164"/>
      <c r="BR10" s="164"/>
      <c r="BS10" s="164"/>
      <c r="BT10" s="164"/>
      <c r="BU10" s="164"/>
      <c r="BV10" s="164"/>
      <c r="BW10" s="164"/>
      <c r="BX10" s="164"/>
      <c r="BY10" s="164"/>
      <c r="BZ10" s="164"/>
      <c r="CA10" s="164"/>
      <c r="CB10" s="164"/>
      <c r="CC10" s="164"/>
      <c r="CD10" s="164"/>
      <c r="CE10" s="164"/>
      <c r="CF10" s="164"/>
      <c r="CG10" s="164"/>
      <c r="CH10" s="164"/>
      <c r="CI10" s="164"/>
      <c r="CJ10" s="164"/>
      <c r="CK10" s="164"/>
      <c r="CL10" s="164"/>
      <c r="CM10" s="164"/>
      <c r="CN10" s="164"/>
      <c r="CO10" s="164"/>
      <c r="CP10" s="164"/>
      <c r="CQ10" s="164"/>
      <c r="CR10" s="164"/>
      <c r="CS10" s="164"/>
      <c r="CT10" s="164"/>
      <c r="CU10" s="164"/>
      <c r="CV10" s="164"/>
      <c r="CW10" s="164"/>
      <c r="CX10" s="164"/>
      <c r="CY10" s="164"/>
      <c r="CZ10" s="164"/>
      <c r="DA10" s="164"/>
      <c r="DB10" s="164"/>
      <c r="DC10" s="164"/>
      <c r="DD10" s="164"/>
      <c r="DE10" s="164"/>
      <c r="DF10" s="164"/>
      <c r="DG10" s="164"/>
      <c r="DH10" s="164"/>
      <c r="DI10" s="164"/>
      <c r="DJ10" s="164"/>
      <c r="DK10" s="164"/>
      <c r="DL10" s="164"/>
      <c r="DM10" s="164"/>
      <c r="DN10" s="164"/>
      <c r="DO10" s="164"/>
      <c r="DP10" s="164"/>
      <c r="DQ10" s="164"/>
      <c r="DR10" s="164"/>
      <c r="DS10" s="164"/>
      <c r="DT10" s="164"/>
      <c r="DU10" s="164"/>
      <c r="DV10" s="164"/>
      <c r="DW10" s="164"/>
      <c r="DX10" s="164"/>
      <c r="DY10" s="164"/>
      <c r="DZ10" s="164"/>
      <c r="EA10" s="164"/>
      <c r="EB10" s="164"/>
      <c r="EC10" s="164"/>
      <c r="ED10" s="164"/>
      <c r="EE10" s="164"/>
      <c r="EF10" s="164"/>
      <c r="EG10" s="164"/>
      <c r="EH10" s="164"/>
      <c r="EI10" s="164"/>
      <c r="EJ10" s="164"/>
      <c r="EK10" s="164"/>
      <c r="EL10" s="164"/>
      <c r="EM10" s="164"/>
      <c r="EN10" s="164"/>
      <c r="EO10" s="164"/>
      <c r="EP10" s="164"/>
      <c r="EQ10" s="164"/>
      <c r="ER10" s="164"/>
      <c r="ES10" s="164"/>
      <c r="ET10" s="164"/>
      <c r="EU10" s="164"/>
      <c r="EV10" s="164"/>
      <c r="EW10" s="164"/>
      <c r="EX10" s="164"/>
      <c r="EY10" s="164"/>
      <c r="EZ10" s="164"/>
      <c r="FA10" s="164"/>
      <c r="FB10" s="164"/>
      <c r="FC10" s="164"/>
      <c r="FD10" s="164"/>
      <c r="FE10" s="164"/>
      <c r="FF10" s="164"/>
      <c r="FG10" s="164"/>
      <c r="FH10" s="164"/>
      <c r="FI10" s="164"/>
      <c r="FJ10" s="164"/>
      <c r="FK10" s="164"/>
      <c r="FL10" s="164"/>
      <c r="FM10" s="164"/>
      <c r="FN10" s="164"/>
      <c r="FO10" s="164"/>
      <c r="FP10" s="164"/>
      <c r="FQ10" s="164"/>
      <c r="FR10" s="164"/>
      <c r="FS10" s="164"/>
      <c r="FT10" s="164"/>
      <c r="FU10" s="164"/>
      <c r="FV10" s="164"/>
      <c r="FW10" s="164"/>
      <c r="FX10" s="164"/>
      <c r="FY10" s="164"/>
      <c r="FZ10" s="164"/>
      <c r="GA10" s="164"/>
      <c r="GB10" s="164"/>
      <c r="GC10" s="164"/>
      <c r="GD10" s="164"/>
      <c r="GE10" s="164"/>
      <c r="GF10" s="164"/>
      <c r="GG10" s="164"/>
      <c r="GH10" s="164"/>
      <c r="GI10" s="164"/>
      <c r="GJ10" s="162"/>
    </row>
    <row r="11" spans="1:192" s="77" customFormat="1">
      <c r="A11" s="217" t="s">
        <v>208</v>
      </c>
      <c r="B11" s="217">
        <v>80.437128000000001</v>
      </c>
      <c r="C11" s="217">
        <v>82.171484000000007</v>
      </c>
      <c r="D11" s="217">
        <v>82.056252000000001</v>
      </c>
      <c r="E11" s="217">
        <v>83.680363</v>
      </c>
      <c r="F11" s="217">
        <v>87.541315999999995</v>
      </c>
      <c r="G11" s="217">
        <v>88.763874999999999</v>
      </c>
      <c r="H11" s="217">
        <v>90.136345000000006</v>
      </c>
      <c r="I11" s="217">
        <v>92.124881999999999</v>
      </c>
      <c r="J11" s="217">
        <v>97.459018</v>
      </c>
      <c r="K11" s="217">
        <v>100.072766</v>
      </c>
      <c r="L11" s="217">
        <v>101.897344</v>
      </c>
      <c r="M11" s="217">
        <v>105.31145100000001</v>
      </c>
      <c r="N11" s="217">
        <v>108.76157499999999</v>
      </c>
      <c r="O11" s="218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  <c r="BI11" s="164"/>
      <c r="BJ11" s="164"/>
      <c r="BK11" s="164"/>
      <c r="BL11" s="164"/>
      <c r="BM11" s="164"/>
      <c r="BN11" s="164"/>
      <c r="BO11" s="164"/>
      <c r="BP11" s="164"/>
      <c r="BQ11" s="164"/>
      <c r="BR11" s="164"/>
      <c r="BS11" s="164"/>
      <c r="BT11" s="164"/>
      <c r="BU11" s="164"/>
      <c r="BV11" s="164"/>
      <c r="BW11" s="164"/>
      <c r="BX11" s="164"/>
      <c r="BY11" s="164"/>
      <c r="BZ11" s="164"/>
      <c r="CA11" s="164"/>
      <c r="CB11" s="164"/>
      <c r="CC11" s="164"/>
      <c r="CD11" s="164"/>
      <c r="CE11" s="164"/>
      <c r="CF11" s="164"/>
      <c r="CG11" s="164"/>
      <c r="CH11" s="164"/>
      <c r="CI11" s="164"/>
      <c r="CJ11" s="164"/>
      <c r="CK11" s="164"/>
      <c r="CL11" s="164"/>
      <c r="CM11" s="164"/>
      <c r="CN11" s="164"/>
      <c r="CO11" s="164"/>
      <c r="CP11" s="164"/>
      <c r="CQ11" s="164"/>
      <c r="CR11" s="164"/>
      <c r="CS11" s="164"/>
      <c r="CT11" s="164"/>
      <c r="CU11" s="164"/>
      <c r="CV11" s="164"/>
      <c r="CW11" s="164"/>
      <c r="CX11" s="164"/>
      <c r="CY11" s="164"/>
      <c r="CZ11" s="164"/>
      <c r="DA11" s="164"/>
      <c r="DB11" s="164"/>
      <c r="DC11" s="164"/>
      <c r="DD11" s="164"/>
      <c r="DE11" s="164"/>
      <c r="DF11" s="164"/>
      <c r="DG11" s="164"/>
      <c r="DH11" s="164"/>
      <c r="DI11" s="164"/>
      <c r="DJ11" s="164"/>
      <c r="DK11" s="164"/>
      <c r="DL11" s="164"/>
      <c r="DM11" s="164"/>
      <c r="DN11" s="164"/>
      <c r="DO11" s="164"/>
      <c r="DP11" s="164"/>
      <c r="DQ11" s="164"/>
      <c r="DR11" s="164"/>
      <c r="DS11" s="164"/>
      <c r="DT11" s="164"/>
      <c r="DU11" s="164"/>
      <c r="DV11" s="164"/>
      <c r="DW11" s="164"/>
      <c r="DX11" s="164"/>
      <c r="DY11" s="164"/>
      <c r="DZ11" s="164"/>
      <c r="EA11" s="164"/>
      <c r="EB11" s="164"/>
      <c r="EC11" s="164"/>
      <c r="ED11" s="164"/>
      <c r="EE11" s="164"/>
      <c r="EF11" s="164"/>
      <c r="EG11" s="164"/>
      <c r="EH11" s="164"/>
      <c r="EI11" s="164"/>
      <c r="EJ11" s="164"/>
      <c r="EK11" s="164"/>
      <c r="EL11" s="164"/>
      <c r="EM11" s="164"/>
      <c r="EN11" s="164"/>
      <c r="EO11" s="164"/>
      <c r="EP11" s="164"/>
      <c r="EQ11" s="164"/>
      <c r="ER11" s="164"/>
      <c r="ES11" s="164"/>
      <c r="ET11" s="164"/>
      <c r="EU11" s="164"/>
      <c r="EV11" s="164"/>
      <c r="EW11" s="164"/>
      <c r="EX11" s="164"/>
      <c r="EY11" s="164"/>
      <c r="EZ11" s="164"/>
      <c r="FA11" s="164"/>
      <c r="FB11" s="164"/>
      <c r="FC11" s="164"/>
      <c r="FD11" s="164"/>
      <c r="FE11" s="164"/>
      <c r="FF11" s="164"/>
      <c r="FG11" s="164"/>
      <c r="FH11" s="164"/>
      <c r="FI11" s="164"/>
      <c r="FJ11" s="164"/>
      <c r="FK11" s="164"/>
      <c r="FL11" s="164"/>
      <c r="FM11" s="164"/>
      <c r="FN11" s="164"/>
      <c r="FO11" s="164"/>
      <c r="FP11" s="164"/>
      <c r="FQ11" s="164"/>
      <c r="FR11" s="164"/>
      <c r="FS11" s="164"/>
      <c r="FT11" s="164"/>
      <c r="FU11" s="164"/>
      <c r="FV11" s="164"/>
      <c r="FW11" s="164"/>
      <c r="FX11" s="164"/>
      <c r="FY11" s="164"/>
      <c r="FZ11" s="164"/>
      <c r="GA11" s="164"/>
      <c r="GB11" s="164"/>
      <c r="GC11" s="164"/>
      <c r="GD11" s="164"/>
      <c r="GE11" s="164"/>
      <c r="GF11" s="164"/>
      <c r="GG11" s="164"/>
      <c r="GH11" s="164"/>
      <c r="GI11" s="164"/>
      <c r="GJ11" s="162"/>
    </row>
    <row r="12" spans="1:192" s="77" customFormat="1">
      <c r="A12" s="218" t="s">
        <v>209</v>
      </c>
      <c r="B12" s="218">
        <v>80.813624000000004</v>
      </c>
      <c r="C12" s="247">
        <v>81.922521000000003</v>
      </c>
      <c r="D12" s="247">
        <v>82.139041000000006</v>
      </c>
      <c r="E12" s="247">
        <v>83.691623000000007</v>
      </c>
      <c r="F12" s="247">
        <v>87.532964000000007</v>
      </c>
      <c r="G12" s="247">
        <v>88.60445</v>
      </c>
      <c r="H12" s="247">
        <v>90.261947000000006</v>
      </c>
      <c r="I12" s="247">
        <v>92.251007999999999</v>
      </c>
      <c r="J12" s="247">
        <v>98.034498999999997</v>
      </c>
      <c r="K12" s="247">
        <v>99.865211000000002</v>
      </c>
      <c r="L12" s="247">
        <v>102.17095399999999</v>
      </c>
      <c r="M12" s="247">
        <v>105.59138799999999</v>
      </c>
      <c r="N12" s="247">
        <v>109.31452</v>
      </c>
      <c r="O12" s="218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164"/>
      <c r="BS12" s="164"/>
      <c r="BT12" s="164"/>
      <c r="BU12" s="164"/>
      <c r="BV12" s="164"/>
      <c r="BW12" s="164"/>
      <c r="BX12" s="164"/>
      <c r="BY12" s="164"/>
      <c r="BZ12" s="164"/>
      <c r="CA12" s="164"/>
      <c r="CB12" s="164"/>
      <c r="CC12" s="164"/>
      <c r="CD12" s="164"/>
      <c r="CE12" s="164"/>
      <c r="CF12" s="164"/>
      <c r="CG12" s="164"/>
      <c r="CH12" s="164"/>
      <c r="CI12" s="164"/>
      <c r="CJ12" s="164"/>
      <c r="CK12" s="164"/>
      <c r="CL12" s="164"/>
      <c r="CM12" s="164"/>
      <c r="CN12" s="164"/>
      <c r="CO12" s="164"/>
      <c r="CP12" s="164"/>
      <c r="CQ12" s="164"/>
      <c r="CR12" s="164"/>
      <c r="CS12" s="164"/>
      <c r="CT12" s="164"/>
      <c r="CU12" s="164"/>
      <c r="CV12" s="164"/>
      <c r="CW12" s="164"/>
      <c r="CX12" s="164"/>
      <c r="CY12" s="164"/>
      <c r="CZ12" s="164"/>
      <c r="DA12" s="164"/>
      <c r="DB12" s="164"/>
      <c r="DC12" s="164"/>
      <c r="DD12" s="164"/>
      <c r="DE12" s="164"/>
      <c r="DF12" s="164"/>
      <c r="DG12" s="164"/>
      <c r="DH12" s="164"/>
      <c r="DI12" s="164"/>
      <c r="DJ12" s="164"/>
      <c r="DK12" s="164"/>
      <c r="DL12" s="164"/>
      <c r="DM12" s="164"/>
      <c r="DN12" s="164"/>
      <c r="DO12" s="164"/>
      <c r="DP12" s="164"/>
      <c r="DQ12" s="164"/>
      <c r="DR12" s="164"/>
      <c r="DS12" s="164"/>
      <c r="DT12" s="164"/>
      <c r="DU12" s="164"/>
      <c r="DV12" s="164"/>
      <c r="DW12" s="164"/>
      <c r="DX12" s="164"/>
      <c r="DY12" s="164"/>
      <c r="DZ12" s="164"/>
      <c r="EA12" s="164"/>
      <c r="EB12" s="164"/>
      <c r="EC12" s="164"/>
      <c r="ED12" s="164"/>
      <c r="EE12" s="164"/>
      <c r="EF12" s="164"/>
      <c r="EG12" s="164"/>
      <c r="EH12" s="164"/>
      <c r="EI12" s="164"/>
      <c r="EJ12" s="164"/>
      <c r="EK12" s="164"/>
      <c r="EL12" s="164"/>
      <c r="EM12" s="164"/>
      <c r="EN12" s="164"/>
      <c r="EO12" s="164"/>
      <c r="EP12" s="164"/>
      <c r="EQ12" s="164"/>
      <c r="ER12" s="164"/>
      <c r="ES12" s="164"/>
      <c r="ET12" s="164"/>
      <c r="EU12" s="164"/>
      <c r="EV12" s="164"/>
      <c r="EW12" s="164"/>
      <c r="EX12" s="164"/>
      <c r="EY12" s="164"/>
      <c r="EZ12" s="164"/>
      <c r="FA12" s="164"/>
      <c r="FB12" s="164"/>
      <c r="FC12" s="164"/>
      <c r="FD12" s="164"/>
      <c r="FE12" s="164"/>
      <c r="FF12" s="164"/>
      <c r="FG12" s="164"/>
      <c r="FH12" s="164"/>
      <c r="FI12" s="164"/>
      <c r="FJ12" s="164"/>
      <c r="FK12" s="164"/>
      <c r="FL12" s="164"/>
      <c r="FM12" s="164"/>
      <c r="FN12" s="164"/>
      <c r="FO12" s="164"/>
      <c r="FP12" s="164"/>
      <c r="FQ12" s="164"/>
      <c r="FR12" s="164"/>
      <c r="FS12" s="164"/>
      <c r="FT12" s="164"/>
      <c r="FU12" s="164"/>
      <c r="FV12" s="164"/>
      <c r="FW12" s="164"/>
      <c r="FX12" s="164"/>
      <c r="FY12" s="164"/>
      <c r="FZ12" s="164"/>
      <c r="GA12" s="164"/>
      <c r="GB12" s="164"/>
      <c r="GC12" s="164"/>
      <c r="GD12" s="164"/>
      <c r="GE12" s="164"/>
      <c r="GF12" s="164"/>
      <c r="GG12" s="164"/>
      <c r="GH12" s="164"/>
      <c r="GI12" s="164"/>
      <c r="GJ12" s="162"/>
    </row>
    <row r="13" spans="1:192" s="77" customFormat="1">
      <c r="A13" s="217" t="s">
        <v>210</v>
      </c>
      <c r="B13" s="217">
        <v>81.262996999999999</v>
      </c>
      <c r="C13" s="217">
        <v>81.973934</v>
      </c>
      <c r="D13" s="217">
        <v>82.528013999999999</v>
      </c>
      <c r="E13" s="217">
        <v>84.159122999999994</v>
      </c>
      <c r="F13" s="217">
        <v>87.547573</v>
      </c>
      <c r="G13" s="217">
        <v>88.520915000000002</v>
      </c>
      <c r="H13" s="217">
        <v>90.286649999999995</v>
      </c>
      <c r="I13" s="217">
        <v>92.816046</v>
      </c>
      <c r="J13" s="217">
        <v>98.590552000000002</v>
      </c>
      <c r="K13" s="217">
        <v>99.778142000000003</v>
      </c>
      <c r="L13" s="217">
        <v>102.138251</v>
      </c>
      <c r="M13" s="217">
        <v>105.944258</v>
      </c>
      <c r="N13" s="217">
        <v>109.907777</v>
      </c>
      <c r="O13" s="218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4"/>
      <c r="BT13" s="164"/>
      <c r="BU13" s="164"/>
      <c r="BV13" s="164"/>
      <c r="BW13" s="164"/>
      <c r="BX13" s="164"/>
      <c r="BY13" s="164"/>
      <c r="BZ13" s="164"/>
      <c r="CA13" s="164"/>
      <c r="CB13" s="164"/>
      <c r="CC13" s="164"/>
      <c r="CD13" s="164"/>
      <c r="CE13" s="164"/>
      <c r="CF13" s="164"/>
      <c r="CG13" s="164"/>
      <c r="CH13" s="164"/>
      <c r="CI13" s="164"/>
      <c r="CJ13" s="164"/>
      <c r="CK13" s="164"/>
      <c r="CL13" s="164"/>
      <c r="CM13" s="164"/>
      <c r="CN13" s="164"/>
      <c r="CO13" s="164"/>
      <c r="CP13" s="164"/>
      <c r="CQ13" s="164"/>
      <c r="CR13" s="164"/>
      <c r="CS13" s="164"/>
      <c r="CT13" s="164"/>
      <c r="CU13" s="164"/>
      <c r="CV13" s="164"/>
      <c r="CW13" s="164"/>
      <c r="CX13" s="164"/>
      <c r="CY13" s="164"/>
      <c r="CZ13" s="164"/>
      <c r="DA13" s="164"/>
      <c r="DB13" s="164"/>
      <c r="DC13" s="164"/>
      <c r="DD13" s="164"/>
      <c r="DE13" s="164"/>
      <c r="DF13" s="164"/>
      <c r="DG13" s="164"/>
      <c r="DH13" s="164"/>
      <c r="DI13" s="164"/>
      <c r="DJ13" s="164"/>
      <c r="DK13" s="164"/>
      <c r="DL13" s="164"/>
      <c r="DM13" s="164"/>
      <c r="DN13" s="164"/>
      <c r="DO13" s="164"/>
      <c r="DP13" s="164"/>
      <c r="DQ13" s="164"/>
      <c r="DR13" s="164"/>
      <c r="DS13" s="164"/>
      <c r="DT13" s="164"/>
      <c r="DU13" s="164"/>
      <c r="DV13" s="164"/>
      <c r="DW13" s="164"/>
      <c r="DX13" s="164"/>
      <c r="DY13" s="164"/>
      <c r="DZ13" s="164"/>
      <c r="EA13" s="164"/>
      <c r="EB13" s="164"/>
      <c r="EC13" s="164"/>
      <c r="ED13" s="164"/>
      <c r="EE13" s="164"/>
      <c r="EF13" s="164"/>
      <c r="EG13" s="164"/>
      <c r="EH13" s="164"/>
      <c r="EI13" s="164"/>
      <c r="EJ13" s="164"/>
      <c r="EK13" s="164"/>
      <c r="EL13" s="164"/>
      <c r="EM13" s="164"/>
      <c r="EN13" s="164"/>
      <c r="EO13" s="164"/>
      <c r="EP13" s="164"/>
      <c r="EQ13" s="164"/>
      <c r="ER13" s="164"/>
      <c r="ES13" s="164"/>
      <c r="ET13" s="164"/>
      <c r="EU13" s="164"/>
      <c r="EV13" s="164"/>
      <c r="EW13" s="164"/>
      <c r="EX13" s="164"/>
      <c r="EY13" s="164"/>
      <c r="EZ13" s="164"/>
      <c r="FA13" s="164"/>
      <c r="FB13" s="164"/>
      <c r="FC13" s="164"/>
      <c r="FD13" s="164"/>
      <c r="FE13" s="164"/>
      <c r="FF13" s="164"/>
      <c r="FG13" s="164"/>
      <c r="FH13" s="164"/>
      <c r="FI13" s="164"/>
      <c r="FJ13" s="164"/>
      <c r="FK13" s="164"/>
      <c r="FL13" s="164"/>
      <c r="FM13" s="164"/>
      <c r="FN13" s="164"/>
      <c r="FO13" s="164"/>
      <c r="FP13" s="164"/>
      <c r="FQ13" s="164"/>
      <c r="FR13" s="164"/>
      <c r="FS13" s="164"/>
      <c r="FT13" s="164"/>
      <c r="FU13" s="164"/>
      <c r="FV13" s="164"/>
      <c r="FW13" s="164"/>
      <c r="FX13" s="164"/>
      <c r="FY13" s="164"/>
      <c r="FZ13" s="164"/>
      <c r="GA13" s="164"/>
      <c r="GB13" s="164"/>
      <c r="GC13" s="164"/>
      <c r="GD13" s="164"/>
      <c r="GE13" s="164"/>
      <c r="GF13" s="164"/>
      <c r="GG13" s="164"/>
      <c r="GH13" s="164"/>
      <c r="GI13" s="164"/>
      <c r="GJ13" s="162"/>
    </row>
    <row r="14" spans="1:192" s="77" customFormat="1">
      <c r="A14" s="218" t="s">
        <v>211</v>
      </c>
      <c r="B14" s="218">
        <v>81.452068999999995</v>
      </c>
      <c r="C14" s="247">
        <v>82.004655</v>
      </c>
      <c r="D14" s="247">
        <v>83.120534000000006</v>
      </c>
      <c r="E14" s="247">
        <v>84.200388000000004</v>
      </c>
      <c r="F14" s="247">
        <v>87.526782999999995</v>
      </c>
      <c r="G14" s="247">
        <v>88.649075999999994</v>
      </c>
      <c r="H14" s="247">
        <v>90.326186000000007</v>
      </c>
      <c r="I14" s="247">
        <v>93.107501999999997</v>
      </c>
      <c r="J14" s="247">
        <v>99.195038999999994</v>
      </c>
      <c r="K14" s="247">
        <v>99.900496000000004</v>
      </c>
      <c r="L14" s="247">
        <v>101.993499</v>
      </c>
      <c r="M14" s="247">
        <v>106.277824</v>
      </c>
      <c r="N14" s="247">
        <v>109.728272</v>
      </c>
      <c r="O14" s="218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164"/>
      <c r="BK14" s="164"/>
      <c r="BL14" s="164"/>
      <c r="BM14" s="164"/>
      <c r="BN14" s="164"/>
      <c r="BO14" s="164"/>
      <c r="BP14" s="164"/>
      <c r="BQ14" s="164"/>
      <c r="BR14" s="164"/>
      <c r="BS14" s="164"/>
      <c r="BT14" s="164"/>
      <c r="BU14" s="164"/>
      <c r="BV14" s="164"/>
      <c r="BW14" s="164"/>
      <c r="BX14" s="164"/>
      <c r="BY14" s="164"/>
      <c r="BZ14" s="164"/>
      <c r="CA14" s="164"/>
      <c r="CB14" s="164"/>
      <c r="CC14" s="164"/>
      <c r="CD14" s="164"/>
      <c r="CE14" s="164"/>
      <c r="CF14" s="164"/>
      <c r="CG14" s="164"/>
      <c r="CH14" s="164"/>
      <c r="CI14" s="164"/>
      <c r="CJ14" s="164"/>
      <c r="CK14" s="164"/>
      <c r="CL14" s="164"/>
      <c r="CM14" s="164"/>
      <c r="CN14" s="164"/>
      <c r="CO14" s="164"/>
      <c r="CP14" s="164"/>
      <c r="CQ14" s="164"/>
      <c r="CR14" s="164"/>
      <c r="CS14" s="164"/>
      <c r="CT14" s="164"/>
      <c r="CU14" s="164"/>
      <c r="CV14" s="164"/>
      <c r="CW14" s="164"/>
      <c r="CX14" s="164"/>
      <c r="CY14" s="164"/>
      <c r="CZ14" s="164"/>
      <c r="DA14" s="164"/>
      <c r="DB14" s="164"/>
      <c r="DC14" s="164"/>
      <c r="DD14" s="164"/>
      <c r="DE14" s="164"/>
      <c r="DF14" s="164"/>
      <c r="DG14" s="164"/>
      <c r="DH14" s="164"/>
      <c r="DI14" s="164"/>
      <c r="DJ14" s="164"/>
      <c r="DK14" s="164"/>
      <c r="DL14" s="164"/>
      <c r="DM14" s="164"/>
      <c r="DN14" s="164"/>
      <c r="DO14" s="164"/>
      <c r="DP14" s="164"/>
      <c r="DQ14" s="164"/>
      <c r="DR14" s="164"/>
      <c r="DS14" s="164"/>
      <c r="DT14" s="164"/>
      <c r="DU14" s="164"/>
      <c r="DV14" s="164"/>
      <c r="DW14" s="164"/>
      <c r="DX14" s="164"/>
      <c r="DY14" s="164"/>
      <c r="DZ14" s="164"/>
      <c r="EA14" s="164"/>
      <c r="EB14" s="164"/>
      <c r="EC14" s="164"/>
      <c r="ED14" s="164"/>
      <c r="EE14" s="164"/>
      <c r="EF14" s="164"/>
      <c r="EG14" s="164"/>
      <c r="EH14" s="164"/>
      <c r="EI14" s="164"/>
      <c r="EJ14" s="164"/>
      <c r="EK14" s="164"/>
      <c r="EL14" s="164"/>
      <c r="EM14" s="164"/>
      <c r="EN14" s="164"/>
      <c r="EO14" s="164"/>
      <c r="EP14" s="164"/>
      <c r="EQ14" s="164"/>
      <c r="ER14" s="164"/>
      <c r="ES14" s="164"/>
      <c r="ET14" s="164"/>
      <c r="EU14" s="164"/>
      <c r="EV14" s="164"/>
      <c r="EW14" s="164"/>
      <c r="EX14" s="164"/>
      <c r="EY14" s="164"/>
      <c r="EZ14" s="164"/>
      <c r="FA14" s="164"/>
      <c r="FB14" s="164"/>
      <c r="FC14" s="164"/>
      <c r="FD14" s="164"/>
      <c r="FE14" s="164"/>
      <c r="FF14" s="164"/>
      <c r="FG14" s="164"/>
      <c r="FH14" s="164"/>
      <c r="FI14" s="164"/>
      <c r="FJ14" s="164"/>
      <c r="FK14" s="164"/>
      <c r="FL14" s="164"/>
      <c r="FM14" s="164"/>
      <c r="FN14" s="164"/>
      <c r="FO14" s="164"/>
      <c r="FP14" s="164"/>
      <c r="FQ14" s="164"/>
      <c r="FR14" s="164"/>
      <c r="FS14" s="164"/>
      <c r="FT14" s="164"/>
      <c r="FU14" s="164"/>
      <c r="FV14" s="164"/>
      <c r="FW14" s="164"/>
      <c r="FX14" s="164"/>
      <c r="FY14" s="164"/>
      <c r="FZ14" s="164"/>
      <c r="GA14" s="164"/>
      <c r="GB14" s="164"/>
      <c r="GC14" s="164"/>
      <c r="GD14" s="164"/>
      <c r="GE14" s="164"/>
      <c r="GF14" s="164"/>
      <c r="GG14" s="164"/>
      <c r="GH14" s="164"/>
      <c r="GI14" s="164"/>
      <c r="GJ14" s="162"/>
    </row>
    <row r="15" spans="1:192" s="77" customFormat="1">
      <c r="A15" s="217" t="s">
        <v>212</v>
      </c>
      <c r="B15" s="217">
        <v>81.504046000000002</v>
      </c>
      <c r="C15" s="217">
        <v>81.600482</v>
      </c>
      <c r="D15" s="217">
        <v>82.788573999999997</v>
      </c>
      <c r="E15" s="217">
        <v>84.341578999999996</v>
      </c>
      <c r="F15" s="217">
        <v>87.777991999999998</v>
      </c>
      <c r="G15" s="217">
        <v>88.709396999999996</v>
      </c>
      <c r="H15" s="217">
        <v>90.071325999999999</v>
      </c>
      <c r="I15" s="217">
        <v>93.210858000000002</v>
      </c>
      <c r="J15" s="217">
        <v>99.501575000000003</v>
      </c>
      <c r="K15" s="217">
        <v>99.788539999999998</v>
      </c>
      <c r="L15" s="217">
        <v>102.00156200000001</v>
      </c>
      <c r="M15" s="217">
        <v>106.73633100000001</v>
      </c>
      <c r="N15" s="217">
        <v>109.57743000000001</v>
      </c>
      <c r="O15" s="218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4"/>
      <c r="CB15" s="164"/>
      <c r="CC15" s="164"/>
      <c r="CD15" s="164"/>
      <c r="CE15" s="164"/>
      <c r="CF15" s="164"/>
      <c r="CG15" s="164"/>
      <c r="CH15" s="164"/>
      <c r="CI15" s="164"/>
      <c r="CJ15" s="164"/>
      <c r="CK15" s="164"/>
      <c r="CL15" s="164"/>
      <c r="CM15" s="164"/>
      <c r="CN15" s="164"/>
      <c r="CO15" s="164"/>
      <c r="CP15" s="164"/>
      <c r="CQ15" s="164"/>
      <c r="CR15" s="164"/>
      <c r="CS15" s="164"/>
      <c r="CT15" s="164"/>
      <c r="CU15" s="164"/>
      <c r="CV15" s="164"/>
      <c r="CW15" s="164"/>
      <c r="CX15" s="164"/>
      <c r="CY15" s="164"/>
      <c r="CZ15" s="164"/>
      <c r="DA15" s="164"/>
      <c r="DB15" s="164"/>
      <c r="DC15" s="164"/>
      <c r="DD15" s="164"/>
      <c r="DE15" s="164"/>
      <c r="DF15" s="164"/>
      <c r="DG15" s="164"/>
      <c r="DH15" s="164"/>
      <c r="DI15" s="164"/>
      <c r="DJ15" s="164"/>
      <c r="DK15" s="164"/>
      <c r="DL15" s="164"/>
      <c r="DM15" s="164"/>
      <c r="DN15" s="164"/>
      <c r="DO15" s="164"/>
      <c r="DP15" s="164"/>
      <c r="DQ15" s="164"/>
      <c r="DR15" s="164"/>
      <c r="DS15" s="164"/>
      <c r="DT15" s="164"/>
      <c r="DU15" s="164"/>
      <c r="DV15" s="164"/>
      <c r="DW15" s="164"/>
      <c r="DX15" s="164"/>
      <c r="DY15" s="164"/>
      <c r="DZ15" s="164"/>
      <c r="EA15" s="164"/>
      <c r="EB15" s="164"/>
      <c r="EC15" s="164"/>
      <c r="ED15" s="164"/>
      <c r="EE15" s="164"/>
      <c r="EF15" s="164"/>
      <c r="EG15" s="164"/>
      <c r="EH15" s="164"/>
      <c r="EI15" s="164"/>
      <c r="EJ15" s="164"/>
      <c r="EK15" s="164"/>
      <c r="EL15" s="164"/>
      <c r="EM15" s="164"/>
      <c r="EN15" s="164"/>
      <c r="EO15" s="164"/>
      <c r="EP15" s="164"/>
      <c r="EQ15" s="164"/>
      <c r="ER15" s="164"/>
      <c r="ES15" s="164"/>
      <c r="ET15" s="164"/>
      <c r="EU15" s="164"/>
      <c r="EV15" s="164"/>
      <c r="EW15" s="164"/>
      <c r="EX15" s="164"/>
      <c r="EY15" s="164"/>
      <c r="EZ15" s="164"/>
      <c r="FA15" s="164"/>
      <c r="FB15" s="164"/>
      <c r="FC15" s="164"/>
      <c r="FD15" s="164"/>
      <c r="FE15" s="164"/>
      <c r="FF15" s="164"/>
      <c r="FG15" s="164"/>
      <c r="FH15" s="164"/>
      <c r="FI15" s="164"/>
      <c r="FJ15" s="164"/>
      <c r="FK15" s="164"/>
      <c r="FL15" s="164"/>
      <c r="FM15" s="164"/>
      <c r="FN15" s="164"/>
      <c r="FO15" s="164"/>
      <c r="FP15" s="164"/>
      <c r="FQ15" s="164"/>
      <c r="FR15" s="164"/>
      <c r="FS15" s="164"/>
      <c r="FT15" s="164"/>
      <c r="FU15" s="164"/>
      <c r="FV15" s="164"/>
      <c r="FW15" s="164"/>
      <c r="FX15" s="164"/>
      <c r="FY15" s="164"/>
      <c r="FZ15" s="164"/>
      <c r="GA15" s="164"/>
      <c r="GB15" s="164"/>
      <c r="GC15" s="164"/>
      <c r="GD15" s="164"/>
      <c r="GE15" s="164"/>
      <c r="GF15" s="164"/>
      <c r="GG15" s="164"/>
      <c r="GH15" s="164"/>
      <c r="GI15" s="164"/>
      <c r="GJ15" s="162"/>
    </row>
    <row r="16" spans="1:192" s="77" customFormat="1">
      <c r="A16" s="218" t="s">
        <v>213</v>
      </c>
      <c r="B16" s="218">
        <v>81.629782000000006</v>
      </c>
      <c r="C16" s="218">
        <v>81.525824999999998</v>
      </c>
      <c r="D16" s="218">
        <v>82.761628999999999</v>
      </c>
      <c r="E16" s="218">
        <v>84.817223999999996</v>
      </c>
      <c r="F16" s="218">
        <v>87.769779999999997</v>
      </c>
      <c r="G16" s="218">
        <v>89.081288999999998</v>
      </c>
      <c r="H16" s="218">
        <v>90.094575000000006</v>
      </c>
      <c r="I16" s="218">
        <v>93.633201</v>
      </c>
      <c r="J16" s="218">
        <v>99.860003000000006</v>
      </c>
      <c r="K16" s="218">
        <v>100.10497599999999</v>
      </c>
      <c r="L16" s="218">
        <v>102.1836</v>
      </c>
      <c r="M16" s="218">
        <v>107.02548899999999</v>
      </c>
      <c r="N16" s="218">
        <v>109.860989</v>
      </c>
      <c r="O16" s="218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64"/>
      <c r="BK16" s="164"/>
      <c r="BL16" s="164"/>
      <c r="BM16" s="164"/>
      <c r="BN16" s="164"/>
      <c r="BO16" s="164"/>
      <c r="BP16" s="164"/>
      <c r="BQ16" s="164"/>
      <c r="BR16" s="164"/>
      <c r="BS16" s="164"/>
      <c r="BT16" s="164"/>
      <c r="BU16" s="164"/>
      <c r="BV16" s="164"/>
      <c r="BW16" s="164"/>
      <c r="BX16" s="164"/>
      <c r="BY16" s="164"/>
      <c r="BZ16" s="164"/>
      <c r="CA16" s="164"/>
      <c r="CB16" s="164"/>
      <c r="CC16" s="164"/>
      <c r="CD16" s="164"/>
      <c r="CE16" s="164"/>
      <c r="CF16" s="164"/>
      <c r="CG16" s="164"/>
      <c r="CH16" s="164"/>
      <c r="CI16" s="164"/>
      <c r="CJ16" s="164"/>
      <c r="CK16" s="164"/>
      <c r="CL16" s="164"/>
      <c r="CM16" s="164"/>
      <c r="CN16" s="164"/>
      <c r="CO16" s="164"/>
      <c r="CP16" s="164"/>
      <c r="CQ16" s="164"/>
      <c r="CR16" s="164"/>
      <c r="CS16" s="164"/>
      <c r="CT16" s="164"/>
      <c r="CU16" s="164"/>
      <c r="CV16" s="164"/>
      <c r="CW16" s="164"/>
      <c r="CX16" s="164"/>
      <c r="CY16" s="164"/>
      <c r="CZ16" s="164"/>
      <c r="DA16" s="164"/>
      <c r="DB16" s="164"/>
      <c r="DC16" s="164"/>
      <c r="DD16" s="164"/>
      <c r="DE16" s="164"/>
      <c r="DF16" s="164"/>
      <c r="DG16" s="164"/>
      <c r="DH16" s="164"/>
      <c r="DI16" s="164"/>
      <c r="DJ16" s="164"/>
      <c r="DK16" s="164"/>
      <c r="DL16" s="164"/>
      <c r="DM16" s="164"/>
      <c r="DN16" s="164"/>
      <c r="DO16" s="164"/>
      <c r="DP16" s="164"/>
      <c r="DQ16" s="164"/>
      <c r="DR16" s="164"/>
      <c r="DS16" s="164"/>
      <c r="DT16" s="164"/>
      <c r="DU16" s="164"/>
      <c r="DV16" s="164"/>
      <c r="DW16" s="164"/>
      <c r="DX16" s="164"/>
      <c r="DY16" s="164"/>
      <c r="DZ16" s="164"/>
      <c r="EA16" s="164"/>
      <c r="EB16" s="164"/>
      <c r="EC16" s="164"/>
      <c r="ED16" s="164"/>
      <c r="EE16" s="164"/>
      <c r="EF16" s="164"/>
      <c r="EG16" s="164"/>
      <c r="EH16" s="164"/>
      <c r="EI16" s="164"/>
      <c r="EJ16" s="164"/>
      <c r="EK16" s="164"/>
      <c r="EL16" s="164"/>
      <c r="EM16" s="164"/>
      <c r="EN16" s="164"/>
      <c r="EO16" s="164"/>
      <c r="EP16" s="164"/>
      <c r="EQ16" s="164"/>
      <c r="ER16" s="164"/>
      <c r="ES16" s="164"/>
      <c r="ET16" s="164"/>
      <c r="EU16" s="164"/>
      <c r="EV16" s="164"/>
      <c r="EW16" s="164"/>
      <c r="EX16" s="164"/>
      <c r="EY16" s="164"/>
      <c r="EZ16" s="164"/>
      <c r="FA16" s="164"/>
      <c r="FB16" s="164"/>
      <c r="FC16" s="164"/>
      <c r="FD16" s="164"/>
      <c r="FE16" s="164"/>
      <c r="FF16" s="164"/>
      <c r="FG16" s="164"/>
      <c r="FH16" s="164"/>
      <c r="FI16" s="164"/>
      <c r="FJ16" s="164"/>
      <c r="FK16" s="164"/>
      <c r="FL16" s="164"/>
      <c r="FM16" s="164"/>
      <c r="FN16" s="164"/>
      <c r="FO16" s="164"/>
      <c r="FP16" s="164"/>
      <c r="FQ16" s="164"/>
      <c r="FR16" s="164"/>
      <c r="FS16" s="164"/>
      <c r="FT16" s="164"/>
      <c r="FU16" s="164"/>
      <c r="FV16" s="164"/>
      <c r="FW16" s="164"/>
      <c r="FX16" s="164"/>
      <c r="FY16" s="164"/>
      <c r="FZ16" s="164"/>
      <c r="GA16" s="164"/>
      <c r="GB16" s="164"/>
      <c r="GC16" s="164"/>
      <c r="GD16" s="164"/>
      <c r="GE16" s="164"/>
      <c r="GF16" s="164"/>
      <c r="GG16" s="164"/>
      <c r="GH16" s="164"/>
      <c r="GI16" s="164"/>
      <c r="GJ16" s="162"/>
    </row>
    <row r="17" spans="1:192" s="77" customFormat="1">
      <c r="A17" s="238" t="s">
        <v>147</v>
      </c>
      <c r="B17" s="238">
        <v>80.373099999999994</v>
      </c>
      <c r="C17" s="238">
        <v>81.960800000000006</v>
      </c>
      <c r="D17" s="238">
        <v>82.118099999999998</v>
      </c>
      <c r="E17" s="238">
        <v>83.974900000000005</v>
      </c>
      <c r="F17" s="238">
        <v>87.049700000000001</v>
      </c>
      <c r="G17" s="271">
        <v>88.457899999999995</v>
      </c>
      <c r="H17" s="238">
        <v>90.228300000000004</v>
      </c>
      <c r="I17" s="238">
        <v>91.833200000000005</v>
      </c>
      <c r="J17" s="238">
        <v>97.148399999999995</v>
      </c>
      <c r="K17" s="225">
        <v>100</v>
      </c>
      <c r="L17" s="238">
        <v>101.5295</v>
      </c>
      <c r="M17" s="238">
        <v>104.9507</v>
      </c>
      <c r="N17" s="225">
        <v>108.7871</v>
      </c>
      <c r="O17" s="218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4"/>
      <c r="AZ17" s="164"/>
      <c r="BA17" s="164"/>
      <c r="BB17" s="164"/>
      <c r="BC17" s="164"/>
      <c r="BD17" s="164"/>
      <c r="BE17" s="164"/>
      <c r="BF17" s="164"/>
      <c r="BG17" s="164"/>
      <c r="BH17" s="164"/>
      <c r="BI17" s="164"/>
      <c r="BJ17" s="164"/>
      <c r="BK17" s="164"/>
      <c r="BL17" s="164"/>
      <c r="BM17" s="164"/>
      <c r="BN17" s="164"/>
      <c r="BO17" s="164"/>
      <c r="BP17" s="164"/>
      <c r="BQ17" s="164"/>
      <c r="BR17" s="164"/>
      <c r="BS17" s="164"/>
      <c r="BT17" s="164"/>
      <c r="BU17" s="164"/>
      <c r="BV17" s="164"/>
      <c r="BW17" s="164"/>
      <c r="BX17" s="164"/>
      <c r="BY17" s="164"/>
      <c r="BZ17" s="164"/>
      <c r="CA17" s="164"/>
      <c r="CB17" s="164"/>
      <c r="CC17" s="164"/>
      <c r="CD17" s="164"/>
      <c r="CE17" s="164"/>
      <c r="CF17" s="164"/>
      <c r="CG17" s="164"/>
      <c r="CH17" s="164"/>
      <c r="CI17" s="164"/>
      <c r="CJ17" s="164"/>
      <c r="CK17" s="164"/>
      <c r="CL17" s="164"/>
      <c r="CM17" s="164"/>
      <c r="CN17" s="164"/>
      <c r="CO17" s="164"/>
      <c r="CP17" s="164"/>
      <c r="CQ17" s="164"/>
      <c r="CR17" s="164"/>
      <c r="CS17" s="164"/>
      <c r="CT17" s="164"/>
      <c r="CU17" s="164"/>
      <c r="CV17" s="164"/>
      <c r="CW17" s="164"/>
      <c r="CX17" s="164"/>
      <c r="CY17" s="164"/>
      <c r="CZ17" s="164"/>
      <c r="DA17" s="164"/>
      <c r="DB17" s="164"/>
      <c r="DC17" s="164"/>
      <c r="DD17" s="164"/>
      <c r="DE17" s="164"/>
      <c r="DF17" s="164"/>
      <c r="DG17" s="164"/>
      <c r="DH17" s="164"/>
      <c r="DI17" s="164"/>
      <c r="DJ17" s="164"/>
      <c r="DK17" s="164"/>
      <c r="DL17" s="164"/>
      <c r="DM17" s="164"/>
      <c r="DN17" s="164"/>
      <c r="DO17" s="164"/>
      <c r="DP17" s="164"/>
      <c r="DQ17" s="164"/>
      <c r="DR17" s="164"/>
      <c r="DS17" s="164"/>
      <c r="DT17" s="164"/>
      <c r="DU17" s="164"/>
      <c r="DV17" s="164"/>
      <c r="DW17" s="164"/>
      <c r="DX17" s="164"/>
      <c r="DY17" s="164"/>
      <c r="DZ17" s="164"/>
      <c r="EA17" s="164"/>
      <c r="EB17" s="164"/>
      <c r="EC17" s="164"/>
      <c r="ED17" s="164"/>
      <c r="EE17" s="164"/>
      <c r="EF17" s="164"/>
      <c r="EG17" s="164"/>
      <c r="EH17" s="164"/>
      <c r="EI17" s="164"/>
      <c r="EJ17" s="164"/>
      <c r="EK17" s="164"/>
      <c r="EL17" s="164"/>
      <c r="EM17" s="164"/>
      <c r="EN17" s="164"/>
      <c r="EO17" s="164"/>
      <c r="EP17" s="164"/>
      <c r="EQ17" s="164"/>
      <c r="ER17" s="164"/>
      <c r="ES17" s="164"/>
      <c r="ET17" s="164"/>
      <c r="EU17" s="164"/>
      <c r="EV17" s="164"/>
      <c r="EW17" s="164"/>
      <c r="EX17" s="164"/>
      <c r="EY17" s="164"/>
      <c r="EZ17" s="164"/>
      <c r="FA17" s="164"/>
      <c r="FB17" s="164"/>
      <c r="FC17" s="164"/>
      <c r="FD17" s="164"/>
      <c r="FE17" s="164"/>
      <c r="FF17" s="164"/>
      <c r="FG17" s="164"/>
      <c r="FH17" s="164"/>
      <c r="FI17" s="164"/>
      <c r="FJ17" s="164"/>
      <c r="FK17" s="164"/>
      <c r="FL17" s="164"/>
      <c r="FM17" s="164"/>
      <c r="FN17" s="164"/>
      <c r="FO17" s="164"/>
      <c r="FP17" s="164"/>
      <c r="FQ17" s="164"/>
      <c r="FR17" s="164"/>
      <c r="FS17" s="164"/>
      <c r="FT17" s="164"/>
      <c r="FU17" s="164"/>
      <c r="FV17" s="164"/>
      <c r="FW17" s="164"/>
      <c r="FX17" s="164"/>
      <c r="FY17" s="164"/>
      <c r="FZ17" s="164"/>
      <c r="GA17" s="164"/>
      <c r="GB17" s="164"/>
      <c r="GC17" s="164"/>
      <c r="GD17" s="164"/>
      <c r="GE17" s="164"/>
      <c r="GF17" s="164"/>
      <c r="GG17" s="164"/>
      <c r="GH17" s="164"/>
      <c r="GI17" s="164"/>
      <c r="GJ17" s="162"/>
    </row>
    <row r="18" spans="1:192" s="77" customFormat="1">
      <c r="A18" s="239" t="s">
        <v>467</v>
      </c>
      <c r="B18" s="239"/>
      <c r="C18" s="251">
        <f>+C17/B17-1</f>
        <v>1.9754121714852468E-2</v>
      </c>
      <c r="D18" s="251">
        <f t="shared" ref="D18:N18" si="0">+D17/C17-1</f>
        <v>1.9192101590026489E-3</v>
      </c>
      <c r="E18" s="251">
        <f t="shared" si="0"/>
        <v>2.2611336599361209E-2</v>
      </c>
      <c r="F18" s="251">
        <f t="shared" si="0"/>
        <v>3.6615703025546953E-2</v>
      </c>
      <c r="G18" s="251">
        <f t="shared" si="0"/>
        <v>1.617696557254078E-2</v>
      </c>
      <c r="H18" s="251">
        <f t="shared" si="0"/>
        <v>2.0014040577495118E-2</v>
      </c>
      <c r="I18" s="251">
        <f t="shared" si="0"/>
        <v>1.7787102272790234E-2</v>
      </c>
      <c r="J18" s="251">
        <f t="shared" si="0"/>
        <v>5.7878849914845487E-2</v>
      </c>
      <c r="K18" s="251">
        <f t="shared" si="0"/>
        <v>2.9353031032935295E-2</v>
      </c>
      <c r="L18" s="251">
        <f t="shared" si="0"/>
        <v>1.5295000000000059E-2</v>
      </c>
      <c r="M18" s="251">
        <f t="shared" si="0"/>
        <v>3.3696610344776667E-2</v>
      </c>
      <c r="N18" s="251">
        <f t="shared" si="0"/>
        <v>3.6554305974138224E-2</v>
      </c>
      <c r="O18" s="251">
        <f>+ROUND(AVERAGE($C$18:$N$18),4)</f>
        <v>2.5600000000000001E-2</v>
      </c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L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64"/>
      <c r="BY18" s="164"/>
      <c r="BZ18" s="164"/>
      <c r="CA18" s="164"/>
      <c r="CB18" s="164"/>
      <c r="CC18" s="164"/>
      <c r="CD18" s="164"/>
      <c r="CE18" s="164"/>
      <c r="CF18" s="164"/>
      <c r="CG18" s="164"/>
      <c r="CH18" s="164"/>
      <c r="CI18" s="164"/>
      <c r="CJ18" s="164"/>
      <c r="CK18" s="164"/>
      <c r="CL18" s="164"/>
      <c r="CM18" s="164"/>
      <c r="CN18" s="164"/>
      <c r="CO18" s="164"/>
      <c r="CP18" s="164"/>
      <c r="CQ18" s="164"/>
      <c r="CR18" s="164"/>
      <c r="CS18" s="164"/>
      <c r="CT18" s="164"/>
      <c r="CU18" s="164"/>
      <c r="CV18" s="164"/>
      <c r="CW18" s="164"/>
      <c r="CX18" s="164"/>
      <c r="CY18" s="164"/>
      <c r="CZ18" s="164"/>
      <c r="DA18" s="164"/>
      <c r="DB18" s="164"/>
      <c r="DC18" s="164"/>
      <c r="DD18" s="164"/>
      <c r="DE18" s="164"/>
      <c r="DF18" s="164"/>
      <c r="DG18" s="164"/>
      <c r="DH18" s="164"/>
      <c r="DI18" s="164"/>
      <c r="DJ18" s="164"/>
      <c r="DK18" s="164"/>
      <c r="DL18" s="164"/>
      <c r="DM18" s="164"/>
      <c r="DN18" s="164"/>
      <c r="DO18" s="164"/>
      <c r="DP18" s="164"/>
      <c r="DQ18" s="164"/>
      <c r="DR18" s="164"/>
      <c r="DS18" s="164"/>
      <c r="DT18" s="164"/>
      <c r="DU18" s="164"/>
      <c r="DV18" s="164"/>
      <c r="DW18" s="164"/>
      <c r="DX18" s="164"/>
      <c r="DY18" s="164"/>
      <c r="DZ18" s="164"/>
      <c r="EA18" s="164"/>
      <c r="EB18" s="164"/>
      <c r="EC18" s="164"/>
      <c r="ED18" s="164"/>
      <c r="EE18" s="164"/>
      <c r="EF18" s="164"/>
      <c r="EG18" s="164"/>
      <c r="EH18" s="164"/>
      <c r="EI18" s="164"/>
      <c r="EJ18" s="164"/>
      <c r="EK18" s="164"/>
      <c r="EL18" s="164"/>
      <c r="EM18" s="164"/>
      <c r="EN18" s="164"/>
      <c r="EO18" s="164"/>
      <c r="EP18" s="164"/>
      <c r="EQ18" s="164"/>
      <c r="ER18" s="164"/>
      <c r="ES18" s="164"/>
      <c r="ET18" s="164"/>
      <c r="EU18" s="164"/>
      <c r="EV18" s="164"/>
      <c r="EW18" s="164"/>
      <c r="EX18" s="164"/>
      <c r="EY18" s="164"/>
      <c r="EZ18" s="164"/>
      <c r="FA18" s="164"/>
      <c r="FB18" s="164"/>
      <c r="FC18" s="164"/>
      <c r="FD18" s="164"/>
      <c r="FE18" s="164"/>
      <c r="FF18" s="164"/>
      <c r="FG18" s="164"/>
      <c r="FH18" s="164"/>
      <c r="FI18" s="164"/>
      <c r="FJ18" s="164"/>
      <c r="FK18" s="164"/>
      <c r="FL18" s="164"/>
      <c r="FM18" s="164"/>
      <c r="FN18" s="164"/>
      <c r="FO18" s="164"/>
      <c r="FP18" s="164"/>
      <c r="FQ18" s="164"/>
      <c r="FR18" s="164"/>
      <c r="FS18" s="164"/>
      <c r="FT18" s="164"/>
      <c r="FU18" s="164"/>
      <c r="FV18" s="164"/>
      <c r="FW18" s="164"/>
      <c r="FX18" s="164"/>
      <c r="FY18" s="164"/>
      <c r="FZ18" s="164"/>
      <c r="GA18" s="164"/>
      <c r="GB18" s="164"/>
      <c r="GC18" s="164"/>
      <c r="GD18" s="164"/>
      <c r="GE18" s="164"/>
      <c r="GF18" s="164"/>
      <c r="GG18" s="164"/>
      <c r="GH18" s="164"/>
      <c r="GI18" s="164"/>
      <c r="GJ18" s="162"/>
    </row>
    <row r="19" spans="1:192" s="77" customFormat="1">
      <c r="A19" s="193"/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  <c r="BI19" s="164"/>
      <c r="BJ19" s="164"/>
      <c r="BK19" s="164"/>
      <c r="BL19" s="164"/>
      <c r="BM19" s="164"/>
      <c r="BN19" s="164"/>
      <c r="BO19" s="164"/>
      <c r="BP19" s="164"/>
      <c r="BQ19" s="164"/>
      <c r="BR19" s="164"/>
      <c r="BS19" s="164"/>
      <c r="BT19" s="164"/>
      <c r="BU19" s="164"/>
      <c r="BV19" s="164"/>
      <c r="BW19" s="164"/>
      <c r="BX19" s="164"/>
      <c r="BY19" s="164"/>
      <c r="BZ19" s="164"/>
      <c r="CA19" s="164"/>
      <c r="CB19" s="164"/>
      <c r="CC19" s="164"/>
      <c r="CD19" s="164"/>
      <c r="CE19" s="164"/>
      <c r="CF19" s="164"/>
      <c r="CG19" s="164"/>
      <c r="CH19" s="164"/>
      <c r="CI19" s="164"/>
      <c r="CJ19" s="164"/>
      <c r="CK19" s="164"/>
      <c r="CL19" s="164"/>
      <c r="CM19" s="164"/>
      <c r="CN19" s="164"/>
      <c r="CO19" s="164"/>
      <c r="CP19" s="164"/>
      <c r="CQ19" s="164"/>
      <c r="CR19" s="164"/>
      <c r="CS19" s="164"/>
      <c r="CT19" s="164"/>
      <c r="CU19" s="164"/>
      <c r="CV19" s="164"/>
      <c r="CW19" s="164"/>
      <c r="CX19" s="164"/>
      <c r="CY19" s="164"/>
      <c r="CZ19" s="164"/>
      <c r="DA19" s="164"/>
      <c r="DB19" s="164"/>
      <c r="DC19" s="164"/>
      <c r="DD19" s="164"/>
      <c r="DE19" s="164"/>
      <c r="DF19" s="164"/>
      <c r="DG19" s="164"/>
      <c r="DH19" s="164"/>
      <c r="DI19" s="164"/>
      <c r="DJ19" s="164"/>
      <c r="DK19" s="164"/>
      <c r="DL19" s="164"/>
      <c r="DM19" s="164"/>
      <c r="DN19" s="164"/>
      <c r="DO19" s="164"/>
      <c r="DP19" s="164"/>
      <c r="DQ19" s="164"/>
      <c r="DR19" s="164"/>
      <c r="DS19" s="164"/>
      <c r="DT19" s="164"/>
      <c r="DU19" s="164"/>
      <c r="DV19" s="164"/>
      <c r="DW19" s="164"/>
      <c r="DX19" s="164"/>
      <c r="DY19" s="164"/>
      <c r="DZ19" s="164"/>
      <c r="EA19" s="164"/>
      <c r="EB19" s="164"/>
      <c r="EC19" s="164"/>
      <c r="ED19" s="164"/>
      <c r="EE19" s="164"/>
      <c r="EF19" s="164"/>
      <c r="EG19" s="164"/>
      <c r="EH19" s="164"/>
      <c r="EI19" s="164"/>
      <c r="EJ19" s="164"/>
      <c r="EK19" s="164"/>
      <c r="EL19" s="164"/>
      <c r="EM19" s="164"/>
      <c r="EN19" s="164"/>
      <c r="EO19" s="164"/>
      <c r="EP19" s="164"/>
      <c r="EQ19" s="164"/>
      <c r="ER19" s="164"/>
      <c r="ES19" s="164"/>
      <c r="ET19" s="164"/>
      <c r="EU19" s="164"/>
      <c r="EV19" s="164"/>
      <c r="EW19" s="164"/>
      <c r="EX19" s="164"/>
      <c r="EY19" s="164"/>
      <c r="EZ19" s="164"/>
      <c r="FA19" s="164"/>
      <c r="FB19" s="164"/>
      <c r="FC19" s="164"/>
      <c r="FD19" s="164"/>
      <c r="FE19" s="164"/>
      <c r="FF19" s="164"/>
      <c r="FG19" s="164"/>
      <c r="FH19" s="164"/>
      <c r="FI19" s="164"/>
      <c r="FJ19" s="164"/>
      <c r="FK19" s="164"/>
      <c r="FL19" s="164"/>
      <c r="FM19" s="164"/>
      <c r="FN19" s="164"/>
      <c r="FO19" s="164"/>
      <c r="FP19" s="164"/>
      <c r="FQ19" s="164"/>
      <c r="FR19" s="164"/>
      <c r="FS19" s="164"/>
      <c r="FT19" s="164"/>
      <c r="FU19" s="164"/>
      <c r="FV19" s="164"/>
      <c r="FW19" s="164"/>
      <c r="FX19" s="164"/>
      <c r="FY19" s="164"/>
      <c r="FZ19" s="164"/>
      <c r="GA19" s="164"/>
      <c r="GB19" s="164"/>
      <c r="GC19" s="164"/>
      <c r="GD19" s="164"/>
      <c r="GE19" s="164"/>
      <c r="GF19" s="164"/>
      <c r="GG19" s="164"/>
      <c r="GH19" s="164"/>
      <c r="GI19" s="164"/>
      <c r="GJ19" s="162"/>
    </row>
    <row r="20" spans="1:192" s="77" customFormat="1">
      <c r="A20" s="162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  <c r="BI20" s="164"/>
      <c r="BJ20" s="164"/>
      <c r="BK20" s="164"/>
      <c r="BL20" s="164"/>
      <c r="BM20" s="164"/>
      <c r="BN20" s="164"/>
      <c r="BO20" s="164"/>
      <c r="BP20" s="164"/>
      <c r="BQ20" s="164"/>
      <c r="BR20" s="164"/>
      <c r="BS20" s="164"/>
      <c r="BT20" s="164"/>
      <c r="BU20" s="164"/>
      <c r="BV20" s="164"/>
      <c r="BW20" s="164"/>
      <c r="BX20" s="164"/>
      <c r="BY20" s="164"/>
      <c r="BZ20" s="164"/>
      <c r="CA20" s="164"/>
      <c r="CB20" s="164"/>
      <c r="CC20" s="164"/>
      <c r="CD20" s="164"/>
      <c r="CE20" s="164"/>
      <c r="CF20" s="164"/>
      <c r="CG20" s="164"/>
      <c r="CH20" s="164"/>
      <c r="CI20" s="164"/>
      <c r="CJ20" s="164"/>
      <c r="CK20" s="164"/>
      <c r="CL20" s="164"/>
      <c r="CM20" s="164"/>
      <c r="CN20" s="164"/>
      <c r="CO20" s="164"/>
      <c r="CP20" s="164"/>
      <c r="CQ20" s="164"/>
      <c r="CR20" s="164"/>
      <c r="CS20" s="164"/>
      <c r="CT20" s="164"/>
      <c r="CU20" s="164"/>
      <c r="CV20" s="164"/>
      <c r="CW20" s="164"/>
      <c r="CX20" s="164"/>
      <c r="CY20" s="164"/>
      <c r="CZ20" s="164"/>
      <c r="DA20" s="164"/>
      <c r="DB20" s="164"/>
      <c r="DC20" s="164"/>
      <c r="DD20" s="164"/>
      <c r="DE20" s="164"/>
      <c r="DF20" s="164"/>
      <c r="DG20" s="164"/>
      <c r="DH20" s="164"/>
      <c r="DI20" s="164"/>
      <c r="DJ20" s="164"/>
      <c r="DK20" s="164"/>
      <c r="DL20" s="164"/>
      <c r="DM20" s="164"/>
      <c r="DN20" s="164"/>
      <c r="DO20" s="164"/>
      <c r="DP20" s="164"/>
      <c r="DQ20" s="164"/>
      <c r="DR20" s="164"/>
      <c r="DS20" s="164"/>
      <c r="DT20" s="164"/>
      <c r="DU20" s="164"/>
      <c r="DV20" s="164"/>
      <c r="DW20" s="164"/>
      <c r="DX20" s="164"/>
      <c r="DY20" s="164"/>
      <c r="DZ20" s="164"/>
      <c r="EA20" s="164"/>
      <c r="EB20" s="164"/>
      <c r="EC20" s="164"/>
      <c r="ED20" s="164"/>
      <c r="EE20" s="164"/>
      <c r="EF20" s="164"/>
      <c r="EG20" s="164"/>
      <c r="EH20" s="164"/>
      <c r="EI20" s="164"/>
      <c r="EJ20" s="164"/>
      <c r="EK20" s="164"/>
      <c r="EL20" s="164"/>
      <c r="EM20" s="164"/>
      <c r="EN20" s="164"/>
      <c r="EO20" s="164"/>
      <c r="EP20" s="164"/>
      <c r="EQ20" s="164"/>
      <c r="ER20" s="164"/>
      <c r="ES20" s="164"/>
      <c r="ET20" s="164"/>
      <c r="EU20" s="164"/>
      <c r="EV20" s="164"/>
      <c r="EW20" s="164"/>
      <c r="EX20" s="164"/>
      <c r="EY20" s="164"/>
      <c r="EZ20" s="164"/>
      <c r="FA20" s="164"/>
      <c r="FB20" s="164"/>
      <c r="FC20" s="164"/>
      <c r="FD20" s="164"/>
      <c r="FE20" s="164"/>
      <c r="FF20" s="164"/>
      <c r="FG20" s="164"/>
      <c r="FH20" s="164"/>
      <c r="FI20" s="164"/>
      <c r="FJ20" s="164"/>
      <c r="FK20" s="164"/>
      <c r="FL20" s="164"/>
      <c r="FM20" s="164"/>
      <c r="FN20" s="164"/>
      <c r="FO20" s="164"/>
      <c r="FP20" s="164"/>
      <c r="FQ20" s="164"/>
      <c r="FR20" s="164"/>
      <c r="FS20" s="164"/>
      <c r="FT20" s="164"/>
      <c r="FU20" s="164"/>
      <c r="FV20" s="164"/>
      <c r="FW20" s="164"/>
      <c r="FX20" s="164"/>
      <c r="FY20" s="164"/>
      <c r="FZ20" s="164"/>
      <c r="GA20" s="164"/>
      <c r="GB20" s="164"/>
      <c r="GC20" s="164"/>
      <c r="GD20" s="164"/>
      <c r="GE20" s="164"/>
      <c r="GF20" s="164"/>
      <c r="GG20" s="164"/>
      <c r="GH20" s="164"/>
      <c r="GI20" s="164"/>
      <c r="GJ20" s="162"/>
    </row>
    <row r="21" spans="1:192" s="77" customFormat="1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64"/>
      <c r="BK21" s="164"/>
      <c r="BL21" s="164"/>
      <c r="BM21" s="164"/>
      <c r="BN21" s="164"/>
      <c r="BO21" s="164"/>
      <c r="BP21" s="164"/>
      <c r="BQ21" s="164"/>
      <c r="BR21" s="164"/>
      <c r="BS21" s="164"/>
      <c r="BT21" s="164"/>
      <c r="BU21" s="164"/>
      <c r="BV21" s="164"/>
      <c r="BW21" s="164"/>
      <c r="BX21" s="164"/>
      <c r="BY21" s="164"/>
      <c r="BZ21" s="164"/>
      <c r="CA21" s="164"/>
      <c r="CB21" s="164"/>
      <c r="CC21" s="164"/>
      <c r="CD21" s="164"/>
      <c r="CE21" s="164"/>
      <c r="CF21" s="164"/>
      <c r="CG21" s="164"/>
      <c r="CH21" s="164"/>
      <c r="CI21" s="164"/>
      <c r="CJ21" s="164"/>
      <c r="CK21" s="164"/>
      <c r="CL21" s="164"/>
      <c r="CM21" s="164"/>
      <c r="CN21" s="164"/>
      <c r="CO21" s="164"/>
      <c r="CP21" s="164"/>
      <c r="CQ21" s="164"/>
      <c r="CR21" s="164"/>
      <c r="CS21" s="164"/>
      <c r="CT21" s="164"/>
      <c r="CU21" s="164"/>
      <c r="CV21" s="164"/>
      <c r="CW21" s="164"/>
      <c r="CX21" s="164"/>
      <c r="CY21" s="164"/>
      <c r="CZ21" s="164"/>
      <c r="DA21" s="164"/>
      <c r="DB21" s="164"/>
      <c r="DC21" s="164"/>
      <c r="DD21" s="164"/>
      <c r="DE21" s="164"/>
      <c r="DF21" s="164"/>
      <c r="DG21" s="164"/>
      <c r="DH21" s="164"/>
      <c r="DI21" s="164"/>
      <c r="DJ21" s="164"/>
      <c r="DK21" s="164"/>
      <c r="DL21" s="164"/>
      <c r="DM21" s="164"/>
      <c r="DN21" s="164"/>
      <c r="DO21" s="164"/>
      <c r="DP21" s="164"/>
      <c r="DQ21" s="164"/>
      <c r="DR21" s="164"/>
      <c r="DS21" s="164"/>
      <c r="DT21" s="164"/>
      <c r="DU21" s="164"/>
      <c r="DV21" s="164"/>
      <c r="DW21" s="164"/>
      <c r="DX21" s="164"/>
      <c r="DY21" s="164"/>
      <c r="DZ21" s="164"/>
      <c r="EA21" s="164"/>
      <c r="EB21" s="164"/>
      <c r="EC21" s="164"/>
      <c r="ED21" s="164"/>
      <c r="EE21" s="164"/>
      <c r="EF21" s="164"/>
      <c r="EG21" s="164"/>
      <c r="EH21" s="164"/>
      <c r="EI21" s="164"/>
      <c r="EJ21" s="164"/>
      <c r="EK21" s="164"/>
      <c r="EL21" s="164"/>
      <c r="EM21" s="164"/>
      <c r="EN21" s="164"/>
      <c r="EO21" s="164"/>
      <c r="EP21" s="164"/>
      <c r="EQ21" s="164"/>
      <c r="ER21" s="164"/>
      <c r="ES21" s="164"/>
      <c r="ET21" s="164"/>
      <c r="EU21" s="164"/>
      <c r="EV21" s="164"/>
      <c r="EW21" s="164"/>
      <c r="EX21" s="164"/>
      <c r="EY21" s="164"/>
      <c r="EZ21" s="164"/>
      <c r="FA21" s="164"/>
      <c r="FB21" s="164"/>
      <c r="FC21" s="164"/>
      <c r="FD21" s="164"/>
      <c r="FE21" s="164"/>
      <c r="FF21" s="164"/>
      <c r="FG21" s="164"/>
      <c r="FH21" s="164"/>
      <c r="FI21" s="164"/>
      <c r="FJ21" s="164"/>
      <c r="FK21" s="164"/>
      <c r="FL21" s="164"/>
      <c r="FM21" s="164"/>
      <c r="FN21" s="164"/>
      <c r="FO21" s="164"/>
      <c r="FP21" s="164"/>
      <c r="FQ21" s="164"/>
      <c r="FR21" s="164"/>
      <c r="FS21" s="164"/>
      <c r="FT21" s="164"/>
      <c r="FU21" s="164"/>
      <c r="FV21" s="164"/>
      <c r="FW21" s="164"/>
      <c r="FX21" s="164"/>
      <c r="FY21" s="164"/>
      <c r="FZ21" s="164"/>
      <c r="GA21" s="164"/>
      <c r="GB21" s="164"/>
      <c r="GC21" s="164"/>
      <c r="GD21" s="164"/>
      <c r="GE21" s="164"/>
      <c r="GF21" s="164"/>
      <c r="GG21" s="164"/>
      <c r="GH21" s="164"/>
      <c r="GI21" s="164"/>
      <c r="GJ21" s="162"/>
    </row>
    <row r="22" spans="1:192" s="77" customFormat="1">
      <c r="A22" s="162"/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  <c r="BI22" s="164"/>
      <c r="BJ22" s="164"/>
      <c r="BK22" s="164"/>
      <c r="BL22" s="164"/>
      <c r="BM22" s="164"/>
      <c r="BN22" s="164"/>
      <c r="BO22" s="164"/>
      <c r="BP22" s="164"/>
      <c r="BQ22" s="164"/>
      <c r="BR22" s="164"/>
      <c r="BS22" s="164"/>
      <c r="BT22" s="164"/>
      <c r="BU22" s="164"/>
      <c r="BV22" s="164"/>
      <c r="BW22" s="164"/>
      <c r="BX22" s="164"/>
      <c r="BY22" s="164"/>
      <c r="BZ22" s="164"/>
      <c r="CA22" s="164"/>
      <c r="CB22" s="164"/>
      <c r="CC22" s="164"/>
      <c r="CD22" s="164"/>
      <c r="CE22" s="164"/>
      <c r="CF22" s="164"/>
      <c r="CG22" s="164"/>
      <c r="CH22" s="164"/>
      <c r="CI22" s="164"/>
      <c r="CJ22" s="164"/>
      <c r="CK22" s="164"/>
      <c r="CL22" s="164"/>
      <c r="CM22" s="164"/>
      <c r="CN22" s="164"/>
      <c r="CO22" s="164"/>
      <c r="CP22" s="164"/>
      <c r="CQ22" s="164"/>
      <c r="CR22" s="164"/>
      <c r="CS22" s="164"/>
      <c r="CT22" s="164"/>
      <c r="CU22" s="164"/>
      <c r="CV22" s="164"/>
      <c r="CW22" s="164"/>
      <c r="CX22" s="164"/>
      <c r="CY22" s="164"/>
      <c r="CZ22" s="164"/>
      <c r="DA22" s="164"/>
      <c r="DB22" s="164"/>
      <c r="DC22" s="164"/>
      <c r="DD22" s="164"/>
      <c r="DE22" s="164"/>
      <c r="DF22" s="164"/>
      <c r="DG22" s="164"/>
      <c r="DH22" s="164"/>
      <c r="DI22" s="164"/>
      <c r="DJ22" s="164"/>
      <c r="DK22" s="164"/>
      <c r="DL22" s="164"/>
      <c r="DM22" s="164"/>
      <c r="DN22" s="164"/>
      <c r="DO22" s="164"/>
      <c r="DP22" s="164"/>
      <c r="DQ22" s="164"/>
      <c r="DR22" s="164"/>
      <c r="DS22" s="164"/>
      <c r="DT22" s="164"/>
      <c r="DU22" s="164"/>
      <c r="DV22" s="164"/>
      <c r="DW22" s="164"/>
      <c r="DX22" s="164"/>
      <c r="DY22" s="164"/>
      <c r="DZ22" s="164"/>
      <c r="EA22" s="164"/>
      <c r="EB22" s="164"/>
      <c r="EC22" s="164"/>
      <c r="ED22" s="164"/>
      <c r="EE22" s="164"/>
      <c r="EF22" s="164"/>
      <c r="EG22" s="164"/>
      <c r="EH22" s="164"/>
      <c r="EI22" s="164"/>
      <c r="EJ22" s="164"/>
      <c r="EK22" s="164"/>
      <c r="EL22" s="164"/>
      <c r="EM22" s="164"/>
      <c r="EN22" s="164"/>
      <c r="EO22" s="164"/>
      <c r="EP22" s="164"/>
      <c r="EQ22" s="164"/>
      <c r="ER22" s="164"/>
      <c r="ES22" s="164"/>
      <c r="ET22" s="164"/>
      <c r="EU22" s="164"/>
      <c r="EV22" s="164"/>
      <c r="EW22" s="164"/>
      <c r="EX22" s="164"/>
      <c r="EY22" s="164"/>
      <c r="EZ22" s="164"/>
      <c r="FA22" s="164"/>
      <c r="FB22" s="164"/>
      <c r="FC22" s="164"/>
      <c r="FD22" s="164"/>
      <c r="FE22" s="164"/>
      <c r="FF22" s="164"/>
      <c r="FG22" s="164"/>
      <c r="FH22" s="164"/>
      <c r="FI22" s="164"/>
      <c r="FJ22" s="164"/>
      <c r="FK22" s="164"/>
      <c r="FL22" s="164"/>
      <c r="FM22" s="164"/>
      <c r="FN22" s="164"/>
      <c r="FO22" s="164"/>
      <c r="FP22" s="164"/>
      <c r="FQ22" s="164"/>
      <c r="FR22" s="164"/>
      <c r="FS22" s="164"/>
      <c r="FT22" s="164"/>
      <c r="FU22" s="164"/>
      <c r="FV22" s="164"/>
      <c r="FW22" s="164"/>
      <c r="FX22" s="164"/>
      <c r="FY22" s="164"/>
      <c r="FZ22" s="164"/>
      <c r="GA22" s="164"/>
      <c r="GB22" s="164"/>
      <c r="GC22" s="164"/>
      <c r="GD22" s="164"/>
      <c r="GE22" s="164"/>
      <c r="GF22" s="164"/>
      <c r="GG22" s="164"/>
      <c r="GH22" s="164"/>
      <c r="GI22" s="164"/>
      <c r="GJ22" s="162"/>
    </row>
    <row r="23" spans="1:192" s="77" customFormat="1">
      <c r="A23" s="162"/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4"/>
      <c r="BJ23" s="164"/>
      <c r="BK23" s="164"/>
      <c r="BL23" s="164"/>
      <c r="BM23" s="164"/>
      <c r="BN23" s="164"/>
      <c r="BO23" s="164"/>
      <c r="BP23" s="164"/>
      <c r="BQ23" s="164"/>
      <c r="BR23" s="164"/>
      <c r="BS23" s="164"/>
      <c r="BT23" s="164"/>
      <c r="BU23" s="164"/>
      <c r="BV23" s="164"/>
      <c r="BW23" s="164"/>
      <c r="BX23" s="164"/>
      <c r="BY23" s="164"/>
      <c r="BZ23" s="164"/>
      <c r="CA23" s="164"/>
      <c r="CB23" s="164"/>
      <c r="CC23" s="164"/>
      <c r="CD23" s="164"/>
      <c r="CE23" s="164"/>
      <c r="CF23" s="164"/>
      <c r="CG23" s="164"/>
      <c r="CH23" s="164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4"/>
      <c r="DC23" s="164"/>
      <c r="DD23" s="164"/>
      <c r="DE23" s="164"/>
      <c r="DF23" s="164"/>
      <c r="DG23" s="164"/>
      <c r="DH23" s="164"/>
      <c r="DI23" s="164"/>
      <c r="DJ23" s="164"/>
      <c r="DK23" s="164"/>
      <c r="DL23" s="164"/>
      <c r="DM23" s="164"/>
      <c r="DN23" s="164"/>
      <c r="DO23" s="164"/>
      <c r="DP23" s="164"/>
      <c r="DQ23" s="164"/>
      <c r="DR23" s="164"/>
      <c r="DS23" s="164"/>
      <c r="DT23" s="164"/>
      <c r="DU23" s="164"/>
      <c r="DV23" s="164"/>
      <c r="DW23" s="164"/>
      <c r="DX23" s="164"/>
      <c r="DY23" s="164"/>
      <c r="DZ23" s="164"/>
      <c r="EA23" s="164"/>
      <c r="EB23" s="164"/>
      <c r="EC23" s="164"/>
      <c r="ED23" s="164"/>
      <c r="EE23" s="164"/>
      <c r="EF23" s="164"/>
      <c r="EG23" s="164"/>
      <c r="EH23" s="164"/>
      <c r="EI23" s="164"/>
      <c r="EJ23" s="164"/>
      <c r="EK23" s="164"/>
      <c r="EL23" s="164"/>
      <c r="EM23" s="164"/>
      <c r="EN23" s="164"/>
      <c r="EO23" s="164"/>
      <c r="EP23" s="164"/>
      <c r="EQ23" s="164"/>
      <c r="ER23" s="164"/>
      <c r="ES23" s="164"/>
      <c r="ET23" s="164"/>
      <c r="EU23" s="164"/>
      <c r="EV23" s="164"/>
      <c r="EW23" s="164"/>
      <c r="EX23" s="164"/>
      <c r="EY23" s="164"/>
      <c r="EZ23" s="164"/>
      <c r="FA23" s="164"/>
      <c r="FB23" s="164"/>
      <c r="FC23" s="164"/>
      <c r="FD23" s="164"/>
      <c r="FE23" s="164"/>
      <c r="FF23" s="164"/>
      <c r="FG23" s="164"/>
      <c r="FH23" s="164"/>
      <c r="FI23" s="164"/>
      <c r="FJ23" s="164"/>
      <c r="FK23" s="164"/>
      <c r="FL23" s="164"/>
      <c r="FM23" s="164"/>
      <c r="FN23" s="164"/>
      <c r="FO23" s="164"/>
      <c r="FP23" s="164"/>
      <c r="FQ23" s="164"/>
      <c r="FR23" s="164"/>
      <c r="FS23" s="164"/>
      <c r="FT23" s="164"/>
      <c r="FU23" s="164"/>
      <c r="FV23" s="164"/>
      <c r="FW23" s="164"/>
      <c r="FX23" s="164"/>
      <c r="FY23" s="164"/>
      <c r="FZ23" s="164"/>
      <c r="GA23" s="164"/>
      <c r="GB23" s="164"/>
      <c r="GC23" s="164"/>
      <c r="GD23" s="164"/>
      <c r="GE23" s="164"/>
      <c r="GF23" s="164"/>
      <c r="GG23" s="164"/>
      <c r="GH23" s="164"/>
      <c r="GI23" s="164"/>
      <c r="GJ23" s="162"/>
    </row>
    <row r="24" spans="1:192" s="205" customFormat="1">
      <c r="A24" s="162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AJ24" s="206"/>
      <c r="AK24" s="206"/>
      <c r="AL24" s="206"/>
      <c r="AM24" s="206"/>
      <c r="AN24" s="206"/>
      <c r="AO24" s="206"/>
      <c r="AP24" s="206"/>
      <c r="AQ24" s="206"/>
      <c r="AR24" s="206"/>
      <c r="AS24" s="206"/>
      <c r="AT24" s="206"/>
      <c r="AU24" s="206"/>
      <c r="AV24" s="206"/>
      <c r="AW24" s="206"/>
      <c r="AX24" s="206"/>
      <c r="AY24" s="206"/>
      <c r="AZ24" s="206"/>
      <c r="BA24" s="206"/>
      <c r="BB24" s="206"/>
      <c r="BC24" s="206"/>
      <c r="BD24" s="206"/>
      <c r="BE24" s="206"/>
      <c r="BF24" s="206"/>
      <c r="BG24" s="206"/>
      <c r="BH24" s="206"/>
      <c r="BI24" s="206"/>
      <c r="BJ24" s="206"/>
      <c r="BK24" s="206"/>
      <c r="BL24" s="206"/>
      <c r="BM24" s="206"/>
      <c r="BN24" s="206"/>
      <c r="BO24" s="206"/>
      <c r="BP24" s="206"/>
      <c r="BQ24" s="206"/>
      <c r="BR24" s="206"/>
      <c r="BS24" s="206"/>
      <c r="BT24" s="206"/>
      <c r="BU24" s="206"/>
      <c r="BV24" s="206"/>
      <c r="BW24" s="206"/>
      <c r="BX24" s="206"/>
      <c r="BY24" s="206"/>
      <c r="BZ24" s="206"/>
      <c r="CA24" s="206"/>
      <c r="CB24" s="206"/>
      <c r="CC24" s="206"/>
      <c r="CD24" s="206"/>
      <c r="CE24" s="206"/>
      <c r="CF24" s="206"/>
      <c r="CG24" s="206"/>
      <c r="CH24" s="206"/>
      <c r="CI24" s="206"/>
      <c r="CJ24" s="206"/>
      <c r="CK24" s="206"/>
      <c r="CL24" s="206"/>
      <c r="CM24" s="206"/>
      <c r="CN24" s="206"/>
      <c r="CO24" s="206"/>
      <c r="CP24" s="206"/>
      <c r="CQ24" s="206"/>
      <c r="CR24" s="206"/>
      <c r="CS24" s="206"/>
      <c r="CT24" s="206"/>
      <c r="CU24" s="206"/>
      <c r="CV24" s="206"/>
      <c r="CW24" s="206"/>
      <c r="CX24" s="206"/>
      <c r="CY24" s="206"/>
      <c r="CZ24" s="206"/>
      <c r="DA24" s="206"/>
      <c r="DB24" s="206"/>
      <c r="DC24" s="206"/>
      <c r="DD24" s="206"/>
      <c r="DE24" s="206"/>
      <c r="DF24" s="206"/>
      <c r="DG24" s="206"/>
      <c r="DH24" s="206"/>
      <c r="DI24" s="206"/>
      <c r="DJ24" s="206"/>
      <c r="DK24" s="206"/>
      <c r="DL24" s="206"/>
      <c r="DM24" s="206"/>
      <c r="DN24" s="206"/>
      <c r="DO24" s="206"/>
      <c r="DP24" s="206"/>
      <c r="DQ24" s="206"/>
      <c r="DR24" s="206"/>
      <c r="DS24" s="206"/>
      <c r="DT24" s="206"/>
      <c r="DU24" s="206"/>
      <c r="DV24" s="206"/>
      <c r="DW24" s="206"/>
      <c r="DX24" s="206"/>
      <c r="DY24" s="206"/>
      <c r="DZ24" s="206"/>
      <c r="EA24" s="206"/>
      <c r="EB24" s="206"/>
      <c r="EC24" s="206"/>
      <c r="ED24" s="206"/>
      <c r="EE24" s="206"/>
      <c r="EF24" s="206"/>
      <c r="EG24" s="206"/>
      <c r="EH24" s="206"/>
      <c r="EI24" s="206"/>
      <c r="EJ24" s="206"/>
      <c r="EK24" s="206"/>
      <c r="EL24" s="206"/>
      <c r="EM24" s="206"/>
      <c r="EN24" s="206"/>
      <c r="EO24" s="206"/>
      <c r="EP24" s="206"/>
      <c r="EQ24" s="206"/>
      <c r="ER24" s="206"/>
      <c r="ES24" s="206"/>
      <c r="ET24" s="206"/>
      <c r="EU24" s="206"/>
      <c r="EV24" s="206"/>
      <c r="EW24" s="206"/>
      <c r="EX24" s="206"/>
      <c r="EY24" s="206"/>
      <c r="EZ24" s="206"/>
      <c r="FA24" s="206"/>
      <c r="FB24" s="206"/>
      <c r="FC24" s="206"/>
      <c r="FD24" s="206"/>
      <c r="FE24" s="206"/>
      <c r="FF24" s="206"/>
      <c r="FG24" s="206"/>
      <c r="FH24" s="206"/>
      <c r="FI24" s="206"/>
      <c r="FJ24" s="206"/>
      <c r="FK24" s="206"/>
      <c r="FL24" s="206"/>
      <c r="FM24" s="206"/>
      <c r="FN24" s="206"/>
      <c r="FO24" s="206"/>
      <c r="FP24" s="206"/>
      <c r="FQ24" s="206"/>
      <c r="FR24" s="206"/>
      <c r="FS24" s="206"/>
      <c r="FT24" s="206"/>
      <c r="FU24" s="206"/>
      <c r="FV24" s="206"/>
      <c r="FW24" s="206"/>
      <c r="FX24" s="206"/>
      <c r="FY24" s="206"/>
      <c r="FZ24" s="206"/>
      <c r="GA24" s="206"/>
      <c r="GB24" s="206"/>
      <c r="GC24" s="206"/>
      <c r="GD24" s="206"/>
      <c r="GE24" s="206"/>
      <c r="GF24" s="206"/>
      <c r="GG24" s="206"/>
      <c r="GH24" s="206"/>
      <c r="GI24" s="206"/>
      <c r="GJ24" s="207"/>
    </row>
    <row r="25" spans="1:192" s="77" customFormat="1">
      <c r="A25" s="162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  <c r="BC25" s="164"/>
      <c r="BD25" s="164"/>
      <c r="BE25" s="164"/>
      <c r="BF25" s="164"/>
      <c r="BG25" s="164"/>
      <c r="BH25" s="164"/>
      <c r="BI25" s="164"/>
      <c r="BJ25" s="164"/>
      <c r="BK25" s="164"/>
      <c r="BL25" s="164"/>
      <c r="BM25" s="164"/>
      <c r="BN25" s="164"/>
      <c r="BO25" s="164"/>
      <c r="BP25" s="164"/>
      <c r="BQ25" s="164"/>
      <c r="BR25" s="164"/>
      <c r="BS25" s="164"/>
      <c r="BT25" s="164"/>
      <c r="BU25" s="164"/>
      <c r="BV25" s="164"/>
      <c r="BW25" s="164"/>
      <c r="BX25" s="164"/>
      <c r="BY25" s="164"/>
      <c r="BZ25" s="164"/>
      <c r="CA25" s="164"/>
      <c r="CB25" s="164"/>
      <c r="CC25" s="164"/>
      <c r="CD25" s="164"/>
      <c r="CE25" s="164"/>
      <c r="CF25" s="164"/>
      <c r="CG25" s="164"/>
      <c r="CH25" s="164"/>
      <c r="CI25" s="164"/>
      <c r="CJ25" s="164"/>
      <c r="CK25" s="164"/>
      <c r="CL25" s="164"/>
      <c r="CM25" s="164"/>
      <c r="CN25" s="164"/>
      <c r="CO25" s="164"/>
      <c r="CP25" s="164"/>
      <c r="CQ25" s="164"/>
      <c r="CR25" s="164"/>
      <c r="CS25" s="164"/>
      <c r="CT25" s="164"/>
      <c r="CU25" s="164"/>
      <c r="CV25" s="164"/>
      <c r="CW25" s="164"/>
      <c r="CX25" s="164"/>
      <c r="CY25" s="164"/>
      <c r="CZ25" s="164"/>
      <c r="DA25" s="164"/>
      <c r="DB25" s="164"/>
      <c r="DC25" s="164"/>
      <c r="DD25" s="164"/>
      <c r="DE25" s="164"/>
      <c r="DF25" s="164"/>
      <c r="DG25" s="164"/>
      <c r="DH25" s="164"/>
      <c r="DI25" s="164"/>
      <c r="DJ25" s="164"/>
      <c r="DK25" s="164"/>
      <c r="DL25" s="164"/>
      <c r="DM25" s="164"/>
      <c r="DN25" s="164"/>
      <c r="DO25" s="164"/>
      <c r="DP25" s="164"/>
      <c r="DQ25" s="164"/>
      <c r="DR25" s="164"/>
      <c r="DS25" s="164"/>
      <c r="DT25" s="164"/>
      <c r="DU25" s="164"/>
      <c r="DV25" s="164"/>
      <c r="DW25" s="164"/>
      <c r="DX25" s="164"/>
      <c r="DY25" s="164"/>
      <c r="DZ25" s="164"/>
      <c r="EA25" s="164"/>
      <c r="EB25" s="164"/>
      <c r="EC25" s="164"/>
      <c r="ED25" s="164"/>
      <c r="EE25" s="164"/>
      <c r="EF25" s="164"/>
      <c r="EG25" s="164"/>
      <c r="EH25" s="164"/>
      <c r="EI25" s="164"/>
      <c r="EJ25" s="164"/>
      <c r="EK25" s="164"/>
      <c r="EL25" s="164"/>
      <c r="EM25" s="164"/>
      <c r="EN25" s="164"/>
      <c r="EO25" s="164"/>
      <c r="EP25" s="164"/>
      <c r="EQ25" s="164"/>
      <c r="ER25" s="164"/>
      <c r="ES25" s="164"/>
      <c r="ET25" s="164"/>
      <c r="EU25" s="164"/>
      <c r="EV25" s="164"/>
      <c r="EW25" s="164"/>
      <c r="EX25" s="164"/>
      <c r="EY25" s="164"/>
      <c r="EZ25" s="164"/>
      <c r="FA25" s="164"/>
      <c r="FB25" s="164"/>
      <c r="FC25" s="164"/>
      <c r="FD25" s="164"/>
      <c r="FE25" s="164"/>
      <c r="FF25" s="164"/>
      <c r="FG25" s="164"/>
      <c r="FH25" s="164"/>
      <c r="FI25" s="164"/>
      <c r="FJ25" s="164"/>
      <c r="FK25" s="164"/>
      <c r="FL25" s="164"/>
      <c r="FM25" s="164"/>
      <c r="FN25" s="164"/>
      <c r="FO25" s="164"/>
      <c r="FP25" s="164"/>
      <c r="FQ25" s="164"/>
      <c r="FR25" s="164"/>
      <c r="FS25" s="164"/>
      <c r="FT25" s="164"/>
      <c r="FU25" s="164"/>
      <c r="FV25" s="164"/>
      <c r="FW25" s="164"/>
      <c r="FX25" s="164"/>
      <c r="FY25" s="164"/>
      <c r="FZ25" s="164"/>
      <c r="GA25" s="164"/>
      <c r="GB25" s="164"/>
      <c r="GC25" s="164"/>
      <c r="GD25" s="164"/>
      <c r="GE25" s="164"/>
      <c r="GF25" s="164"/>
      <c r="GG25" s="164"/>
      <c r="GH25" s="164"/>
      <c r="GI25" s="164"/>
      <c r="GJ25" s="162"/>
    </row>
    <row r="26" spans="1:192" s="77" customFormat="1">
      <c r="A26" s="162"/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4"/>
      <c r="AY26" s="164"/>
      <c r="AZ26" s="164"/>
      <c r="BA26" s="164"/>
      <c r="BB26" s="164"/>
      <c r="BC26" s="164"/>
      <c r="BD26" s="164"/>
      <c r="BE26" s="164"/>
      <c r="BF26" s="164"/>
      <c r="BG26" s="164"/>
      <c r="BH26" s="164"/>
      <c r="BI26" s="164"/>
      <c r="BJ26" s="164"/>
      <c r="BK26" s="164"/>
      <c r="BL26" s="164"/>
      <c r="BM26" s="164"/>
      <c r="BN26" s="164"/>
      <c r="BO26" s="164"/>
      <c r="BP26" s="164"/>
      <c r="BQ26" s="164"/>
      <c r="BR26" s="164"/>
      <c r="BS26" s="164"/>
      <c r="BT26" s="164"/>
      <c r="BU26" s="164"/>
      <c r="BV26" s="164"/>
      <c r="BW26" s="164"/>
      <c r="BX26" s="164"/>
      <c r="BY26" s="164"/>
      <c r="BZ26" s="164"/>
      <c r="CA26" s="164"/>
      <c r="CB26" s="164"/>
      <c r="CC26" s="164"/>
      <c r="CD26" s="164"/>
      <c r="CE26" s="164"/>
      <c r="CF26" s="164"/>
      <c r="CG26" s="164"/>
      <c r="CH26" s="164"/>
      <c r="CI26" s="164"/>
      <c r="CJ26" s="164"/>
      <c r="CK26" s="164"/>
      <c r="CL26" s="164"/>
      <c r="CM26" s="164"/>
      <c r="CN26" s="164"/>
      <c r="CO26" s="164"/>
      <c r="CP26" s="164"/>
      <c r="CQ26" s="164"/>
      <c r="CR26" s="164"/>
      <c r="CS26" s="164"/>
      <c r="CT26" s="164"/>
      <c r="CU26" s="164"/>
      <c r="CV26" s="164"/>
      <c r="CW26" s="164"/>
      <c r="CX26" s="164"/>
      <c r="CY26" s="164"/>
      <c r="CZ26" s="164"/>
      <c r="DA26" s="164"/>
      <c r="DB26" s="164"/>
      <c r="DC26" s="164"/>
      <c r="DD26" s="164"/>
      <c r="DE26" s="164"/>
      <c r="DF26" s="164"/>
      <c r="DG26" s="164"/>
      <c r="DH26" s="164"/>
      <c r="DI26" s="164"/>
      <c r="DJ26" s="164"/>
      <c r="DK26" s="164"/>
      <c r="DL26" s="164"/>
      <c r="DM26" s="164"/>
      <c r="DN26" s="164"/>
      <c r="DO26" s="164"/>
      <c r="DP26" s="164"/>
      <c r="DQ26" s="164"/>
      <c r="DR26" s="164"/>
      <c r="DS26" s="164"/>
      <c r="DT26" s="164"/>
      <c r="DU26" s="164"/>
      <c r="DV26" s="164"/>
      <c r="DW26" s="164"/>
      <c r="DX26" s="164"/>
      <c r="DY26" s="164"/>
      <c r="DZ26" s="164"/>
      <c r="EA26" s="164"/>
      <c r="EB26" s="164"/>
      <c r="EC26" s="164"/>
      <c r="ED26" s="164"/>
      <c r="EE26" s="164"/>
      <c r="EF26" s="164"/>
      <c r="EG26" s="164"/>
      <c r="EH26" s="164"/>
      <c r="EI26" s="164"/>
      <c r="EJ26" s="164"/>
      <c r="EK26" s="164"/>
      <c r="EL26" s="164"/>
      <c r="EM26" s="164"/>
      <c r="EN26" s="164"/>
      <c r="EO26" s="164"/>
      <c r="EP26" s="164"/>
      <c r="EQ26" s="164"/>
      <c r="ER26" s="164"/>
      <c r="ES26" s="164"/>
      <c r="ET26" s="164"/>
      <c r="EU26" s="164"/>
      <c r="EV26" s="164"/>
      <c r="EW26" s="164"/>
      <c r="EX26" s="164"/>
      <c r="EY26" s="164"/>
      <c r="EZ26" s="164"/>
      <c r="FA26" s="164"/>
      <c r="FB26" s="164"/>
      <c r="FC26" s="164"/>
      <c r="FD26" s="164"/>
      <c r="FE26" s="164"/>
      <c r="FF26" s="164"/>
      <c r="FG26" s="164"/>
      <c r="FH26" s="164"/>
      <c r="FI26" s="164"/>
      <c r="FJ26" s="164"/>
      <c r="FK26" s="164"/>
      <c r="FL26" s="164"/>
      <c r="FM26" s="164"/>
      <c r="FN26" s="164"/>
      <c r="FO26" s="164"/>
      <c r="FP26" s="164"/>
      <c r="FQ26" s="164"/>
      <c r="FR26" s="164"/>
      <c r="FS26" s="164"/>
      <c r="FT26" s="164"/>
      <c r="FU26" s="164"/>
      <c r="FV26" s="164"/>
      <c r="FW26" s="164"/>
      <c r="FX26" s="164"/>
      <c r="FY26" s="164"/>
      <c r="FZ26" s="164"/>
      <c r="GA26" s="164"/>
      <c r="GB26" s="164"/>
      <c r="GC26" s="164"/>
      <c r="GD26" s="164"/>
      <c r="GE26" s="164"/>
      <c r="GF26" s="164"/>
      <c r="GG26" s="164"/>
      <c r="GH26" s="164"/>
      <c r="GI26" s="164"/>
      <c r="GJ26" s="162"/>
    </row>
    <row r="27" spans="1:192" s="166" customFormat="1">
      <c r="A27" s="162"/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AJ27" s="166">
        <v>2000</v>
      </c>
      <c r="AV27" s="166">
        <v>2001</v>
      </c>
      <c r="BH27" s="166">
        <v>2002</v>
      </c>
      <c r="BT27" s="166">
        <v>2003</v>
      </c>
      <c r="CF27" s="166">
        <v>2004</v>
      </c>
      <c r="CR27" s="166">
        <v>2005</v>
      </c>
      <c r="DD27" s="166">
        <v>2006</v>
      </c>
      <c r="DP27" s="166">
        <v>2007</v>
      </c>
      <c r="EB27" s="166">
        <v>2008</v>
      </c>
      <c r="EN27" s="166">
        <v>2009</v>
      </c>
      <c r="EZ27" s="166">
        <v>2010</v>
      </c>
      <c r="FL27" s="166">
        <v>2011</v>
      </c>
      <c r="FX27" s="166">
        <v>2012</v>
      </c>
    </row>
    <row r="28" spans="1:192" s="166" customFormat="1">
      <c r="A28" s="162"/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</row>
    <row r="29" spans="1:192" s="166" customFormat="1">
      <c r="A29" s="162"/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</row>
    <row r="30" spans="1:192">
      <c r="AJ30" s="165" t="s">
        <v>202</v>
      </c>
      <c r="AK30" s="165" t="s">
        <v>203</v>
      </c>
      <c r="AL30" s="165" t="s">
        <v>204</v>
      </c>
      <c r="AM30" s="165" t="s">
        <v>205</v>
      </c>
      <c r="AN30" s="165" t="s">
        <v>206</v>
      </c>
      <c r="AO30" s="165" t="s">
        <v>207</v>
      </c>
      <c r="AP30" s="165" t="s">
        <v>208</v>
      </c>
      <c r="AQ30" s="165" t="s">
        <v>209</v>
      </c>
      <c r="AR30" s="165" t="s">
        <v>210</v>
      </c>
      <c r="AS30" s="165" t="s">
        <v>211</v>
      </c>
      <c r="AT30" s="165" t="s">
        <v>212</v>
      </c>
      <c r="AU30" s="165" t="s">
        <v>213</v>
      </c>
      <c r="AV30" s="165" t="s">
        <v>202</v>
      </c>
      <c r="AW30" s="165" t="s">
        <v>203</v>
      </c>
      <c r="AX30" s="165" t="s">
        <v>204</v>
      </c>
      <c r="AY30" s="165" t="s">
        <v>205</v>
      </c>
      <c r="AZ30" s="165" t="s">
        <v>206</v>
      </c>
      <c r="BA30" s="165" t="s">
        <v>207</v>
      </c>
      <c r="BB30" s="165" t="s">
        <v>208</v>
      </c>
      <c r="BC30" s="165" t="s">
        <v>209</v>
      </c>
      <c r="BD30" s="165" t="s">
        <v>210</v>
      </c>
      <c r="BE30" s="165" t="s">
        <v>211</v>
      </c>
      <c r="BF30" s="165" t="s">
        <v>212</v>
      </c>
      <c r="BG30" s="165" t="s">
        <v>213</v>
      </c>
      <c r="BH30" s="165" t="s">
        <v>202</v>
      </c>
      <c r="BI30" s="165" t="s">
        <v>203</v>
      </c>
      <c r="BJ30" s="165" t="s">
        <v>204</v>
      </c>
      <c r="BK30" s="165" t="s">
        <v>205</v>
      </c>
      <c r="BL30" s="165" t="s">
        <v>206</v>
      </c>
      <c r="BM30" s="165" t="s">
        <v>207</v>
      </c>
      <c r="BN30" s="165" t="s">
        <v>208</v>
      </c>
      <c r="BO30" s="165" t="s">
        <v>209</v>
      </c>
      <c r="BP30" s="165" t="s">
        <v>210</v>
      </c>
      <c r="BQ30" s="165" t="s">
        <v>211</v>
      </c>
      <c r="BR30" s="165" t="s">
        <v>212</v>
      </c>
      <c r="BS30" s="165" t="s">
        <v>213</v>
      </c>
      <c r="BT30" s="165" t="s">
        <v>202</v>
      </c>
      <c r="BU30" s="165" t="s">
        <v>203</v>
      </c>
      <c r="BV30" s="165" t="s">
        <v>204</v>
      </c>
      <c r="BW30" s="165" t="s">
        <v>205</v>
      </c>
      <c r="BX30" s="165" t="s">
        <v>206</v>
      </c>
      <c r="BY30" s="165" t="s">
        <v>207</v>
      </c>
      <c r="BZ30" s="165" t="s">
        <v>208</v>
      </c>
      <c r="CA30" s="165" t="s">
        <v>209</v>
      </c>
      <c r="CB30" s="165" t="s">
        <v>210</v>
      </c>
      <c r="CC30" s="165" t="s">
        <v>211</v>
      </c>
      <c r="CD30" s="165" t="s">
        <v>212</v>
      </c>
      <c r="CE30" s="165" t="s">
        <v>213</v>
      </c>
      <c r="CF30" s="165" t="s">
        <v>202</v>
      </c>
      <c r="CG30" s="165" t="s">
        <v>203</v>
      </c>
      <c r="CH30" s="165" t="s">
        <v>204</v>
      </c>
      <c r="CI30" s="165" t="s">
        <v>205</v>
      </c>
      <c r="CJ30" s="165" t="s">
        <v>206</v>
      </c>
      <c r="CK30" s="165" t="s">
        <v>207</v>
      </c>
      <c r="CL30" s="165" t="s">
        <v>208</v>
      </c>
      <c r="CM30" s="165" t="s">
        <v>209</v>
      </c>
      <c r="CN30" s="165" t="s">
        <v>210</v>
      </c>
      <c r="CO30" s="165" t="s">
        <v>211</v>
      </c>
      <c r="CP30" s="165" t="s">
        <v>212</v>
      </c>
      <c r="CQ30" s="165" t="s">
        <v>213</v>
      </c>
      <c r="CR30" s="165" t="s">
        <v>202</v>
      </c>
      <c r="CS30" s="165" t="s">
        <v>203</v>
      </c>
      <c r="CT30" s="165" t="s">
        <v>204</v>
      </c>
      <c r="CU30" s="165" t="s">
        <v>205</v>
      </c>
      <c r="CV30" s="165" t="s">
        <v>206</v>
      </c>
      <c r="CW30" s="165" t="s">
        <v>207</v>
      </c>
      <c r="CX30" s="165" t="s">
        <v>208</v>
      </c>
      <c r="CY30" s="165" t="s">
        <v>209</v>
      </c>
      <c r="CZ30" s="165" t="s">
        <v>210</v>
      </c>
      <c r="DA30" s="165" t="s">
        <v>211</v>
      </c>
      <c r="DB30" s="165" t="s">
        <v>212</v>
      </c>
      <c r="DC30" s="165" t="s">
        <v>213</v>
      </c>
      <c r="DD30" s="165" t="s">
        <v>202</v>
      </c>
      <c r="DE30" s="165" t="s">
        <v>203</v>
      </c>
      <c r="DF30" s="165" t="s">
        <v>204</v>
      </c>
      <c r="DG30" s="165" t="s">
        <v>205</v>
      </c>
      <c r="DH30" s="165" t="s">
        <v>206</v>
      </c>
      <c r="DI30" s="165" t="s">
        <v>207</v>
      </c>
      <c r="DJ30" s="165" t="s">
        <v>208</v>
      </c>
      <c r="DK30" s="165" t="s">
        <v>209</v>
      </c>
      <c r="DL30" s="165" t="s">
        <v>210</v>
      </c>
      <c r="DM30" s="165" t="s">
        <v>211</v>
      </c>
      <c r="DN30" s="165" t="s">
        <v>212</v>
      </c>
      <c r="DO30" s="165" t="s">
        <v>213</v>
      </c>
      <c r="DP30" s="165" t="s">
        <v>202</v>
      </c>
      <c r="DQ30" s="165" t="s">
        <v>203</v>
      </c>
      <c r="DR30" s="165" t="s">
        <v>204</v>
      </c>
      <c r="DS30" s="165" t="s">
        <v>205</v>
      </c>
      <c r="DT30" s="165" t="s">
        <v>206</v>
      </c>
      <c r="DU30" s="165" t="s">
        <v>207</v>
      </c>
      <c r="DV30" s="165" t="s">
        <v>208</v>
      </c>
      <c r="DW30" s="165" t="s">
        <v>209</v>
      </c>
      <c r="DX30" s="165" t="s">
        <v>214</v>
      </c>
      <c r="DY30" s="165" t="s">
        <v>215</v>
      </c>
      <c r="DZ30" s="165" t="s">
        <v>216</v>
      </c>
      <c r="EA30" s="165" t="s">
        <v>217</v>
      </c>
      <c r="EB30" s="165" t="s">
        <v>202</v>
      </c>
      <c r="EC30" s="165" t="s">
        <v>203</v>
      </c>
      <c r="ED30" s="165" t="s">
        <v>204</v>
      </c>
      <c r="EE30" s="165" t="s">
        <v>205</v>
      </c>
      <c r="EF30" s="165" t="s">
        <v>206</v>
      </c>
      <c r="EG30" s="165" t="s">
        <v>207</v>
      </c>
      <c r="EH30" s="165" t="s">
        <v>208</v>
      </c>
      <c r="EI30" s="165" t="s">
        <v>209</v>
      </c>
      <c r="EJ30" s="165" t="s">
        <v>214</v>
      </c>
      <c r="EK30" s="165" t="s">
        <v>215</v>
      </c>
      <c r="EL30" s="165" t="s">
        <v>216</v>
      </c>
      <c r="EM30" s="165" t="s">
        <v>217</v>
      </c>
      <c r="EN30" s="165" t="s">
        <v>202</v>
      </c>
      <c r="EO30" s="165" t="s">
        <v>203</v>
      </c>
      <c r="EP30" s="165" t="s">
        <v>204</v>
      </c>
      <c r="EQ30" s="165" t="s">
        <v>205</v>
      </c>
      <c r="ER30" s="165" t="s">
        <v>206</v>
      </c>
      <c r="ES30" s="165" t="s">
        <v>207</v>
      </c>
      <c r="ET30" s="165" t="s">
        <v>208</v>
      </c>
      <c r="EU30" s="165" t="s">
        <v>209</v>
      </c>
      <c r="EV30" s="165" t="s">
        <v>214</v>
      </c>
      <c r="EW30" s="165" t="s">
        <v>215</v>
      </c>
      <c r="EX30" s="165" t="s">
        <v>216</v>
      </c>
      <c r="EY30" s="165" t="s">
        <v>217</v>
      </c>
      <c r="EZ30" s="165" t="s">
        <v>202</v>
      </c>
      <c r="FA30" s="165" t="s">
        <v>203</v>
      </c>
      <c r="FB30" s="165" t="s">
        <v>204</v>
      </c>
      <c r="FC30" s="165" t="s">
        <v>205</v>
      </c>
      <c r="FD30" s="165" t="s">
        <v>206</v>
      </c>
      <c r="FE30" s="165" t="s">
        <v>207</v>
      </c>
      <c r="FF30" s="165" t="s">
        <v>208</v>
      </c>
      <c r="FG30" s="165" t="s">
        <v>209</v>
      </c>
      <c r="FH30" s="165" t="s">
        <v>214</v>
      </c>
      <c r="FI30" s="165" t="s">
        <v>215</v>
      </c>
      <c r="FJ30" s="165" t="s">
        <v>216</v>
      </c>
      <c r="FK30" s="165" t="s">
        <v>217</v>
      </c>
      <c r="FL30" s="165" t="s">
        <v>202</v>
      </c>
      <c r="FM30" s="165" t="s">
        <v>203</v>
      </c>
      <c r="FN30" s="165" t="s">
        <v>204</v>
      </c>
      <c r="FO30" s="165" t="s">
        <v>205</v>
      </c>
      <c r="FP30" s="165" t="s">
        <v>206</v>
      </c>
      <c r="FQ30" s="165" t="s">
        <v>207</v>
      </c>
      <c r="FR30" s="165" t="s">
        <v>208</v>
      </c>
      <c r="FS30" s="165" t="s">
        <v>209</v>
      </c>
      <c r="FT30" s="165" t="s">
        <v>214</v>
      </c>
      <c r="FU30" s="165" t="s">
        <v>215</v>
      </c>
      <c r="FV30" s="165" t="s">
        <v>216</v>
      </c>
      <c r="FW30" s="165" t="s">
        <v>217</v>
      </c>
      <c r="FX30" s="165" t="s">
        <v>202</v>
      </c>
      <c r="FY30" s="165" t="s">
        <v>203</v>
      </c>
      <c r="FZ30" s="165" t="s">
        <v>204</v>
      </c>
      <c r="GA30" s="165" t="s">
        <v>205</v>
      </c>
      <c r="GB30" s="165" t="s">
        <v>206</v>
      </c>
      <c r="GC30" s="165" t="s">
        <v>207</v>
      </c>
      <c r="GD30" s="165" t="s">
        <v>208</v>
      </c>
      <c r="GE30" s="165" t="s">
        <v>209</v>
      </c>
      <c r="GF30" s="165" t="s">
        <v>214</v>
      </c>
      <c r="GG30" s="165" t="s">
        <v>215</v>
      </c>
      <c r="GH30" s="165" t="s">
        <v>216</v>
      </c>
      <c r="GI30" s="165" t="s">
        <v>217</v>
      </c>
    </row>
    <row r="31" spans="1:192"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  <c r="AT31" s="165"/>
      <c r="AU31" s="165"/>
      <c r="AV31" s="165"/>
      <c r="AW31" s="165"/>
      <c r="AX31" s="165"/>
      <c r="AY31" s="165"/>
      <c r="AZ31" s="165"/>
      <c r="BA31" s="165"/>
      <c r="BB31" s="165"/>
      <c r="BC31" s="165"/>
      <c r="BD31" s="165"/>
      <c r="BE31" s="165"/>
      <c r="BF31" s="165"/>
      <c r="BG31" s="165"/>
      <c r="BH31" s="165"/>
      <c r="BI31" s="165"/>
      <c r="BJ31" s="165"/>
      <c r="BK31" s="165"/>
      <c r="BL31" s="165"/>
      <c r="BM31" s="165"/>
      <c r="BN31" s="165"/>
      <c r="BO31" s="165"/>
      <c r="BP31" s="165"/>
      <c r="BQ31" s="165"/>
      <c r="BR31" s="165"/>
      <c r="BS31" s="165"/>
      <c r="BT31" s="165"/>
      <c r="BU31" s="165"/>
      <c r="BV31" s="165"/>
      <c r="BW31" s="165"/>
      <c r="BX31" s="165"/>
      <c r="BY31" s="165"/>
      <c r="BZ31" s="165"/>
      <c r="CA31" s="165"/>
      <c r="CB31" s="165"/>
      <c r="CC31" s="165"/>
      <c r="CD31" s="165"/>
      <c r="CE31" s="165"/>
      <c r="CF31" s="165"/>
      <c r="CG31" s="165"/>
      <c r="CH31" s="165"/>
      <c r="CI31" s="165"/>
      <c r="CJ31" s="165"/>
      <c r="CK31" s="165"/>
      <c r="CL31" s="165"/>
      <c r="CM31" s="165"/>
      <c r="CN31" s="165"/>
      <c r="CO31" s="165"/>
      <c r="CP31" s="165"/>
      <c r="CQ31" s="165"/>
      <c r="CR31" s="165"/>
      <c r="CS31" s="165"/>
      <c r="CT31" s="165"/>
      <c r="CU31" s="165"/>
      <c r="CV31" s="165"/>
      <c r="CW31" s="165"/>
      <c r="CX31" s="165"/>
      <c r="CY31" s="165"/>
      <c r="CZ31" s="165"/>
      <c r="DA31" s="165"/>
      <c r="DB31" s="165"/>
      <c r="DC31" s="165"/>
      <c r="DD31" s="165"/>
      <c r="DE31" s="165"/>
      <c r="DF31" s="165"/>
      <c r="DG31" s="165"/>
      <c r="DH31" s="165"/>
      <c r="DI31" s="165"/>
      <c r="DJ31" s="165"/>
      <c r="DK31" s="165"/>
      <c r="DL31" s="165"/>
      <c r="DM31" s="165"/>
      <c r="DN31" s="165"/>
      <c r="DO31" s="165"/>
      <c r="DP31" s="165"/>
      <c r="DQ31" s="165"/>
      <c r="DR31" s="165"/>
      <c r="DS31" s="165"/>
      <c r="DT31" s="165"/>
      <c r="DU31" s="165"/>
      <c r="DV31" s="165"/>
      <c r="DW31" s="165"/>
      <c r="DX31" s="165"/>
      <c r="DY31" s="165"/>
      <c r="DZ31" s="165"/>
      <c r="EA31" s="165"/>
      <c r="EB31" s="165"/>
      <c r="EC31" s="165"/>
      <c r="ED31" s="165"/>
      <c r="EE31" s="165"/>
      <c r="EF31" s="165"/>
      <c r="EG31" s="165"/>
      <c r="EH31" s="165"/>
      <c r="EI31" s="165"/>
      <c r="EJ31" s="165"/>
      <c r="EK31" s="165"/>
      <c r="EL31" s="165"/>
      <c r="EM31" s="165"/>
      <c r="EN31" s="165"/>
      <c r="EO31" s="165"/>
      <c r="EP31" s="165"/>
      <c r="EQ31" s="165"/>
      <c r="ER31" s="165"/>
      <c r="ES31" s="165"/>
      <c r="ET31" s="165"/>
      <c r="EU31" s="165"/>
      <c r="EV31" s="165"/>
      <c r="EW31" s="165"/>
      <c r="EX31" s="165"/>
      <c r="EY31" s="165"/>
      <c r="EZ31" s="165"/>
      <c r="FA31" s="165"/>
      <c r="FB31" s="165"/>
      <c r="FC31" s="165"/>
      <c r="FD31" s="165"/>
      <c r="FE31" s="165"/>
      <c r="FF31" s="165"/>
      <c r="FG31" s="165"/>
      <c r="FH31" s="165"/>
      <c r="FI31" s="165"/>
      <c r="FJ31" s="165"/>
      <c r="FK31" s="165"/>
      <c r="FL31" s="165"/>
      <c r="FM31" s="165"/>
      <c r="FN31" s="165"/>
      <c r="FO31" s="165"/>
      <c r="FP31" s="165"/>
      <c r="FQ31" s="165"/>
      <c r="FR31" s="165"/>
      <c r="FS31" s="165"/>
      <c r="FT31" s="165"/>
      <c r="FU31" s="165"/>
      <c r="FV31" s="165"/>
      <c r="FW31" s="165"/>
      <c r="FX31" s="165"/>
      <c r="FY31" s="165"/>
      <c r="FZ31" s="165"/>
      <c r="GA31" s="165"/>
      <c r="GB31" s="165"/>
      <c r="GC31" s="165"/>
      <c r="GD31" s="165"/>
      <c r="GE31" s="165"/>
      <c r="GF31" s="165"/>
      <c r="GG31" s="165"/>
      <c r="GH31" s="165"/>
      <c r="GI31" s="165"/>
    </row>
    <row r="32" spans="1:192"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165"/>
      <c r="AY32" s="165"/>
      <c r="AZ32" s="165"/>
      <c r="BA32" s="165"/>
      <c r="BB32" s="165"/>
      <c r="BC32" s="165"/>
      <c r="BD32" s="165"/>
      <c r="BE32" s="165"/>
      <c r="BF32" s="165"/>
      <c r="BG32" s="165"/>
      <c r="BH32" s="165"/>
      <c r="BI32" s="165"/>
      <c r="BJ32" s="165"/>
      <c r="BK32" s="165"/>
      <c r="BL32" s="165"/>
      <c r="BM32" s="165"/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  <c r="BX32" s="165"/>
      <c r="BY32" s="165"/>
      <c r="BZ32" s="165"/>
      <c r="CA32" s="165"/>
      <c r="CB32" s="165"/>
      <c r="CC32" s="165"/>
      <c r="CD32" s="165"/>
      <c r="CE32" s="165"/>
      <c r="CF32" s="165"/>
      <c r="CG32" s="165"/>
      <c r="CH32" s="165"/>
      <c r="CI32" s="165"/>
      <c r="CJ32" s="165"/>
      <c r="CK32" s="165"/>
      <c r="CL32" s="165"/>
      <c r="CM32" s="165"/>
      <c r="CN32" s="165"/>
      <c r="CO32" s="165"/>
      <c r="CP32" s="165"/>
      <c r="CQ32" s="165"/>
      <c r="CR32" s="165"/>
      <c r="CS32" s="165"/>
      <c r="CT32" s="165"/>
      <c r="CU32" s="165"/>
      <c r="CV32" s="165"/>
      <c r="CW32" s="165"/>
      <c r="CX32" s="165"/>
      <c r="CY32" s="165"/>
      <c r="CZ32" s="165"/>
      <c r="DA32" s="165"/>
      <c r="DB32" s="165"/>
      <c r="DC32" s="165"/>
      <c r="DD32" s="165"/>
      <c r="DE32" s="165"/>
      <c r="DF32" s="165"/>
      <c r="DG32" s="165"/>
      <c r="DH32" s="165"/>
      <c r="DI32" s="165"/>
      <c r="DJ32" s="165"/>
      <c r="DK32" s="165"/>
      <c r="DL32" s="165"/>
      <c r="DM32" s="165"/>
      <c r="DN32" s="165"/>
      <c r="DO32" s="165"/>
      <c r="DP32" s="165"/>
      <c r="DQ32" s="165"/>
      <c r="DR32" s="165"/>
      <c r="DS32" s="165"/>
      <c r="DT32" s="165"/>
      <c r="DU32" s="165"/>
      <c r="DV32" s="165"/>
      <c r="DW32" s="165"/>
      <c r="DX32" s="165"/>
      <c r="DY32" s="165"/>
      <c r="DZ32" s="165"/>
      <c r="EA32" s="165"/>
      <c r="EB32" s="165"/>
      <c r="EC32" s="165"/>
      <c r="ED32" s="165"/>
      <c r="EE32" s="165"/>
      <c r="EF32" s="165"/>
      <c r="EG32" s="165"/>
      <c r="EH32" s="165"/>
      <c r="EI32" s="165"/>
      <c r="EJ32" s="165"/>
      <c r="EK32" s="165"/>
      <c r="EL32" s="165"/>
      <c r="EM32" s="165"/>
      <c r="EN32" s="165"/>
      <c r="EO32" s="165"/>
      <c r="EP32" s="165"/>
      <c r="EQ32" s="165"/>
      <c r="ER32" s="165"/>
      <c r="ES32" s="165"/>
      <c r="ET32" s="165"/>
      <c r="EU32" s="165"/>
      <c r="EV32" s="165"/>
      <c r="EW32" s="165"/>
      <c r="EX32" s="165"/>
      <c r="EY32" s="165"/>
      <c r="EZ32" s="165"/>
      <c r="FA32" s="165"/>
      <c r="FB32" s="165"/>
      <c r="FC32" s="165"/>
      <c r="FD32" s="165"/>
      <c r="FE32" s="165"/>
      <c r="FF32" s="165"/>
      <c r="FG32" s="165"/>
      <c r="FH32" s="165"/>
      <c r="FI32" s="165"/>
      <c r="FJ32" s="165"/>
      <c r="FK32" s="165"/>
      <c r="FL32" s="165"/>
      <c r="FM32" s="165"/>
      <c r="FN32" s="165"/>
      <c r="FO32" s="165"/>
      <c r="FP32" s="165"/>
      <c r="FQ32" s="165"/>
      <c r="FR32" s="165"/>
      <c r="FS32" s="165"/>
      <c r="FT32" s="165"/>
      <c r="FU32" s="165"/>
      <c r="FV32" s="165"/>
      <c r="FW32" s="165"/>
      <c r="FX32" s="165"/>
      <c r="FY32" s="165"/>
      <c r="FZ32" s="165"/>
      <c r="GA32" s="165"/>
      <c r="GB32" s="165"/>
      <c r="GC32" s="165"/>
      <c r="GD32" s="165"/>
      <c r="GE32" s="165"/>
      <c r="GF32" s="165"/>
      <c r="GG32" s="165"/>
      <c r="GH32" s="165"/>
      <c r="GI32" s="165"/>
    </row>
    <row r="33" spans="1:192" s="167" customFormat="1" ht="15">
      <c r="A33" s="162"/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</row>
    <row r="34" spans="1:192">
      <c r="AJ34" s="165"/>
      <c r="AK34" s="165"/>
      <c r="AL34" s="165"/>
      <c r="AM34" s="165"/>
      <c r="AN34" s="165"/>
      <c r="AO34" s="165"/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5"/>
      <c r="BB34" s="165"/>
      <c r="BC34" s="165"/>
      <c r="BD34" s="165"/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5"/>
      <c r="BQ34" s="165"/>
      <c r="BR34" s="165"/>
      <c r="BS34" s="165"/>
      <c r="BT34" s="165"/>
      <c r="BU34" s="165"/>
      <c r="BV34" s="165"/>
      <c r="BW34" s="165"/>
      <c r="BX34" s="165"/>
      <c r="BY34" s="165"/>
      <c r="BZ34" s="165"/>
      <c r="CA34" s="165"/>
      <c r="CB34" s="165"/>
      <c r="CC34" s="165"/>
      <c r="CD34" s="165"/>
      <c r="CE34" s="165"/>
      <c r="CF34" s="165"/>
      <c r="CG34" s="165"/>
      <c r="CH34" s="165"/>
      <c r="CI34" s="165"/>
      <c r="CJ34" s="165"/>
      <c r="CK34" s="165"/>
      <c r="CL34" s="165"/>
      <c r="CM34" s="165"/>
      <c r="CN34" s="165"/>
      <c r="CO34" s="165"/>
      <c r="CP34" s="165"/>
      <c r="CQ34" s="165"/>
      <c r="CR34" s="165"/>
      <c r="CS34" s="165"/>
      <c r="CT34" s="165"/>
      <c r="CU34" s="165"/>
      <c r="CV34" s="165"/>
      <c r="CW34" s="165"/>
      <c r="CX34" s="165"/>
      <c r="CY34" s="165"/>
      <c r="CZ34" s="165"/>
      <c r="DA34" s="165"/>
      <c r="DB34" s="165"/>
      <c r="DC34" s="165"/>
      <c r="DD34" s="165"/>
      <c r="DE34" s="165"/>
      <c r="DF34" s="165"/>
      <c r="DG34" s="165"/>
      <c r="DH34" s="165"/>
      <c r="DI34" s="165"/>
      <c r="DJ34" s="165"/>
      <c r="DK34" s="165"/>
      <c r="DL34" s="165"/>
      <c r="DM34" s="165"/>
      <c r="DN34" s="165"/>
      <c r="DO34" s="165"/>
      <c r="DP34" s="165"/>
      <c r="DQ34" s="165"/>
      <c r="DR34" s="165"/>
      <c r="DS34" s="165"/>
      <c r="DT34" s="165"/>
      <c r="DU34" s="165"/>
      <c r="DV34" s="165"/>
      <c r="DW34" s="165"/>
      <c r="DX34" s="165"/>
      <c r="DY34" s="165"/>
      <c r="DZ34" s="165"/>
      <c r="EA34" s="165"/>
      <c r="EB34" s="165"/>
      <c r="EC34" s="165"/>
      <c r="ED34" s="165"/>
      <c r="EE34" s="165"/>
      <c r="EF34" s="165"/>
      <c r="EG34" s="165"/>
      <c r="EH34" s="165"/>
      <c r="EI34" s="165"/>
      <c r="EJ34" s="165"/>
      <c r="EK34" s="165"/>
      <c r="EL34" s="165"/>
      <c r="EM34" s="165"/>
      <c r="EN34" s="165"/>
      <c r="EO34" s="165"/>
      <c r="EP34" s="165"/>
      <c r="EQ34" s="165"/>
      <c r="ER34" s="165"/>
      <c r="ES34" s="165"/>
      <c r="ET34" s="165"/>
      <c r="EU34" s="165"/>
      <c r="EV34" s="165"/>
      <c r="EW34" s="165"/>
      <c r="EX34" s="165"/>
      <c r="EY34" s="165"/>
      <c r="EZ34" s="165"/>
      <c r="FA34" s="165"/>
      <c r="FB34" s="165"/>
      <c r="FC34" s="165"/>
      <c r="FD34" s="165"/>
      <c r="FE34" s="165"/>
      <c r="FF34" s="165"/>
      <c r="FG34" s="165"/>
      <c r="FH34" s="165"/>
      <c r="FI34" s="165"/>
      <c r="FJ34" s="165"/>
      <c r="FK34" s="165"/>
      <c r="FL34" s="165"/>
      <c r="FM34" s="165"/>
      <c r="FN34" s="165"/>
      <c r="FO34" s="165"/>
      <c r="FP34" s="165"/>
      <c r="FQ34" s="165"/>
      <c r="FR34" s="165"/>
      <c r="FS34" s="165"/>
      <c r="FT34" s="165"/>
      <c r="FU34" s="165"/>
      <c r="FV34" s="165"/>
      <c r="FW34" s="165"/>
      <c r="FX34" s="165"/>
      <c r="FY34" s="165"/>
      <c r="FZ34" s="165"/>
      <c r="GA34" s="165"/>
      <c r="GB34" s="165"/>
      <c r="GC34" s="165"/>
      <c r="GD34" s="165"/>
      <c r="GE34" s="165"/>
      <c r="GF34" s="165"/>
      <c r="GG34" s="165"/>
      <c r="GH34" s="165"/>
      <c r="GI34" s="165"/>
    </row>
    <row r="35" spans="1:192" s="77" customFormat="1">
      <c r="A35" s="169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70"/>
      <c r="AJ35" s="164">
        <v>99.652087653210046</v>
      </c>
      <c r="AK35" s="164">
        <v>100.02718817918029</v>
      </c>
      <c r="AL35" s="164">
        <v>100.17795616709957</v>
      </c>
      <c r="AM35" s="164">
        <v>100.84199628038508</v>
      </c>
      <c r="AN35" s="164">
        <v>101.20881738240162</v>
      </c>
      <c r="AO35" s="164">
        <v>101.32507735150422</v>
      </c>
      <c r="AP35" s="164">
        <v>101.91369949579865</v>
      </c>
      <c r="AQ35" s="164">
        <v>101.79919160289018</v>
      </c>
      <c r="AR35" s="164">
        <v>102.80556413322637</v>
      </c>
      <c r="AS35" s="164">
        <v>103.37041100350133</v>
      </c>
      <c r="AT35" s="164">
        <v>104.40237831639925</v>
      </c>
      <c r="AU35" s="164">
        <v>104.15377220386735</v>
      </c>
      <c r="AV35" s="164">
        <v>104.14997463663596</v>
      </c>
      <c r="AW35" s="164">
        <v>104.54000398557532</v>
      </c>
      <c r="AX35" s="164">
        <v>103.89212123239682</v>
      </c>
      <c r="AY35" s="164">
        <v>103.78917455733863</v>
      </c>
      <c r="AZ35" s="164">
        <v>104.69389016952539</v>
      </c>
      <c r="BA35" s="164">
        <v>104.40572378921193</v>
      </c>
      <c r="BB35" s="164">
        <v>103.20176231245046</v>
      </c>
      <c r="BC35" s="164">
        <v>102.57420258180834</v>
      </c>
      <c r="BD35" s="164">
        <v>102.74272404445568</v>
      </c>
      <c r="BE35" s="164">
        <v>101.70141612176413</v>
      </c>
      <c r="BF35" s="164">
        <v>100.73372387353731</v>
      </c>
      <c r="BG35" s="164">
        <v>100</v>
      </c>
      <c r="BH35" s="164">
        <v>100.40860249556948</v>
      </c>
      <c r="BI35" s="164">
        <v>100.45595941828618</v>
      </c>
      <c r="BJ35" s="164">
        <v>100.49677164979865</v>
      </c>
      <c r="BK35" s="164">
        <v>101.63244434874316</v>
      </c>
      <c r="BL35" s="164">
        <v>101.85303872733202</v>
      </c>
      <c r="BM35" s="164">
        <v>102.1169127660043</v>
      </c>
      <c r="BN35" s="164">
        <v>103.06019877534158</v>
      </c>
      <c r="BO35" s="164">
        <v>103.65902223022681</v>
      </c>
      <c r="BP35" s="164">
        <v>104.90179044092906</v>
      </c>
      <c r="BQ35" s="164">
        <v>105.2373568437134</v>
      </c>
      <c r="BR35" s="164">
        <v>105.09528258098868</v>
      </c>
      <c r="BS35" s="164">
        <v>104.30329004005733</v>
      </c>
      <c r="BT35" s="164">
        <v>104.30328175662112</v>
      </c>
      <c r="BU35" s="164">
        <v>105.2155193760601</v>
      </c>
      <c r="BV35" s="164">
        <v>106.50858344677239</v>
      </c>
      <c r="BW35" s="164">
        <v>106.49843843766233</v>
      </c>
      <c r="BX35" s="164">
        <v>106.0704952833234</v>
      </c>
      <c r="BY35" s="164">
        <v>105.99989801536842</v>
      </c>
      <c r="BZ35" s="164">
        <v>105.57342439439049</v>
      </c>
      <c r="CA35" s="164">
        <v>105.90405801089204</v>
      </c>
      <c r="CB35" s="164">
        <v>106.58648890578158</v>
      </c>
      <c r="CC35" s="164">
        <v>106.5809061286111</v>
      </c>
      <c r="CD35" s="164">
        <v>106.72138104099747</v>
      </c>
      <c r="CE35" s="164">
        <v>107.14885876976248</v>
      </c>
      <c r="CF35" s="164">
        <v>107.40616960892768</v>
      </c>
      <c r="CG35" s="164">
        <v>108.9367194084442</v>
      </c>
      <c r="CH35" s="164">
        <v>109.94822404524778</v>
      </c>
      <c r="CI35" s="164">
        <v>110.8060523020099</v>
      </c>
      <c r="CJ35" s="164">
        <v>111.92285067375968</v>
      </c>
      <c r="CK35" s="164">
        <v>112.60295974735601</v>
      </c>
      <c r="CL35" s="164">
        <v>112.56848460342694</v>
      </c>
      <c r="CM35" s="164">
        <v>112.385307024063</v>
      </c>
      <c r="CN35" s="164">
        <v>112.40656270974891</v>
      </c>
      <c r="CO35" s="164">
        <v>112.81335695707222</v>
      </c>
      <c r="CP35" s="164">
        <v>113.96213003986395</v>
      </c>
      <c r="CQ35" s="164">
        <v>113.23338619408175</v>
      </c>
      <c r="CR35" s="164">
        <v>113.59923916948735</v>
      </c>
      <c r="CS35" s="164">
        <v>113.56701789678854</v>
      </c>
      <c r="CT35" s="164">
        <v>114.4082885999302</v>
      </c>
      <c r="CU35" s="164">
        <v>115.26658422369663</v>
      </c>
      <c r="CV35" s="164">
        <v>115.80116458279744</v>
      </c>
      <c r="CW35" s="164">
        <v>116.13077195920572</v>
      </c>
      <c r="CX35" s="164">
        <v>116.26759620592526</v>
      </c>
      <c r="CY35" s="164">
        <v>117.47058373178474</v>
      </c>
      <c r="CZ35" s="164">
        <v>118.82913199000227</v>
      </c>
      <c r="DA35" s="164">
        <v>120.04210002110518</v>
      </c>
      <c r="DB35" s="164">
        <v>120.53131225875981</v>
      </c>
      <c r="DC35" s="164">
        <v>121.57555070587975</v>
      </c>
      <c r="DD35" s="164">
        <v>121.6112775546824</v>
      </c>
      <c r="DE35" s="164">
        <v>120.70955601641144</v>
      </c>
      <c r="DF35" s="164">
        <v>121.68500660868075</v>
      </c>
      <c r="DG35" s="164">
        <v>122.03695234177765</v>
      </c>
      <c r="DH35" s="164">
        <v>122.37099109771859</v>
      </c>
      <c r="DI35" s="164">
        <v>122.60961217500288</v>
      </c>
      <c r="DJ35" s="164">
        <v>122.61094852624052</v>
      </c>
      <c r="DK35" s="164">
        <v>122.85022684241926</v>
      </c>
      <c r="DL35" s="164">
        <v>122.95226932864003</v>
      </c>
      <c r="DM35" s="164">
        <v>122.62554575290264</v>
      </c>
      <c r="DN35" s="164">
        <v>122.21888857056334</v>
      </c>
      <c r="DO35" s="164">
        <v>121.43813121660891</v>
      </c>
      <c r="DP35" s="164">
        <v>120.66668405670565</v>
      </c>
      <c r="DQ35" s="164">
        <v>119.42959362383326</v>
      </c>
      <c r="DR35" s="164">
        <v>119.77516926503047</v>
      </c>
      <c r="DS35" s="164">
        <v>120.15560691251514</v>
      </c>
      <c r="DT35" s="164">
        <v>121.71979289918376</v>
      </c>
      <c r="DU35" s="164">
        <v>123.30130654018605</v>
      </c>
      <c r="DV35" s="164">
        <v>123.77327240472513</v>
      </c>
      <c r="DW35" s="164">
        <v>124.72226544277653</v>
      </c>
      <c r="DX35" s="164">
        <v>124.82429382127</v>
      </c>
      <c r="DY35" s="164">
        <v>123.90552988950094</v>
      </c>
      <c r="DZ35" s="164">
        <v>124.16694439475245</v>
      </c>
      <c r="EA35" s="164">
        <v>124.52516949023639</v>
      </c>
      <c r="EB35" s="164">
        <v>124.51076368860873</v>
      </c>
      <c r="EC35" s="164">
        <v>125.7236314124759</v>
      </c>
      <c r="ED35" s="164">
        <v>125.67040101574807</v>
      </c>
      <c r="EE35" s="164">
        <v>125.70667004133857</v>
      </c>
      <c r="EF35" s="164">
        <v>127.7464789002189</v>
      </c>
      <c r="EG35" s="164">
        <v>130.87036319254275</v>
      </c>
      <c r="EH35" s="164">
        <v>132.14556105613684</v>
      </c>
      <c r="EI35" s="164">
        <v>134.33341770013146</v>
      </c>
      <c r="EJ35" s="164">
        <v>136.66394708511936</v>
      </c>
      <c r="EK35" s="164">
        <v>137.25509968975732</v>
      </c>
      <c r="EL35" s="164">
        <v>136.60371381962011</v>
      </c>
      <c r="EM35" s="164">
        <v>134.94986973105762</v>
      </c>
      <c r="EN35" s="164">
        <v>131.59850208862181</v>
      </c>
      <c r="EO35" s="164">
        <v>129.32688916162792</v>
      </c>
      <c r="EP35" s="164">
        <v>128.45210018087192</v>
      </c>
      <c r="EQ35" s="164">
        <v>126.84958181641611</v>
      </c>
      <c r="ER35" s="164">
        <v>125.26247815023662</v>
      </c>
      <c r="ES35" s="164">
        <v>124.70754111713961</v>
      </c>
      <c r="ET35" s="164">
        <v>125.03769054090704</v>
      </c>
      <c r="EU35" s="164">
        <v>124.62119134202403</v>
      </c>
      <c r="EV35" s="164">
        <v>125.18126902388202</v>
      </c>
      <c r="EW35" s="164">
        <v>124.953613792468</v>
      </c>
      <c r="EX35" s="164">
        <v>125.27965165499897</v>
      </c>
      <c r="EY35" s="164">
        <v>125.91119080018373</v>
      </c>
      <c r="EZ35" s="164">
        <v>126.82509287259285</v>
      </c>
      <c r="FA35" s="164">
        <v>126.73852436298898</v>
      </c>
      <c r="FB35" s="164">
        <v>126.95273984852717</v>
      </c>
      <c r="FC35" s="164">
        <v>128.07690400709879</v>
      </c>
      <c r="FD35" s="164">
        <v>130.43463956185508</v>
      </c>
      <c r="FE35" s="164">
        <v>130.50591387129424</v>
      </c>
      <c r="FF35" s="164">
        <v>129.93162000084138</v>
      </c>
      <c r="FG35" s="164">
        <v>129.55839657918105</v>
      </c>
      <c r="FH35" s="164">
        <v>129.29535774385371</v>
      </c>
      <c r="FI35" s="164">
        <v>129.65985016485641</v>
      </c>
      <c r="FJ35" s="164">
        <v>131.47420498607568</v>
      </c>
      <c r="FK35" s="164">
        <v>132.04062752123852</v>
      </c>
      <c r="FL35" s="164">
        <v>133.35597649458998</v>
      </c>
      <c r="FM35" s="164">
        <v>133.77740097289163</v>
      </c>
      <c r="FN35" s="164">
        <v>133.77900239408908</v>
      </c>
      <c r="FO35" s="164">
        <v>134.49653292634326</v>
      </c>
      <c r="FP35" s="164">
        <v>134.50895044441515</v>
      </c>
      <c r="FQ35" s="164">
        <v>135.65682425665966</v>
      </c>
      <c r="FR35" s="164">
        <v>135.86761078787936</v>
      </c>
      <c r="FS35" s="164">
        <v>136.4485734716514</v>
      </c>
      <c r="FT35" s="164">
        <v>137.50998361153199</v>
      </c>
      <c r="FU35" s="164">
        <v>137.81619222198381</v>
      </c>
      <c r="FV35" s="164">
        <v>138.41296086696596</v>
      </c>
      <c r="FW35" s="164">
        <v>138.40726380426105</v>
      </c>
      <c r="FX35" s="164">
        <v>137.60795194140809</v>
      </c>
      <c r="FY35" s="164">
        <v>138.19941879890857</v>
      </c>
      <c r="FZ35" s="164">
        <v>139.60658616844032</v>
      </c>
      <c r="GA35" s="164">
        <v>139.82890117205133</v>
      </c>
      <c r="GB35" s="164">
        <v>139.39344545875466</v>
      </c>
      <c r="GC35" s="164">
        <v>139.11073423892205</v>
      </c>
      <c r="GD35" s="164">
        <v>136.86868334273552</v>
      </c>
      <c r="GE35" s="164">
        <v>136.94355253407554</v>
      </c>
      <c r="GF35" s="164">
        <v>137.94143117711656</v>
      </c>
      <c r="GG35" s="164">
        <v>137.44788191344517</v>
      </c>
      <c r="GH35" s="164">
        <v>136.7160514522329</v>
      </c>
      <c r="GI35" s="164">
        <v>136.32284993549843</v>
      </c>
    </row>
    <row r="36" spans="1:192" s="77" customFormat="1">
      <c r="A36" s="169" t="s">
        <v>404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2"/>
      <c r="AJ36" s="164"/>
      <c r="AK36" s="164"/>
      <c r="AL36" s="164"/>
      <c r="AM36" s="164"/>
      <c r="AN36" s="164"/>
      <c r="AO36" s="164"/>
      <c r="AP36" s="164"/>
      <c r="AQ36" s="164"/>
      <c r="AR36" s="164"/>
      <c r="AS36" s="164"/>
      <c r="AT36" s="164"/>
      <c r="AU36" s="164"/>
      <c r="AV36" s="164"/>
      <c r="AW36" s="164"/>
      <c r="AX36" s="16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  <c r="CG36" s="164"/>
      <c r="CH36" s="164"/>
      <c r="CI36" s="164"/>
      <c r="CJ36" s="164"/>
      <c r="CK36" s="164"/>
      <c r="CL36" s="164"/>
      <c r="CM36" s="164"/>
      <c r="CN36" s="164"/>
      <c r="CO36" s="164"/>
      <c r="CP36" s="164"/>
      <c r="CQ36" s="164"/>
      <c r="CR36" s="164"/>
      <c r="CS36" s="164"/>
      <c r="CT36" s="164"/>
      <c r="CU36" s="164"/>
      <c r="CV36" s="164"/>
      <c r="CW36" s="164"/>
      <c r="CX36" s="164"/>
      <c r="CY36" s="164"/>
      <c r="CZ36" s="164"/>
      <c r="DA36" s="164"/>
      <c r="DB36" s="164"/>
      <c r="DC36" s="164"/>
      <c r="DD36" s="164"/>
      <c r="DE36" s="164"/>
      <c r="DF36" s="164"/>
      <c r="DG36" s="164"/>
      <c r="DH36" s="164"/>
      <c r="DI36" s="164"/>
      <c r="DJ36" s="164"/>
      <c r="DK36" s="164"/>
      <c r="DL36" s="164"/>
      <c r="DM36" s="164"/>
      <c r="DN36" s="164"/>
      <c r="DO36" s="164"/>
      <c r="DP36" s="164"/>
      <c r="DQ36" s="164"/>
      <c r="DR36" s="164"/>
      <c r="DS36" s="164"/>
      <c r="DT36" s="164"/>
      <c r="DU36" s="164"/>
      <c r="DV36" s="164"/>
      <c r="DW36" s="164"/>
      <c r="DX36" s="164"/>
      <c r="DY36" s="164"/>
      <c r="DZ36" s="164"/>
      <c r="EA36" s="164"/>
      <c r="EB36" s="164"/>
      <c r="EC36" s="164"/>
      <c r="ED36" s="164"/>
      <c r="EE36" s="164"/>
      <c r="EF36" s="164"/>
      <c r="EG36" s="164"/>
      <c r="EH36" s="164"/>
      <c r="EI36" s="164"/>
      <c r="EJ36" s="164"/>
      <c r="EK36" s="164"/>
      <c r="EL36" s="164"/>
      <c r="EM36" s="164"/>
      <c r="EN36" s="164"/>
      <c r="EO36" s="164"/>
      <c r="EP36" s="164"/>
      <c r="EQ36" s="164"/>
      <c r="ER36" s="164"/>
      <c r="ES36" s="164"/>
      <c r="ET36" s="164"/>
      <c r="EU36" s="164"/>
      <c r="EV36" s="164"/>
      <c r="EW36" s="164"/>
      <c r="EX36" s="164"/>
      <c r="EY36" s="164"/>
      <c r="EZ36" s="164"/>
      <c r="FA36" s="164"/>
      <c r="FB36" s="164"/>
      <c r="FC36" s="164"/>
      <c r="FD36" s="164"/>
      <c r="FE36" s="164"/>
      <c r="FF36" s="164"/>
      <c r="FG36" s="164"/>
      <c r="FH36" s="164"/>
      <c r="FI36" s="164"/>
      <c r="FJ36" s="164"/>
      <c r="FK36" s="164"/>
      <c r="FL36" s="164"/>
      <c r="FM36" s="164"/>
      <c r="FN36" s="164"/>
      <c r="FO36" s="164"/>
      <c r="FP36" s="164"/>
      <c r="FQ36" s="164"/>
      <c r="FR36" s="164"/>
      <c r="FS36" s="164"/>
      <c r="FT36" s="164"/>
      <c r="FU36" s="164"/>
      <c r="FV36" s="164"/>
      <c r="FW36" s="164"/>
      <c r="FX36" s="164"/>
      <c r="FY36" s="164"/>
      <c r="FZ36" s="164"/>
      <c r="GA36" s="164"/>
      <c r="GB36" s="164"/>
      <c r="GC36" s="164"/>
      <c r="GD36" s="164"/>
      <c r="GE36" s="164"/>
      <c r="GF36" s="164"/>
      <c r="GG36" s="164"/>
      <c r="GH36" s="164"/>
      <c r="GI36" s="164"/>
    </row>
    <row r="37" spans="1:192">
      <c r="A37" s="169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P37" s="164"/>
    </row>
    <row r="38" spans="1:192">
      <c r="AJ38" s="162">
        <v>2000</v>
      </c>
      <c r="AV38" s="162">
        <v>2001</v>
      </c>
      <c r="BH38" s="162">
        <v>2002</v>
      </c>
      <c r="BT38" s="162">
        <v>2003</v>
      </c>
      <c r="CF38" s="162">
        <v>2004</v>
      </c>
      <c r="CR38" s="162">
        <v>2005</v>
      </c>
      <c r="DD38" s="162">
        <v>2006</v>
      </c>
      <c r="DP38" s="162">
        <v>2007</v>
      </c>
    </row>
    <row r="39" spans="1:192">
      <c r="AJ39" s="165" t="s">
        <v>202</v>
      </c>
      <c r="AK39" s="165" t="s">
        <v>203</v>
      </c>
      <c r="AL39" s="165" t="s">
        <v>204</v>
      </c>
      <c r="AM39" s="165" t="s">
        <v>205</v>
      </c>
      <c r="AN39" s="165" t="s">
        <v>206</v>
      </c>
      <c r="AO39" s="165" t="s">
        <v>207</v>
      </c>
      <c r="AP39" s="165" t="s">
        <v>208</v>
      </c>
      <c r="AQ39" s="165" t="s">
        <v>209</v>
      </c>
      <c r="AR39" s="165" t="s">
        <v>210</v>
      </c>
      <c r="AS39" s="165" t="s">
        <v>211</v>
      </c>
      <c r="AT39" s="165" t="s">
        <v>212</v>
      </c>
      <c r="AU39" s="165" t="s">
        <v>213</v>
      </c>
      <c r="AV39" s="165" t="s">
        <v>202</v>
      </c>
      <c r="AW39" s="165" t="s">
        <v>203</v>
      </c>
      <c r="AX39" s="165" t="s">
        <v>204</v>
      </c>
      <c r="AY39" s="165" t="s">
        <v>205</v>
      </c>
      <c r="AZ39" s="165" t="s">
        <v>206</v>
      </c>
      <c r="BA39" s="165" t="s">
        <v>207</v>
      </c>
      <c r="BB39" s="165" t="s">
        <v>208</v>
      </c>
      <c r="BC39" s="165" t="s">
        <v>209</v>
      </c>
      <c r="BD39" s="165" t="s">
        <v>210</v>
      </c>
      <c r="BE39" s="165" t="s">
        <v>211</v>
      </c>
      <c r="BF39" s="165" t="s">
        <v>212</v>
      </c>
      <c r="BG39" s="165" t="s">
        <v>213</v>
      </c>
      <c r="BH39" s="165" t="s">
        <v>202</v>
      </c>
      <c r="BI39" s="165" t="s">
        <v>203</v>
      </c>
      <c r="BJ39" s="165" t="s">
        <v>204</v>
      </c>
      <c r="BK39" s="165" t="s">
        <v>205</v>
      </c>
      <c r="BL39" s="165" t="s">
        <v>206</v>
      </c>
      <c r="BM39" s="165" t="s">
        <v>207</v>
      </c>
      <c r="BN39" s="165" t="s">
        <v>208</v>
      </c>
      <c r="BO39" s="165" t="s">
        <v>209</v>
      </c>
      <c r="BP39" s="165" t="s">
        <v>210</v>
      </c>
      <c r="BQ39" s="165" t="s">
        <v>211</v>
      </c>
      <c r="BR39" s="165" t="s">
        <v>212</v>
      </c>
      <c r="BS39" s="165" t="s">
        <v>213</v>
      </c>
      <c r="BT39" s="165" t="s">
        <v>202</v>
      </c>
      <c r="BU39" s="165" t="s">
        <v>203</v>
      </c>
      <c r="BV39" s="165" t="s">
        <v>204</v>
      </c>
      <c r="BW39" s="165" t="s">
        <v>205</v>
      </c>
      <c r="BX39" s="165" t="s">
        <v>206</v>
      </c>
      <c r="BY39" s="165" t="s">
        <v>207</v>
      </c>
      <c r="BZ39" s="165" t="s">
        <v>208</v>
      </c>
      <c r="CA39" s="165" t="s">
        <v>209</v>
      </c>
      <c r="CB39" s="165" t="s">
        <v>210</v>
      </c>
      <c r="CC39" s="165" t="s">
        <v>211</v>
      </c>
      <c r="CD39" s="165" t="s">
        <v>212</v>
      </c>
      <c r="CE39" s="165" t="s">
        <v>213</v>
      </c>
      <c r="CF39" s="165" t="s">
        <v>202</v>
      </c>
      <c r="CG39" s="165" t="s">
        <v>203</v>
      </c>
      <c r="CH39" s="165" t="s">
        <v>204</v>
      </c>
      <c r="CI39" s="165" t="s">
        <v>205</v>
      </c>
      <c r="CJ39" s="165" t="s">
        <v>206</v>
      </c>
      <c r="CK39" s="165" t="s">
        <v>207</v>
      </c>
      <c r="CL39" s="165" t="s">
        <v>208</v>
      </c>
      <c r="CM39" s="165" t="s">
        <v>209</v>
      </c>
      <c r="CN39" s="165" t="s">
        <v>210</v>
      </c>
      <c r="CO39" s="165" t="s">
        <v>211</v>
      </c>
      <c r="CP39" s="165" t="s">
        <v>212</v>
      </c>
      <c r="CQ39" s="165" t="s">
        <v>213</v>
      </c>
      <c r="CR39" s="165" t="s">
        <v>202</v>
      </c>
      <c r="CS39" s="165" t="s">
        <v>203</v>
      </c>
      <c r="CT39" s="165" t="s">
        <v>204</v>
      </c>
      <c r="CU39" s="165" t="s">
        <v>205</v>
      </c>
      <c r="CV39" s="165" t="s">
        <v>206</v>
      </c>
      <c r="CW39" s="165" t="s">
        <v>207</v>
      </c>
      <c r="CX39" s="165" t="s">
        <v>208</v>
      </c>
      <c r="CY39" s="165" t="s">
        <v>209</v>
      </c>
      <c r="CZ39" s="165" t="s">
        <v>210</v>
      </c>
      <c r="DA39" s="165" t="s">
        <v>211</v>
      </c>
      <c r="DB39" s="165" t="s">
        <v>212</v>
      </c>
      <c r="DC39" s="165" t="s">
        <v>213</v>
      </c>
      <c r="DD39" s="165" t="s">
        <v>202</v>
      </c>
      <c r="DE39" s="165" t="s">
        <v>203</v>
      </c>
      <c r="DF39" s="165" t="s">
        <v>204</v>
      </c>
      <c r="DG39" s="165" t="s">
        <v>205</v>
      </c>
      <c r="DH39" s="165" t="s">
        <v>206</v>
      </c>
      <c r="DI39" s="165" t="s">
        <v>207</v>
      </c>
      <c r="DJ39" s="165" t="s">
        <v>208</v>
      </c>
      <c r="DK39" s="165" t="s">
        <v>209</v>
      </c>
      <c r="DL39" s="165" t="s">
        <v>210</v>
      </c>
      <c r="DM39" s="165" t="s">
        <v>211</v>
      </c>
      <c r="DN39" s="165" t="s">
        <v>212</v>
      </c>
      <c r="DO39" s="165" t="s">
        <v>213</v>
      </c>
      <c r="DP39" s="165" t="s">
        <v>202</v>
      </c>
      <c r="DQ39" s="165" t="s">
        <v>203</v>
      </c>
      <c r="DR39" s="165" t="s">
        <v>204</v>
      </c>
      <c r="DS39" s="165" t="s">
        <v>205</v>
      </c>
      <c r="DT39" s="165" t="s">
        <v>206</v>
      </c>
      <c r="DU39" s="165" t="s">
        <v>207</v>
      </c>
      <c r="DV39" s="165" t="s">
        <v>208</v>
      </c>
      <c r="DW39" s="165" t="s">
        <v>209</v>
      </c>
      <c r="DX39" s="165" t="s">
        <v>214</v>
      </c>
      <c r="DY39" s="165" t="s">
        <v>215</v>
      </c>
      <c r="DZ39" s="165" t="s">
        <v>216</v>
      </c>
      <c r="EA39" s="165" t="s">
        <v>217</v>
      </c>
      <c r="EB39" s="165"/>
      <c r="EC39" s="165"/>
      <c r="ED39" s="165"/>
      <c r="EE39" s="165"/>
      <c r="EF39" s="165"/>
      <c r="EG39" s="165"/>
      <c r="EH39" s="165"/>
      <c r="EI39" s="165"/>
      <c r="EJ39" s="165"/>
      <c r="EK39" s="165"/>
      <c r="EL39" s="165"/>
      <c r="EM39" s="165"/>
      <c r="EN39" s="165"/>
      <c r="EO39" s="165"/>
      <c r="EP39" s="165"/>
      <c r="EQ39" s="165"/>
      <c r="ER39" s="165"/>
      <c r="ES39" s="165"/>
      <c r="ET39" s="165"/>
      <c r="EU39" s="165"/>
      <c r="EV39" s="165"/>
      <c r="EW39" s="165"/>
      <c r="EX39" s="165"/>
      <c r="EY39" s="165"/>
      <c r="EZ39" s="165"/>
      <c r="FA39" s="165"/>
      <c r="FB39" s="165"/>
      <c r="FC39" s="165"/>
      <c r="FD39" s="165"/>
      <c r="FE39" s="165"/>
      <c r="FF39" s="165"/>
      <c r="FG39" s="165"/>
      <c r="FH39" s="165"/>
      <c r="FI39" s="165"/>
      <c r="FJ39" s="165"/>
      <c r="FK39" s="165"/>
      <c r="FL39" s="165"/>
      <c r="FM39" s="165"/>
      <c r="FN39" s="165"/>
      <c r="FO39" s="165"/>
      <c r="FP39" s="165"/>
      <c r="FQ39" s="165"/>
      <c r="FR39" s="165"/>
      <c r="FS39" s="165"/>
      <c r="FT39" s="165"/>
      <c r="FU39" s="165"/>
      <c r="FV39" s="165"/>
      <c r="FW39" s="165"/>
      <c r="FX39" s="165">
        <v>2012</v>
      </c>
      <c r="FY39" s="165"/>
      <c r="FZ39" s="165"/>
      <c r="GA39" s="165"/>
      <c r="GB39" s="165"/>
      <c r="GC39" s="165"/>
      <c r="GD39" s="165"/>
      <c r="GE39" s="165"/>
      <c r="GF39" s="165"/>
      <c r="GG39" s="165"/>
      <c r="GH39" s="165"/>
      <c r="GI39" s="165"/>
    </row>
    <row r="40" spans="1:192" s="77" customFormat="1">
      <c r="A40" s="162"/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AJ40" s="164">
        <v>94.930191858312824</v>
      </c>
      <c r="AK40" s="164">
        <v>95.427992732802508</v>
      </c>
      <c r="AL40" s="164">
        <v>95.895455492531497</v>
      </c>
      <c r="AM40" s="164">
        <v>96.467146229803063</v>
      </c>
      <c r="AN40" s="164">
        <v>96.569706418102257</v>
      </c>
      <c r="AO40" s="164">
        <v>96.730318810365333</v>
      </c>
      <c r="AP40" s="164">
        <v>97.156825511998193</v>
      </c>
      <c r="AQ40" s="164">
        <v>97.606580510305079</v>
      </c>
      <c r="AR40" s="164">
        <v>98.331866128754172</v>
      </c>
      <c r="AS40" s="164">
        <v>98.874947510230669</v>
      </c>
      <c r="AT40" s="164">
        <v>99.798141257002484</v>
      </c>
      <c r="AU40" s="164">
        <v>100.27199232948195</v>
      </c>
      <c r="AV40" s="164">
        <v>100.41543842252561</v>
      </c>
      <c r="AW40" s="164">
        <v>100.50374650409448</v>
      </c>
      <c r="AX40" s="164">
        <v>100.85963758290275</v>
      </c>
      <c r="AY40" s="164">
        <v>100.9969040126439</v>
      </c>
      <c r="AZ40" s="164">
        <v>101.06291888668099</v>
      </c>
      <c r="BA40" s="164">
        <v>101.22799771163282</v>
      </c>
      <c r="BB40" s="164">
        <v>101.09819957339919</v>
      </c>
      <c r="BC40" s="164">
        <v>100.78592972532228</v>
      </c>
      <c r="BD40" s="164">
        <v>100.69859850215246</v>
      </c>
      <c r="BE40" s="164">
        <v>100.44338158209216</v>
      </c>
      <c r="BF40" s="164">
        <v>99.99366968440961</v>
      </c>
      <c r="BG40" s="164">
        <v>100</v>
      </c>
      <c r="BH40" s="164">
        <v>99.736262365683075</v>
      </c>
      <c r="BI40" s="164">
        <v>99.767115384615352</v>
      </c>
      <c r="BJ40" s="164">
        <v>100.07630671158108</v>
      </c>
      <c r="BK40" s="164">
        <v>100.4313197168685</v>
      </c>
      <c r="BL40" s="164">
        <v>100.50076859116494</v>
      </c>
      <c r="BM40" s="164">
        <v>100.97521831826708</v>
      </c>
      <c r="BN40" s="164">
        <v>101.20859351014838</v>
      </c>
      <c r="BO40" s="164">
        <v>101.43324151458299</v>
      </c>
      <c r="BP40" s="164">
        <v>102.03290039229063</v>
      </c>
      <c r="BQ40" s="164">
        <v>102.254941369606</v>
      </c>
      <c r="BR40" s="164">
        <v>102.521639732219</v>
      </c>
      <c r="BS40" s="164">
        <v>102.56662928534881</v>
      </c>
      <c r="BT40" s="164">
        <v>102.69188502046734</v>
      </c>
      <c r="BU40" s="164">
        <v>103.15225236653592</v>
      </c>
      <c r="BV40" s="164">
        <v>105.63735171840356</v>
      </c>
      <c r="BW40" s="164">
        <v>105.93496066433568</v>
      </c>
      <c r="BX40" s="164">
        <v>105.58369595343682</v>
      </c>
      <c r="BY40" s="164">
        <v>105.50467646682584</v>
      </c>
      <c r="BZ40" s="164">
        <v>105.5210153718233</v>
      </c>
      <c r="CA40" s="164">
        <v>105.63757216868498</v>
      </c>
      <c r="CB40" s="164">
        <v>105.96766086048103</v>
      </c>
      <c r="CC40" s="164">
        <v>105.96685900989253</v>
      </c>
      <c r="CD40" s="164">
        <v>105.93093115725738</v>
      </c>
      <c r="CE40" s="164">
        <v>106.19206922650517</v>
      </c>
      <c r="CF40" s="164">
        <v>106.35454620075046</v>
      </c>
      <c r="CG40" s="164">
        <v>106.5968223392461</v>
      </c>
      <c r="CH40" s="164">
        <v>107.26153600972199</v>
      </c>
      <c r="CI40" s="164">
        <v>107.52077402780147</v>
      </c>
      <c r="CJ40" s="164">
        <v>107.61594949258057</v>
      </c>
      <c r="CK40" s="164">
        <v>107.86505106174313</v>
      </c>
      <c r="CL40" s="164">
        <v>108.27458670902269</v>
      </c>
      <c r="CM40" s="164">
        <v>108.4076269614532</v>
      </c>
      <c r="CN40" s="164">
        <v>108.681882888453</v>
      </c>
      <c r="CO40" s="164">
        <v>109.21706602848373</v>
      </c>
      <c r="CP40" s="164">
        <v>110.27048300784581</v>
      </c>
      <c r="CQ40" s="164">
        <v>110.43923418045367</v>
      </c>
      <c r="CR40" s="164">
        <v>110.1718709491728</v>
      </c>
      <c r="CS40" s="164">
        <v>110.03592412161009</v>
      </c>
      <c r="CT40" s="164">
        <v>110.54151298396727</v>
      </c>
      <c r="CU40" s="164">
        <v>110.69871769998296</v>
      </c>
      <c r="CV40" s="164">
        <v>110.58386736738871</v>
      </c>
      <c r="CW40" s="164">
        <v>110.80880436636531</v>
      </c>
      <c r="CX40" s="164">
        <v>110.80534261470238</v>
      </c>
      <c r="CY40" s="164">
        <v>111.19369478082892</v>
      </c>
      <c r="CZ40" s="164">
        <v>111.78072083404402</v>
      </c>
      <c r="DA40" s="164">
        <v>112.00799164250384</v>
      </c>
      <c r="DB40" s="164">
        <v>112.24781084768891</v>
      </c>
      <c r="DC40" s="164">
        <v>112.5767591250213</v>
      </c>
      <c r="DD40" s="164">
        <v>112.55861461709023</v>
      </c>
      <c r="DE40" s="164">
        <v>112.5618593296947</v>
      </c>
      <c r="DF40" s="164">
        <v>112.96151117175511</v>
      </c>
      <c r="DG40" s="164">
        <v>113.16814855875832</v>
      </c>
      <c r="DH40" s="164">
        <v>112.94204588094834</v>
      </c>
      <c r="DI40" s="164">
        <v>113.13194716868502</v>
      </c>
      <c r="DJ40" s="164">
        <v>113.47094384274261</v>
      </c>
      <c r="DK40" s="164">
        <v>113.69485331741429</v>
      </c>
      <c r="DL40" s="164">
        <v>113.68850865597817</v>
      </c>
      <c r="DM40" s="164">
        <v>113.4651969981238</v>
      </c>
      <c r="DN40" s="164">
        <v>113.37565538120415</v>
      </c>
      <c r="DO40" s="164">
        <v>113.46264625618281</v>
      </c>
      <c r="DP40" s="164">
        <v>113.26920731707311</v>
      </c>
      <c r="DQ40" s="164">
        <v>113.29264540337709</v>
      </c>
      <c r="DR40" s="164">
        <v>113.54913269657168</v>
      </c>
      <c r="DS40" s="164">
        <v>113.66943416339758</v>
      </c>
      <c r="DT40" s="164">
        <v>113.97050081016545</v>
      </c>
      <c r="DU40" s="164">
        <v>114.72904485758141</v>
      </c>
      <c r="DV40" s="164">
        <v>115.0533773238956</v>
      </c>
      <c r="DW40" s="164">
        <v>115.34525989254645</v>
      </c>
      <c r="DX40" s="164">
        <v>115.56505543237247</v>
      </c>
      <c r="DY40" s="164">
        <v>115.77382014327135</v>
      </c>
      <c r="DZ40" s="164">
        <v>115.94618987719598</v>
      </c>
      <c r="EA40" s="164">
        <v>116.43300805901413</v>
      </c>
      <c r="EB40" s="164">
        <v>116.46629455909942</v>
      </c>
      <c r="EC40" s="164">
        <v>116.65311039570187</v>
      </c>
      <c r="ED40" s="164">
        <v>117.32104404741597</v>
      </c>
      <c r="EE40" s="164">
        <v>117.62867772471431</v>
      </c>
      <c r="EF40" s="164">
        <v>117.76445612314512</v>
      </c>
      <c r="EG40" s="164">
        <v>118.56037118369433</v>
      </c>
      <c r="EH40" s="164">
        <v>119.23368987719596</v>
      </c>
      <c r="EI40" s="164">
        <v>119.96366749104554</v>
      </c>
      <c r="EJ40" s="164">
        <v>120.97555219171072</v>
      </c>
      <c r="EK40" s="164">
        <v>121.95419495139008</v>
      </c>
      <c r="EL40" s="164">
        <v>122.61484393655124</v>
      </c>
      <c r="EM40" s="164">
        <v>122.52565346239126</v>
      </c>
      <c r="EN40" s="164">
        <v>121.64818501620331</v>
      </c>
      <c r="EO40" s="164">
        <v>121.16662651373017</v>
      </c>
      <c r="EP40" s="164">
        <v>121.78910881801126</v>
      </c>
      <c r="EQ40" s="164">
        <v>121.92257355449428</v>
      </c>
      <c r="ER40" s="164">
        <v>121.96831400307009</v>
      </c>
      <c r="ES40" s="164">
        <v>122.04394635851952</v>
      </c>
      <c r="ET40" s="164">
        <v>122.29159666552958</v>
      </c>
      <c r="EU40" s="164">
        <v>122.13112783557906</v>
      </c>
      <c r="EV40" s="164">
        <v>122.26993625277159</v>
      </c>
      <c r="EW40" s="164">
        <v>122.15365619136959</v>
      </c>
      <c r="EX40" s="164">
        <v>122.20479745863895</v>
      </c>
      <c r="EY40" s="164">
        <v>122.72943757462049</v>
      </c>
      <c r="EZ40" s="164">
        <v>123.39950118026179</v>
      </c>
      <c r="FA40" s="164">
        <v>123.6355850511257</v>
      </c>
      <c r="FB40" s="164">
        <v>124.00226048079053</v>
      </c>
      <c r="FC40" s="164">
        <v>124.22189631248932</v>
      </c>
      <c r="FD40" s="164">
        <v>124.56925342998464</v>
      </c>
      <c r="FE40" s="164">
        <v>124.6964797755202</v>
      </c>
      <c r="FF40" s="164">
        <v>125.16864156632694</v>
      </c>
      <c r="FG40" s="164">
        <v>125.2166002594235</v>
      </c>
      <c r="FH40" s="164">
        <v>125.45074271627151</v>
      </c>
      <c r="FI40" s="164">
        <v>125.82070883670899</v>
      </c>
      <c r="FJ40" s="164">
        <v>126.04116282127325</v>
      </c>
      <c r="FK40" s="164">
        <v>126.76913356796862</v>
      </c>
      <c r="FL40" s="164">
        <v>127.42680972740065</v>
      </c>
      <c r="FM40" s="164">
        <v>127.54172832229658</v>
      </c>
      <c r="FN40" s="164">
        <v>128.11475753180966</v>
      </c>
      <c r="FO40" s="164">
        <v>128.5296256341037</v>
      </c>
      <c r="FP40" s="164">
        <v>128.51708001867641</v>
      </c>
      <c r="FQ40" s="164">
        <v>129.07502195840436</v>
      </c>
      <c r="FR40" s="164">
        <v>129.68839292891863</v>
      </c>
      <c r="FS40" s="164">
        <v>130.07672267661604</v>
      </c>
      <c r="FT40" s="164">
        <v>130.6996823644252</v>
      </c>
      <c r="FU40" s="164">
        <v>131.0055293818651</v>
      </c>
      <c r="FV40" s="164">
        <v>131.34502173217641</v>
      </c>
      <c r="FW40" s="164">
        <v>132.05507465629799</v>
      </c>
      <c r="FX40" s="164">
        <v>132.03853872486354</v>
      </c>
      <c r="FY40" s="164">
        <v>132.66671541738449</v>
      </c>
      <c r="FZ40" s="164">
        <v>133.56963635148389</v>
      </c>
      <c r="GA40" s="164">
        <v>134.06832689101142</v>
      </c>
      <c r="GB40" s="164">
        <v>134.29136464301553</v>
      </c>
      <c r="GC40" s="164">
        <v>134.49005924899794</v>
      </c>
      <c r="GD40" s="164">
        <v>134.58514510035394</v>
      </c>
      <c r="GE40" s="164">
        <v>135.00835485336006</v>
      </c>
      <c r="GF40" s="164">
        <v>135.32596722925553</v>
      </c>
      <c r="GG40" s="164">
        <v>135.41899558429984</v>
      </c>
      <c r="GH40" s="164">
        <v>135.4594516668088</v>
      </c>
      <c r="GI40" s="164">
        <v>136.17125427566947</v>
      </c>
      <c r="GJ40" s="162"/>
    </row>
    <row r="41" spans="1:192">
      <c r="FF41" s="168"/>
      <c r="FG41" s="168"/>
      <c r="FH41" s="168"/>
      <c r="FI41" s="168"/>
      <c r="FJ41" s="168"/>
      <c r="FK41" s="168"/>
      <c r="FL41" s="168"/>
    </row>
    <row r="42" spans="1:192">
      <c r="P42" s="77"/>
      <c r="AJ42" s="163" t="s">
        <v>218</v>
      </c>
    </row>
    <row r="43" spans="1:192">
      <c r="P43" s="77"/>
      <c r="AJ43" s="165" t="s">
        <v>219</v>
      </c>
      <c r="AK43" s="165" t="s">
        <v>220</v>
      </c>
      <c r="AL43" s="165" t="s">
        <v>221</v>
      </c>
      <c r="AM43" s="165" t="s">
        <v>222</v>
      </c>
      <c r="AN43" s="165" t="s">
        <v>223</v>
      </c>
      <c r="AO43" s="165" t="s">
        <v>224</v>
      </c>
      <c r="AP43" s="165" t="s">
        <v>225</v>
      </c>
      <c r="AQ43" s="165" t="s">
        <v>226</v>
      </c>
      <c r="AR43" s="165" t="s">
        <v>227</v>
      </c>
      <c r="AS43" s="165" t="s">
        <v>228</v>
      </c>
      <c r="AT43" s="165" t="s">
        <v>229</v>
      </c>
      <c r="AU43" s="165" t="s">
        <v>230</v>
      </c>
      <c r="AV43" s="165" t="s">
        <v>231</v>
      </c>
      <c r="AW43" s="165" t="s">
        <v>232</v>
      </c>
      <c r="AX43" s="165" t="s">
        <v>233</v>
      </c>
      <c r="AY43" s="165" t="s">
        <v>234</v>
      </c>
      <c r="AZ43" s="165" t="s">
        <v>235</v>
      </c>
      <c r="BA43" s="165" t="s">
        <v>236</v>
      </c>
      <c r="BB43" s="165" t="s">
        <v>237</v>
      </c>
      <c r="BC43" s="165" t="s">
        <v>238</v>
      </c>
      <c r="BD43" s="165" t="s">
        <v>239</v>
      </c>
      <c r="BE43" s="165" t="s">
        <v>240</v>
      </c>
      <c r="BF43" s="165" t="s">
        <v>241</v>
      </c>
      <c r="BG43" s="165" t="s">
        <v>242</v>
      </c>
      <c r="BH43" s="165" t="s">
        <v>243</v>
      </c>
      <c r="BI43" s="165" t="s">
        <v>244</v>
      </c>
      <c r="BJ43" s="165" t="s">
        <v>245</v>
      </c>
      <c r="BK43" s="165" t="s">
        <v>246</v>
      </c>
      <c r="BL43" s="165" t="s">
        <v>247</v>
      </c>
      <c r="BM43" s="165" t="s">
        <v>248</v>
      </c>
      <c r="BN43" s="165" t="s">
        <v>249</v>
      </c>
      <c r="BO43" s="165" t="s">
        <v>250</v>
      </c>
      <c r="BP43" s="165" t="s">
        <v>251</v>
      </c>
      <c r="BQ43" s="165" t="s">
        <v>252</v>
      </c>
      <c r="BR43" s="165" t="s">
        <v>253</v>
      </c>
      <c r="BS43" s="165" t="s">
        <v>254</v>
      </c>
      <c r="BT43" s="165" t="s">
        <v>255</v>
      </c>
      <c r="BU43" s="165" t="s">
        <v>256</v>
      </c>
      <c r="BV43" s="165" t="s">
        <v>257</v>
      </c>
      <c r="BW43" s="165" t="s">
        <v>258</v>
      </c>
      <c r="BX43" s="165" t="s">
        <v>259</v>
      </c>
      <c r="BY43" s="165" t="s">
        <v>260</v>
      </c>
      <c r="BZ43" s="165" t="s">
        <v>261</v>
      </c>
      <c r="CA43" s="165" t="s">
        <v>262</v>
      </c>
      <c r="CB43" s="165" t="s">
        <v>263</v>
      </c>
      <c r="CC43" s="165" t="s">
        <v>264</v>
      </c>
      <c r="CD43" s="165" t="s">
        <v>265</v>
      </c>
      <c r="CE43" s="165" t="s">
        <v>266</v>
      </c>
      <c r="CF43" s="165" t="s">
        <v>267</v>
      </c>
      <c r="CG43" s="165" t="s">
        <v>268</v>
      </c>
      <c r="CH43" s="165" t="s">
        <v>269</v>
      </c>
      <c r="CI43" s="165" t="s">
        <v>270</v>
      </c>
      <c r="CJ43" s="165" t="s">
        <v>271</v>
      </c>
      <c r="CK43" s="165" t="s">
        <v>272</v>
      </c>
      <c r="CL43" s="165" t="s">
        <v>273</v>
      </c>
      <c r="CM43" s="165" t="s">
        <v>274</v>
      </c>
      <c r="CN43" s="165" t="s">
        <v>275</v>
      </c>
      <c r="CO43" s="165" t="s">
        <v>276</v>
      </c>
      <c r="CP43" s="165" t="s">
        <v>277</v>
      </c>
      <c r="CQ43" s="165" t="s">
        <v>278</v>
      </c>
      <c r="CR43" s="165" t="s">
        <v>279</v>
      </c>
      <c r="CS43" s="165" t="s">
        <v>280</v>
      </c>
      <c r="CT43" s="165" t="s">
        <v>281</v>
      </c>
      <c r="CU43" s="165" t="s">
        <v>282</v>
      </c>
      <c r="CV43" s="165" t="s">
        <v>283</v>
      </c>
      <c r="CW43" s="165" t="s">
        <v>284</v>
      </c>
      <c r="CX43" s="165" t="s">
        <v>285</v>
      </c>
      <c r="CY43" s="165" t="s">
        <v>286</v>
      </c>
      <c r="CZ43" s="165" t="s">
        <v>287</v>
      </c>
      <c r="DA43" s="165" t="s">
        <v>288</v>
      </c>
      <c r="DB43" s="165" t="s">
        <v>289</v>
      </c>
      <c r="DC43" s="165" t="s">
        <v>290</v>
      </c>
      <c r="DD43" s="165" t="s">
        <v>291</v>
      </c>
      <c r="DE43" s="165" t="s">
        <v>292</v>
      </c>
      <c r="DF43" s="165" t="s">
        <v>293</v>
      </c>
      <c r="DG43" s="165" t="s">
        <v>294</v>
      </c>
      <c r="DH43" s="165" t="s">
        <v>295</v>
      </c>
      <c r="DI43" s="165" t="s">
        <v>296</v>
      </c>
      <c r="DJ43" s="165" t="s">
        <v>297</v>
      </c>
      <c r="DK43" s="165" t="s">
        <v>298</v>
      </c>
      <c r="DL43" s="165" t="s">
        <v>299</v>
      </c>
      <c r="DM43" s="165" t="s">
        <v>300</v>
      </c>
      <c r="DN43" s="165" t="s">
        <v>301</v>
      </c>
      <c r="DO43" s="165" t="s">
        <v>302</v>
      </c>
      <c r="DP43" s="165" t="s">
        <v>303</v>
      </c>
      <c r="DQ43" s="165" t="s">
        <v>304</v>
      </c>
      <c r="DR43" s="165" t="s">
        <v>305</v>
      </c>
      <c r="DS43" s="165" t="s">
        <v>306</v>
      </c>
      <c r="DT43" s="165" t="s">
        <v>307</v>
      </c>
      <c r="DU43" s="165" t="s">
        <v>308</v>
      </c>
      <c r="DV43" s="165" t="s">
        <v>309</v>
      </c>
      <c r="DW43" s="165" t="s">
        <v>310</v>
      </c>
      <c r="DX43" s="165" t="s">
        <v>311</v>
      </c>
      <c r="DY43" s="165" t="s">
        <v>312</v>
      </c>
      <c r="DZ43" s="165" t="s">
        <v>313</v>
      </c>
      <c r="EA43" s="165" t="s">
        <v>314</v>
      </c>
      <c r="EB43" s="165">
        <v>39448</v>
      </c>
      <c r="EC43" s="165">
        <v>39479</v>
      </c>
      <c r="ED43" s="165">
        <v>39508</v>
      </c>
      <c r="EE43" s="165">
        <v>39539</v>
      </c>
      <c r="EF43" s="165">
        <v>39569</v>
      </c>
      <c r="EG43" s="165">
        <v>39600</v>
      </c>
      <c r="EH43" s="165">
        <v>39630</v>
      </c>
      <c r="EI43" s="165">
        <v>39661</v>
      </c>
      <c r="EJ43" s="165">
        <v>39692</v>
      </c>
      <c r="EK43" s="165">
        <v>39722</v>
      </c>
      <c r="EL43" s="165">
        <v>39753</v>
      </c>
      <c r="EM43" s="165">
        <v>39783</v>
      </c>
      <c r="EN43" s="165">
        <v>39814</v>
      </c>
      <c r="EO43" s="165">
        <v>39845</v>
      </c>
      <c r="EP43" s="165">
        <v>39873</v>
      </c>
      <c r="EQ43" s="165">
        <v>39904</v>
      </c>
      <c r="ER43" s="165">
        <v>39934</v>
      </c>
      <c r="ES43" s="165">
        <v>39965</v>
      </c>
      <c r="ET43" s="165">
        <v>39995</v>
      </c>
      <c r="EU43" s="165">
        <v>40026</v>
      </c>
      <c r="EV43" s="165">
        <v>40057</v>
      </c>
      <c r="EW43" s="165">
        <v>40087</v>
      </c>
      <c r="EX43" s="165">
        <v>40118</v>
      </c>
      <c r="EY43" s="165">
        <v>40148</v>
      </c>
      <c r="EZ43" s="165">
        <v>40179</v>
      </c>
      <c r="FA43" s="165">
        <v>40210</v>
      </c>
      <c r="FB43" s="165">
        <v>40238</v>
      </c>
      <c r="FC43" s="165">
        <v>40269</v>
      </c>
      <c r="FD43" s="165">
        <v>40299</v>
      </c>
      <c r="FE43" s="165">
        <v>40330</v>
      </c>
      <c r="FF43" s="165">
        <v>40360</v>
      </c>
      <c r="FG43" s="165">
        <v>40391</v>
      </c>
      <c r="FH43" s="165">
        <v>40422</v>
      </c>
      <c r="FI43" s="165">
        <v>40452</v>
      </c>
      <c r="FJ43" s="165">
        <v>40483</v>
      </c>
      <c r="FK43" s="165">
        <v>40513</v>
      </c>
      <c r="FL43" s="165">
        <v>40544</v>
      </c>
      <c r="FM43" s="165">
        <v>40575</v>
      </c>
      <c r="FN43" s="165">
        <v>40603</v>
      </c>
      <c r="FO43" s="165">
        <v>40634</v>
      </c>
      <c r="FP43" s="165">
        <v>40664</v>
      </c>
      <c r="FQ43" s="165">
        <v>40695</v>
      </c>
      <c r="FR43" s="165">
        <v>40725</v>
      </c>
      <c r="FS43" s="165">
        <v>40756</v>
      </c>
      <c r="FT43" s="165">
        <v>40787</v>
      </c>
      <c r="FU43" s="165">
        <v>40817</v>
      </c>
      <c r="FV43" s="165">
        <v>40848</v>
      </c>
      <c r="FW43" s="165">
        <v>40878</v>
      </c>
      <c r="FX43" s="165">
        <v>40909</v>
      </c>
      <c r="FY43" s="165">
        <v>40940</v>
      </c>
      <c r="FZ43" s="165">
        <v>40969</v>
      </c>
      <c r="GA43" s="165">
        <v>41000</v>
      </c>
      <c r="GB43" s="165">
        <v>41030</v>
      </c>
      <c r="GC43" s="165">
        <v>41061</v>
      </c>
      <c r="GD43" s="165">
        <v>41091</v>
      </c>
      <c r="GE43" s="165">
        <v>41122</v>
      </c>
      <c r="GF43" s="165">
        <v>41153</v>
      </c>
      <c r="GG43" s="165">
        <v>41183</v>
      </c>
      <c r="GH43" s="165">
        <v>41214</v>
      </c>
      <c r="GI43" s="165">
        <v>41244</v>
      </c>
    </row>
    <row r="44" spans="1:192" s="77" customFormat="1">
      <c r="A44" s="162"/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AJ44" s="164">
        <v>3.5015714285714301</v>
      </c>
      <c r="AK44" s="164">
        <v>3.4577142857142902</v>
      </c>
      <c r="AL44" s="164">
        <v>3.4449130434782602</v>
      </c>
      <c r="AM44" s="164">
        <v>3.4807222222222198</v>
      </c>
      <c r="AN44" s="164">
        <v>3.5051363636363599</v>
      </c>
      <c r="AO44" s="164">
        <v>3.4887142857142899</v>
      </c>
      <c r="AP44" s="164">
        <v>3.4819499999999999</v>
      </c>
      <c r="AQ44" s="164">
        <v>3.4790454545454601</v>
      </c>
      <c r="AR44" s="164">
        <v>3.4862380952380998</v>
      </c>
      <c r="AS44" s="164">
        <v>3.5017727272727299</v>
      </c>
      <c r="AT44" s="164">
        <v>3.5299047619047599</v>
      </c>
      <c r="AU44" s="164">
        <v>3.5211052631578901</v>
      </c>
      <c r="AV44" s="164">
        <v>3.52404545454546</v>
      </c>
      <c r="AW44" s="164">
        <v>3.52955</v>
      </c>
      <c r="AX44" s="164">
        <v>3.5208181818181798</v>
      </c>
      <c r="AY44" s="164">
        <v>3.5603684210526301</v>
      </c>
      <c r="AZ44" s="164">
        <v>3.6016363636363602</v>
      </c>
      <c r="BA44" s="164">
        <v>3.5329649999999999</v>
      </c>
      <c r="BB44" s="164">
        <v>3.5049523809523802</v>
      </c>
      <c r="BC44" s="164">
        <v>3.4931818181818199</v>
      </c>
      <c r="BD44" s="164">
        <v>3.4911500000000002</v>
      </c>
      <c r="BE44" s="164">
        <v>3.4614090909090902</v>
      </c>
      <c r="BF44" s="164">
        <v>3.4407000000000001</v>
      </c>
      <c r="BG44" s="164">
        <v>3.4365749999999999</v>
      </c>
      <c r="BH44" s="164">
        <v>3.4609545454545501</v>
      </c>
      <c r="BI44" s="164">
        <v>3.4777</v>
      </c>
      <c r="BJ44" s="164">
        <v>3.45705263157895</v>
      </c>
      <c r="BK44" s="164">
        <v>3.4397272727272701</v>
      </c>
      <c r="BL44" s="164">
        <v>3.4525454545454499</v>
      </c>
      <c r="BM44" s="164">
        <v>3.48189473684211</v>
      </c>
      <c r="BN44" s="164">
        <v>3.53457142857143</v>
      </c>
      <c r="BO44" s="164">
        <v>3.57123809523809</v>
      </c>
      <c r="BP44" s="164">
        <v>3.6201428571428602</v>
      </c>
      <c r="BQ44" s="164">
        <v>3.6164190476190501</v>
      </c>
      <c r="BR44" s="164">
        <v>3.5843500000000001</v>
      </c>
      <c r="BS44" s="164">
        <v>3.5152857142857101</v>
      </c>
      <c r="BT44" s="164">
        <v>3.4947727272727298</v>
      </c>
      <c r="BU44" s="164">
        <v>3.4847000000000001</v>
      </c>
      <c r="BV44" s="164">
        <v>3.48003333333333</v>
      </c>
      <c r="BW44" s="164">
        <v>3.4654500000000001</v>
      </c>
      <c r="BX44" s="164">
        <v>3.4820000000000002</v>
      </c>
      <c r="BY44" s="164">
        <v>3.4795714285714299</v>
      </c>
      <c r="BZ44" s="164">
        <v>3.472</v>
      </c>
      <c r="CA44" s="164">
        <v>3.4809047619047599</v>
      </c>
      <c r="CB44" s="164">
        <v>3.4815909090909098</v>
      </c>
      <c r="CC44" s="164">
        <v>3.4788636363636298</v>
      </c>
      <c r="CD44" s="164">
        <v>3.47845</v>
      </c>
      <c r="CE44" s="164">
        <v>3.4721428571428601</v>
      </c>
      <c r="CF44" s="164">
        <v>3.46771428571429</v>
      </c>
      <c r="CG44" s="164">
        <v>3.4841500000000001</v>
      </c>
      <c r="CH44" s="164">
        <v>3.4659130434782601</v>
      </c>
      <c r="CI44" s="164">
        <v>3.4702999999999999</v>
      </c>
      <c r="CJ44" s="164">
        <v>3.4880476190476202</v>
      </c>
      <c r="CK44" s="164">
        <v>3.4778571428571401</v>
      </c>
      <c r="CL44" s="164">
        <v>3.4422000000000001</v>
      </c>
      <c r="CM44" s="164">
        <v>3.3962857142857099</v>
      </c>
      <c r="CN44" s="164">
        <v>3.35840909090909</v>
      </c>
      <c r="CO44" s="164">
        <v>3.3220499999999999</v>
      </c>
      <c r="CP44" s="164">
        <v>3.3110952380952399</v>
      </c>
      <c r="CQ44" s="164">
        <v>3.28181818181818</v>
      </c>
      <c r="CR44" s="164">
        <v>3.2690952380952401</v>
      </c>
      <c r="CS44" s="164">
        <v>3.2596500000000002</v>
      </c>
      <c r="CT44" s="164">
        <v>3.2602380952380998</v>
      </c>
      <c r="CU44" s="164">
        <v>3.2588499999999998</v>
      </c>
      <c r="CV44" s="164">
        <v>3.25576190476191</v>
      </c>
      <c r="CW44" s="164">
        <v>3.25338095238095</v>
      </c>
      <c r="CX44" s="164">
        <v>3.25278947368421</v>
      </c>
      <c r="CY44" s="164">
        <v>3.2579090909090902</v>
      </c>
      <c r="CZ44" s="164">
        <v>3.3084090909090902</v>
      </c>
      <c r="DA44" s="164">
        <v>3.3819047619047602</v>
      </c>
      <c r="DB44" s="164">
        <v>3.3769999999999998</v>
      </c>
      <c r="DC44" s="164">
        <v>3.4252857142857098</v>
      </c>
      <c r="DD44" s="164">
        <v>3.39427272727273</v>
      </c>
      <c r="DE44" s="164">
        <v>3.2896000000000001</v>
      </c>
      <c r="DF44" s="164">
        <v>3.3402608695652201</v>
      </c>
      <c r="DG44" s="164">
        <v>3.3322777777777799</v>
      </c>
      <c r="DH44" s="164">
        <v>3.2799681818181798</v>
      </c>
      <c r="DI44" s="164">
        <v>3.2646476190476199</v>
      </c>
      <c r="DJ44" s="164">
        <v>3.2437</v>
      </c>
      <c r="DK44" s="164">
        <v>3.2350454545454501</v>
      </c>
      <c r="DL44" s="164">
        <v>3.2484285714285699</v>
      </c>
      <c r="DM44" s="164">
        <v>3.2380454545454498</v>
      </c>
      <c r="DN44" s="164">
        <v>3.2225714285714302</v>
      </c>
      <c r="DO44" s="164">
        <v>3.206</v>
      </c>
      <c r="DP44" s="164">
        <v>3.1930454545454601</v>
      </c>
      <c r="DQ44" s="164">
        <v>3.19075</v>
      </c>
      <c r="DR44" s="164">
        <v>3.18618181818182</v>
      </c>
      <c r="DS44" s="164">
        <v>3.17868421052632</v>
      </c>
      <c r="DT44" s="164">
        <v>3.1680454545454499</v>
      </c>
      <c r="DU44" s="164">
        <v>3.1706500000000002</v>
      </c>
      <c r="DV44" s="164">
        <v>3.1614090909090899</v>
      </c>
      <c r="DW44" s="164">
        <v>3.15877272727273</v>
      </c>
      <c r="DX44" s="164">
        <v>3.13645</v>
      </c>
      <c r="DY44" s="164">
        <v>3.0203181818181801</v>
      </c>
      <c r="DZ44" s="164">
        <v>3.0016190476190499</v>
      </c>
      <c r="EA44" s="164">
        <v>2.9815999999999998</v>
      </c>
      <c r="EB44" s="164">
        <v>2.9510000000000001</v>
      </c>
      <c r="EC44" s="164">
        <v>2.9062857142857101</v>
      </c>
      <c r="ED44" s="164">
        <v>2.8118947368421101</v>
      </c>
      <c r="EE44" s="164">
        <v>2.74945454545455</v>
      </c>
      <c r="EF44" s="164">
        <v>2.8053684210526302</v>
      </c>
      <c r="EG44" s="164">
        <v>2.8928571428571401</v>
      </c>
      <c r="EH44" s="164">
        <v>2.8492380952380998</v>
      </c>
      <c r="EI44" s="164">
        <v>2.8934285714285699</v>
      </c>
      <c r="EJ44" s="164">
        <v>2.9667727272727298</v>
      </c>
      <c r="EK44" s="164">
        <v>3.07713636363636</v>
      </c>
      <c r="EL44" s="164">
        <v>3.09283333333333</v>
      </c>
      <c r="EM44" s="164">
        <v>3.1147499999999999</v>
      </c>
      <c r="EN44" s="164">
        <v>3.1517499999999998</v>
      </c>
      <c r="EO44" s="164">
        <v>3.23685</v>
      </c>
      <c r="EP44" s="164">
        <v>3.1754090909090902</v>
      </c>
      <c r="EQ44" s="164">
        <v>3.08575</v>
      </c>
      <c r="ER44" s="164">
        <v>2.9944000000000002</v>
      </c>
      <c r="ES44" s="164">
        <v>2.9910000000000001</v>
      </c>
      <c r="ET44" s="164">
        <v>3.01315</v>
      </c>
      <c r="EU44" s="164">
        <v>2.9512380952381001</v>
      </c>
      <c r="EV44" s="164">
        <v>2.9103181818181798</v>
      </c>
      <c r="EW44" s="164">
        <v>2.8725999999999998</v>
      </c>
      <c r="EX44" s="164">
        <v>2.8856190476190502</v>
      </c>
      <c r="EY44" s="164">
        <v>2.8783684210526301</v>
      </c>
      <c r="EZ44" s="164">
        <v>2.8573</v>
      </c>
      <c r="FA44" s="164">
        <v>2.8548</v>
      </c>
      <c r="FB44" s="164">
        <v>2.8403043478260899</v>
      </c>
      <c r="FC44" s="164">
        <v>2.8406500000000001</v>
      </c>
      <c r="FD44" s="164">
        <v>2.8461428571428602</v>
      </c>
      <c r="FE44" s="164">
        <v>2.8386499999999999</v>
      </c>
      <c r="FF44" s="164">
        <v>2.8234210526315802</v>
      </c>
      <c r="FG44" s="164">
        <v>2.8025238095238101</v>
      </c>
      <c r="FH44" s="164">
        <v>2.7910909090909102</v>
      </c>
      <c r="FI44" s="164">
        <v>2.7920500000000001</v>
      </c>
      <c r="FJ44" s="164">
        <v>2.8061428571428602</v>
      </c>
      <c r="FK44" s="164">
        <v>2.8163499999999999</v>
      </c>
      <c r="FL44" s="164">
        <v>2.78780952380952</v>
      </c>
      <c r="FM44" s="164">
        <v>2.77115</v>
      </c>
      <c r="FN44" s="164">
        <v>2.7798695652173899</v>
      </c>
      <c r="FO44" s="164">
        <v>2.8162631578947401</v>
      </c>
      <c r="FP44" s="164">
        <v>2.7755714285714301</v>
      </c>
      <c r="FQ44" s="164">
        <v>2.7647142857142901</v>
      </c>
      <c r="FR44" s="164">
        <v>2.7418947368421098</v>
      </c>
      <c r="FS44" s="164">
        <v>2.74</v>
      </c>
      <c r="FT44" s="164">
        <v>2.7443181818181799</v>
      </c>
      <c r="FU44" s="164">
        <v>2.7324000000000002</v>
      </c>
      <c r="FV44" s="164">
        <v>2.70561904761905</v>
      </c>
      <c r="FW44" s="164">
        <v>2.6968947368421099</v>
      </c>
      <c r="FX44" s="164">
        <v>2.6933181818181802</v>
      </c>
      <c r="FY44" s="164">
        <v>2.6842380952381002</v>
      </c>
      <c r="FZ44" s="164">
        <v>2.6715909090909098</v>
      </c>
      <c r="GA44" s="164">
        <v>2.6576666666666702</v>
      </c>
      <c r="GB44" s="164">
        <v>2.6699545454545501</v>
      </c>
      <c r="GC44" s="164">
        <v>2.6711499999999999</v>
      </c>
      <c r="GD44" s="164">
        <v>2.6357619047619001</v>
      </c>
      <c r="GE44" s="164">
        <v>2.6165238095238101</v>
      </c>
      <c r="GF44" s="164">
        <v>2.6032999999999999</v>
      </c>
      <c r="GG44" s="164">
        <v>2.5880999999999998</v>
      </c>
      <c r="GH44" s="164">
        <v>2.5991499999999998</v>
      </c>
      <c r="GI44" s="164">
        <v>2.5675555555555598</v>
      </c>
    </row>
    <row r="45" spans="1:192">
      <c r="P45" s="77"/>
    </row>
    <row r="46" spans="1:192" s="77" customFormat="1">
      <c r="A46" s="162"/>
      <c r="B46" s="1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</row>
    <row r="47" spans="1:192">
      <c r="P47" s="77"/>
    </row>
    <row r="48" spans="1:192">
      <c r="P48" s="77"/>
    </row>
  </sheetData>
  <mergeCells count="1">
    <mergeCell ref="E2:H2"/>
  </mergeCells>
  <hyperlinks>
    <hyperlink ref="E2:H2" location="Indice!D3" display="ÍNDICE"/>
  </hyperlink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 codeName="Hoja33">
    <tabColor rgb="FFC00000"/>
  </sheetPr>
  <dimension ref="A1:V19"/>
  <sheetViews>
    <sheetView showGridLines="0" workbookViewId="0">
      <selection activeCell="E2" sqref="E2:H2"/>
    </sheetView>
  </sheetViews>
  <sheetFormatPr baseColWidth="10" defaultColWidth="9.140625" defaultRowHeight="9"/>
  <cols>
    <col min="1" max="1" width="17.42578125" style="91" customWidth="1"/>
    <col min="2" max="14" width="7.28515625" style="91" customWidth="1"/>
    <col min="15" max="19" width="9.7109375" style="91" bestFit="1" customWidth="1"/>
    <col min="20" max="100" width="9.140625" style="91"/>
    <col min="101" max="110" width="12" style="91" bestFit="1" customWidth="1"/>
    <col min="111" max="111" width="9.42578125" style="91" customWidth="1"/>
    <col min="112" max="113" width="12" style="91" bestFit="1" customWidth="1"/>
    <col min="114" max="356" width="9.140625" style="91"/>
    <col min="357" max="366" width="12" style="91" bestFit="1" customWidth="1"/>
    <col min="367" max="367" width="9.42578125" style="91" customWidth="1"/>
    <col min="368" max="369" width="12" style="91" bestFit="1" customWidth="1"/>
    <col min="370" max="612" width="9.140625" style="91"/>
    <col min="613" max="622" width="12" style="91" bestFit="1" customWidth="1"/>
    <col min="623" max="623" width="9.42578125" style="91" customWidth="1"/>
    <col min="624" max="625" width="12" style="91" bestFit="1" customWidth="1"/>
    <col min="626" max="868" width="9.140625" style="91"/>
    <col min="869" max="878" width="12" style="91" bestFit="1" customWidth="1"/>
    <col min="879" max="879" width="9.42578125" style="91" customWidth="1"/>
    <col min="880" max="881" width="12" style="91" bestFit="1" customWidth="1"/>
    <col min="882" max="1124" width="9.140625" style="91"/>
    <col min="1125" max="1134" width="12" style="91" bestFit="1" customWidth="1"/>
    <col min="1135" max="1135" width="9.42578125" style="91" customWidth="1"/>
    <col min="1136" max="1137" width="12" style="91" bestFit="1" customWidth="1"/>
    <col min="1138" max="1380" width="9.140625" style="91"/>
    <col min="1381" max="1390" width="12" style="91" bestFit="1" customWidth="1"/>
    <col min="1391" max="1391" width="9.42578125" style="91" customWidth="1"/>
    <col min="1392" max="1393" width="12" style="91" bestFit="1" customWidth="1"/>
    <col min="1394" max="1636" width="9.140625" style="91"/>
    <col min="1637" max="1646" width="12" style="91" bestFit="1" customWidth="1"/>
    <col min="1647" max="1647" width="9.42578125" style="91" customWidth="1"/>
    <col min="1648" max="1649" width="12" style="91" bestFit="1" customWidth="1"/>
    <col min="1650" max="1892" width="9.140625" style="91"/>
    <col min="1893" max="1902" width="12" style="91" bestFit="1" customWidth="1"/>
    <col min="1903" max="1903" width="9.42578125" style="91" customWidth="1"/>
    <col min="1904" max="1905" width="12" style="91" bestFit="1" customWidth="1"/>
    <col min="1906" max="2148" width="9.140625" style="91"/>
    <col min="2149" max="2158" width="12" style="91" bestFit="1" customWidth="1"/>
    <col min="2159" max="2159" width="9.42578125" style="91" customWidth="1"/>
    <col min="2160" max="2161" width="12" style="91" bestFit="1" customWidth="1"/>
    <col min="2162" max="2404" width="9.140625" style="91"/>
    <col min="2405" max="2414" width="12" style="91" bestFit="1" customWidth="1"/>
    <col min="2415" max="2415" width="9.42578125" style="91" customWidth="1"/>
    <col min="2416" max="2417" width="12" style="91" bestFit="1" customWidth="1"/>
    <col min="2418" max="2660" width="9.140625" style="91"/>
    <col min="2661" max="2670" width="12" style="91" bestFit="1" customWidth="1"/>
    <col min="2671" max="2671" width="9.42578125" style="91" customWidth="1"/>
    <col min="2672" max="2673" width="12" style="91" bestFit="1" customWidth="1"/>
    <col min="2674" max="2916" width="9.140625" style="91"/>
    <col min="2917" max="2926" width="12" style="91" bestFit="1" customWidth="1"/>
    <col min="2927" max="2927" width="9.42578125" style="91" customWidth="1"/>
    <col min="2928" max="2929" width="12" style="91" bestFit="1" customWidth="1"/>
    <col min="2930" max="3172" width="9.140625" style="91"/>
    <col min="3173" max="3182" width="12" style="91" bestFit="1" customWidth="1"/>
    <col min="3183" max="3183" width="9.42578125" style="91" customWidth="1"/>
    <col min="3184" max="3185" width="12" style="91" bestFit="1" customWidth="1"/>
    <col min="3186" max="3428" width="9.140625" style="91"/>
    <col min="3429" max="3438" width="12" style="91" bestFit="1" customWidth="1"/>
    <col min="3439" max="3439" width="9.42578125" style="91" customWidth="1"/>
    <col min="3440" max="3441" width="12" style="91" bestFit="1" customWidth="1"/>
    <col min="3442" max="3684" width="9.140625" style="91"/>
    <col min="3685" max="3694" width="12" style="91" bestFit="1" customWidth="1"/>
    <col min="3695" max="3695" width="9.42578125" style="91" customWidth="1"/>
    <col min="3696" max="3697" width="12" style="91" bestFit="1" customWidth="1"/>
    <col min="3698" max="3940" width="9.140625" style="91"/>
    <col min="3941" max="3950" width="12" style="91" bestFit="1" customWidth="1"/>
    <col min="3951" max="3951" width="9.42578125" style="91" customWidth="1"/>
    <col min="3952" max="3953" width="12" style="91" bestFit="1" customWidth="1"/>
    <col min="3954" max="4196" width="9.140625" style="91"/>
    <col min="4197" max="4206" width="12" style="91" bestFit="1" customWidth="1"/>
    <col min="4207" max="4207" width="9.42578125" style="91" customWidth="1"/>
    <col min="4208" max="4209" width="12" style="91" bestFit="1" customWidth="1"/>
    <col min="4210" max="4452" width="9.140625" style="91"/>
    <col min="4453" max="4462" width="12" style="91" bestFit="1" customWidth="1"/>
    <col min="4463" max="4463" width="9.42578125" style="91" customWidth="1"/>
    <col min="4464" max="4465" width="12" style="91" bestFit="1" customWidth="1"/>
    <col min="4466" max="4708" width="9.140625" style="91"/>
    <col min="4709" max="4718" width="12" style="91" bestFit="1" customWidth="1"/>
    <col min="4719" max="4719" width="9.42578125" style="91" customWidth="1"/>
    <col min="4720" max="4721" width="12" style="91" bestFit="1" customWidth="1"/>
    <col min="4722" max="4964" width="9.140625" style="91"/>
    <col min="4965" max="4974" width="12" style="91" bestFit="1" customWidth="1"/>
    <col min="4975" max="4975" width="9.42578125" style="91" customWidth="1"/>
    <col min="4976" max="4977" width="12" style="91" bestFit="1" customWidth="1"/>
    <col min="4978" max="5220" width="9.140625" style="91"/>
    <col min="5221" max="5230" width="12" style="91" bestFit="1" customWidth="1"/>
    <col min="5231" max="5231" width="9.42578125" style="91" customWidth="1"/>
    <col min="5232" max="5233" width="12" style="91" bestFit="1" customWidth="1"/>
    <col min="5234" max="5476" width="9.140625" style="91"/>
    <col min="5477" max="5486" width="12" style="91" bestFit="1" customWidth="1"/>
    <col min="5487" max="5487" width="9.42578125" style="91" customWidth="1"/>
    <col min="5488" max="5489" width="12" style="91" bestFit="1" customWidth="1"/>
    <col min="5490" max="5732" width="9.140625" style="91"/>
    <col min="5733" max="5742" width="12" style="91" bestFit="1" customWidth="1"/>
    <col min="5743" max="5743" width="9.42578125" style="91" customWidth="1"/>
    <col min="5744" max="5745" width="12" style="91" bestFit="1" customWidth="1"/>
    <col min="5746" max="5988" width="9.140625" style="91"/>
    <col min="5989" max="5998" width="12" style="91" bestFit="1" customWidth="1"/>
    <col min="5999" max="5999" width="9.42578125" style="91" customWidth="1"/>
    <col min="6000" max="6001" width="12" style="91" bestFit="1" customWidth="1"/>
    <col min="6002" max="6244" width="9.140625" style="91"/>
    <col min="6245" max="6254" width="12" style="91" bestFit="1" customWidth="1"/>
    <col min="6255" max="6255" width="9.42578125" style="91" customWidth="1"/>
    <col min="6256" max="6257" width="12" style="91" bestFit="1" customWidth="1"/>
    <col min="6258" max="6500" width="9.140625" style="91"/>
    <col min="6501" max="6510" width="12" style="91" bestFit="1" customWidth="1"/>
    <col min="6511" max="6511" width="9.42578125" style="91" customWidth="1"/>
    <col min="6512" max="6513" width="12" style="91" bestFit="1" customWidth="1"/>
    <col min="6514" max="6756" width="9.140625" style="91"/>
    <col min="6757" max="6766" width="12" style="91" bestFit="1" customWidth="1"/>
    <col min="6767" max="6767" width="9.42578125" style="91" customWidth="1"/>
    <col min="6768" max="6769" width="12" style="91" bestFit="1" customWidth="1"/>
    <col min="6770" max="7012" width="9.140625" style="91"/>
    <col min="7013" max="7022" width="12" style="91" bestFit="1" customWidth="1"/>
    <col min="7023" max="7023" width="9.42578125" style="91" customWidth="1"/>
    <col min="7024" max="7025" width="12" style="91" bestFit="1" customWidth="1"/>
    <col min="7026" max="7268" width="9.140625" style="91"/>
    <col min="7269" max="7278" width="12" style="91" bestFit="1" customWidth="1"/>
    <col min="7279" max="7279" width="9.42578125" style="91" customWidth="1"/>
    <col min="7280" max="7281" width="12" style="91" bestFit="1" customWidth="1"/>
    <col min="7282" max="7524" width="9.140625" style="91"/>
    <col min="7525" max="7534" width="12" style="91" bestFit="1" customWidth="1"/>
    <col min="7535" max="7535" width="9.42578125" style="91" customWidth="1"/>
    <col min="7536" max="7537" width="12" style="91" bestFit="1" customWidth="1"/>
    <col min="7538" max="7780" width="9.140625" style="91"/>
    <col min="7781" max="7790" width="12" style="91" bestFit="1" customWidth="1"/>
    <col min="7791" max="7791" width="9.42578125" style="91" customWidth="1"/>
    <col min="7792" max="7793" width="12" style="91" bestFit="1" customWidth="1"/>
    <col min="7794" max="8036" width="9.140625" style="91"/>
    <col min="8037" max="8046" width="12" style="91" bestFit="1" customWidth="1"/>
    <col min="8047" max="8047" width="9.42578125" style="91" customWidth="1"/>
    <col min="8048" max="8049" width="12" style="91" bestFit="1" customWidth="1"/>
    <col min="8050" max="8292" width="9.140625" style="91"/>
    <col min="8293" max="8302" width="12" style="91" bestFit="1" customWidth="1"/>
    <col min="8303" max="8303" width="9.42578125" style="91" customWidth="1"/>
    <col min="8304" max="8305" width="12" style="91" bestFit="1" customWidth="1"/>
    <col min="8306" max="8548" width="9.140625" style="91"/>
    <col min="8549" max="8558" width="12" style="91" bestFit="1" customWidth="1"/>
    <col min="8559" max="8559" width="9.42578125" style="91" customWidth="1"/>
    <col min="8560" max="8561" width="12" style="91" bestFit="1" customWidth="1"/>
    <col min="8562" max="8804" width="9.140625" style="91"/>
    <col min="8805" max="8814" width="12" style="91" bestFit="1" customWidth="1"/>
    <col min="8815" max="8815" width="9.42578125" style="91" customWidth="1"/>
    <col min="8816" max="8817" width="12" style="91" bestFit="1" customWidth="1"/>
    <col min="8818" max="9060" width="9.140625" style="91"/>
    <col min="9061" max="9070" width="12" style="91" bestFit="1" customWidth="1"/>
    <col min="9071" max="9071" width="9.42578125" style="91" customWidth="1"/>
    <col min="9072" max="9073" width="12" style="91" bestFit="1" customWidth="1"/>
    <col min="9074" max="9316" width="9.140625" style="91"/>
    <col min="9317" max="9326" width="12" style="91" bestFit="1" customWidth="1"/>
    <col min="9327" max="9327" width="9.42578125" style="91" customWidth="1"/>
    <col min="9328" max="9329" width="12" style="91" bestFit="1" customWidth="1"/>
    <col min="9330" max="9572" width="9.140625" style="91"/>
    <col min="9573" max="9582" width="12" style="91" bestFit="1" customWidth="1"/>
    <col min="9583" max="9583" width="9.42578125" style="91" customWidth="1"/>
    <col min="9584" max="9585" width="12" style="91" bestFit="1" customWidth="1"/>
    <col min="9586" max="9828" width="9.140625" style="91"/>
    <col min="9829" max="9838" width="12" style="91" bestFit="1" customWidth="1"/>
    <col min="9839" max="9839" width="9.42578125" style="91" customWidth="1"/>
    <col min="9840" max="9841" width="12" style="91" bestFit="1" customWidth="1"/>
    <col min="9842" max="10084" width="9.140625" style="91"/>
    <col min="10085" max="10094" width="12" style="91" bestFit="1" customWidth="1"/>
    <col min="10095" max="10095" width="9.42578125" style="91" customWidth="1"/>
    <col min="10096" max="10097" width="12" style="91" bestFit="1" customWidth="1"/>
    <col min="10098" max="10340" width="9.140625" style="91"/>
    <col min="10341" max="10350" width="12" style="91" bestFit="1" customWidth="1"/>
    <col min="10351" max="10351" width="9.42578125" style="91" customWidth="1"/>
    <col min="10352" max="10353" width="12" style="91" bestFit="1" customWidth="1"/>
    <col min="10354" max="10596" width="9.140625" style="91"/>
    <col min="10597" max="10606" width="12" style="91" bestFit="1" customWidth="1"/>
    <col min="10607" max="10607" width="9.42578125" style="91" customWidth="1"/>
    <col min="10608" max="10609" width="12" style="91" bestFit="1" customWidth="1"/>
    <col min="10610" max="10852" width="9.140625" style="91"/>
    <col min="10853" max="10862" width="12" style="91" bestFit="1" customWidth="1"/>
    <col min="10863" max="10863" width="9.42578125" style="91" customWidth="1"/>
    <col min="10864" max="10865" width="12" style="91" bestFit="1" customWidth="1"/>
    <col min="10866" max="11108" width="9.140625" style="91"/>
    <col min="11109" max="11118" width="12" style="91" bestFit="1" customWidth="1"/>
    <col min="11119" max="11119" width="9.42578125" style="91" customWidth="1"/>
    <col min="11120" max="11121" width="12" style="91" bestFit="1" customWidth="1"/>
    <col min="11122" max="11364" width="9.140625" style="91"/>
    <col min="11365" max="11374" width="12" style="91" bestFit="1" customWidth="1"/>
    <col min="11375" max="11375" width="9.42578125" style="91" customWidth="1"/>
    <col min="11376" max="11377" width="12" style="91" bestFit="1" customWidth="1"/>
    <col min="11378" max="11620" width="9.140625" style="91"/>
    <col min="11621" max="11630" width="12" style="91" bestFit="1" customWidth="1"/>
    <col min="11631" max="11631" width="9.42578125" style="91" customWidth="1"/>
    <col min="11632" max="11633" width="12" style="91" bestFit="1" customWidth="1"/>
    <col min="11634" max="11876" width="9.140625" style="91"/>
    <col min="11877" max="11886" width="12" style="91" bestFit="1" customWidth="1"/>
    <col min="11887" max="11887" width="9.42578125" style="91" customWidth="1"/>
    <col min="11888" max="11889" width="12" style="91" bestFit="1" customWidth="1"/>
    <col min="11890" max="12132" width="9.140625" style="91"/>
    <col min="12133" max="12142" width="12" style="91" bestFit="1" customWidth="1"/>
    <col min="12143" max="12143" width="9.42578125" style="91" customWidth="1"/>
    <col min="12144" max="12145" width="12" style="91" bestFit="1" customWidth="1"/>
    <col min="12146" max="12388" width="9.140625" style="91"/>
    <col min="12389" max="12398" width="12" style="91" bestFit="1" customWidth="1"/>
    <col min="12399" max="12399" width="9.42578125" style="91" customWidth="1"/>
    <col min="12400" max="12401" width="12" style="91" bestFit="1" customWidth="1"/>
    <col min="12402" max="12644" width="9.140625" style="91"/>
    <col min="12645" max="12654" width="12" style="91" bestFit="1" customWidth="1"/>
    <col min="12655" max="12655" width="9.42578125" style="91" customWidth="1"/>
    <col min="12656" max="12657" width="12" style="91" bestFit="1" customWidth="1"/>
    <col min="12658" max="12900" width="9.140625" style="91"/>
    <col min="12901" max="12910" width="12" style="91" bestFit="1" customWidth="1"/>
    <col min="12911" max="12911" width="9.42578125" style="91" customWidth="1"/>
    <col min="12912" max="12913" width="12" style="91" bestFit="1" customWidth="1"/>
    <col min="12914" max="13156" width="9.140625" style="91"/>
    <col min="13157" max="13166" width="12" style="91" bestFit="1" customWidth="1"/>
    <col min="13167" max="13167" width="9.42578125" style="91" customWidth="1"/>
    <col min="13168" max="13169" width="12" style="91" bestFit="1" customWidth="1"/>
    <col min="13170" max="13412" width="9.140625" style="91"/>
    <col min="13413" max="13422" width="12" style="91" bestFit="1" customWidth="1"/>
    <col min="13423" max="13423" width="9.42578125" style="91" customWidth="1"/>
    <col min="13424" max="13425" width="12" style="91" bestFit="1" customWidth="1"/>
    <col min="13426" max="13668" width="9.140625" style="91"/>
    <col min="13669" max="13678" width="12" style="91" bestFit="1" customWidth="1"/>
    <col min="13679" max="13679" width="9.42578125" style="91" customWidth="1"/>
    <col min="13680" max="13681" width="12" style="91" bestFit="1" customWidth="1"/>
    <col min="13682" max="13924" width="9.140625" style="91"/>
    <col min="13925" max="13934" width="12" style="91" bestFit="1" customWidth="1"/>
    <col min="13935" max="13935" width="9.42578125" style="91" customWidth="1"/>
    <col min="13936" max="13937" width="12" style="91" bestFit="1" customWidth="1"/>
    <col min="13938" max="14180" width="9.140625" style="91"/>
    <col min="14181" max="14190" width="12" style="91" bestFit="1" customWidth="1"/>
    <col min="14191" max="14191" width="9.42578125" style="91" customWidth="1"/>
    <col min="14192" max="14193" width="12" style="91" bestFit="1" customWidth="1"/>
    <col min="14194" max="14436" width="9.140625" style="91"/>
    <col min="14437" max="14446" width="12" style="91" bestFit="1" customWidth="1"/>
    <col min="14447" max="14447" width="9.42578125" style="91" customWidth="1"/>
    <col min="14448" max="14449" width="12" style="91" bestFit="1" customWidth="1"/>
    <col min="14450" max="14692" width="9.140625" style="91"/>
    <col min="14693" max="14702" width="12" style="91" bestFit="1" customWidth="1"/>
    <col min="14703" max="14703" width="9.42578125" style="91" customWidth="1"/>
    <col min="14704" max="14705" width="12" style="91" bestFit="1" customWidth="1"/>
    <col min="14706" max="14948" width="9.140625" style="91"/>
    <col min="14949" max="14958" width="12" style="91" bestFit="1" customWidth="1"/>
    <col min="14959" max="14959" width="9.42578125" style="91" customWidth="1"/>
    <col min="14960" max="14961" width="12" style="91" bestFit="1" customWidth="1"/>
    <col min="14962" max="15204" width="9.140625" style="91"/>
    <col min="15205" max="15214" width="12" style="91" bestFit="1" customWidth="1"/>
    <col min="15215" max="15215" width="9.42578125" style="91" customWidth="1"/>
    <col min="15216" max="15217" width="12" style="91" bestFit="1" customWidth="1"/>
    <col min="15218" max="15460" width="9.140625" style="91"/>
    <col min="15461" max="15470" width="12" style="91" bestFit="1" customWidth="1"/>
    <col min="15471" max="15471" width="9.42578125" style="91" customWidth="1"/>
    <col min="15472" max="15473" width="12" style="91" bestFit="1" customWidth="1"/>
    <col min="15474" max="15716" width="9.140625" style="91"/>
    <col min="15717" max="15726" width="12" style="91" bestFit="1" customWidth="1"/>
    <col min="15727" max="15727" width="9.42578125" style="91" customWidth="1"/>
    <col min="15728" max="15729" width="12" style="91" bestFit="1" customWidth="1"/>
    <col min="15730" max="15972" width="9.140625" style="91"/>
    <col min="15973" max="15982" width="12" style="91" bestFit="1" customWidth="1"/>
    <col min="15983" max="15983" width="9.42578125" style="91" customWidth="1"/>
    <col min="15984" max="15985" width="12" style="91" bestFit="1" customWidth="1"/>
    <col min="15986" max="16384" width="9.140625" style="91"/>
  </cols>
  <sheetData>
    <row r="1" spans="1:22" s="41" customFormat="1"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Q1" s="91"/>
      <c r="R1" s="91"/>
      <c r="S1" s="91"/>
      <c r="T1" s="91"/>
      <c r="U1" s="91"/>
      <c r="V1" s="91"/>
    </row>
    <row r="2" spans="1:22" ht="15">
      <c r="A2" s="198"/>
      <c r="B2" s="199"/>
      <c r="C2" s="199"/>
      <c r="D2" s="199"/>
      <c r="E2" s="444" t="s">
        <v>555</v>
      </c>
      <c r="F2" s="444"/>
      <c r="G2" s="444"/>
      <c r="H2" s="444"/>
      <c r="I2" s="199"/>
      <c r="J2" s="199"/>
      <c r="K2" s="201"/>
      <c r="L2" s="201"/>
      <c r="M2" s="201"/>
      <c r="N2" s="202"/>
      <c r="O2" s="41"/>
      <c r="P2" s="198"/>
    </row>
    <row r="3" spans="1:22"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41"/>
    </row>
    <row r="4" spans="1:22"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</row>
    <row r="5" spans="1:22" s="41" customFormat="1" ht="9.75" thickBot="1">
      <c r="A5" s="88" t="s">
        <v>403</v>
      </c>
      <c r="B5" s="88">
        <v>2000</v>
      </c>
      <c r="C5" s="88">
        <v>2001</v>
      </c>
      <c r="D5" s="88">
        <v>2002</v>
      </c>
      <c r="E5" s="88">
        <v>2003</v>
      </c>
      <c r="F5" s="88">
        <v>2004</v>
      </c>
      <c r="G5" s="88">
        <v>2005</v>
      </c>
      <c r="H5" s="88">
        <v>2006</v>
      </c>
      <c r="I5" s="88">
        <v>2007</v>
      </c>
      <c r="J5" s="88">
        <v>2008</v>
      </c>
      <c r="K5" s="88">
        <v>2009</v>
      </c>
      <c r="L5" s="88">
        <v>2010</v>
      </c>
      <c r="M5" s="88">
        <v>2011</v>
      </c>
      <c r="N5" s="88">
        <v>2012</v>
      </c>
    </row>
    <row r="6" spans="1:22" ht="9.75" thickTop="1">
      <c r="A6" s="217" t="s">
        <v>202</v>
      </c>
      <c r="B6" s="217">
        <v>99.652087653210046</v>
      </c>
      <c r="C6" s="217">
        <v>104.14997463663596</v>
      </c>
      <c r="D6" s="217">
        <v>100.40860249556948</v>
      </c>
      <c r="E6" s="217">
        <v>104.30328175662112</v>
      </c>
      <c r="F6" s="217">
        <v>107.40616960892768</v>
      </c>
      <c r="G6" s="217">
        <v>113.59923916948735</v>
      </c>
      <c r="H6" s="217">
        <v>121.6112775546824</v>
      </c>
      <c r="I6" s="217">
        <v>120.66668405670565</v>
      </c>
      <c r="J6" s="217">
        <v>124.51076368860873</v>
      </c>
      <c r="K6" s="217">
        <v>131.59850208862181</v>
      </c>
      <c r="L6" s="217">
        <v>126.82509287259285</v>
      </c>
      <c r="M6" s="217">
        <v>133.35597649458998</v>
      </c>
      <c r="N6" s="217">
        <v>137.60795194140809</v>
      </c>
      <c r="O6" s="41"/>
    </row>
    <row r="7" spans="1:22">
      <c r="A7" s="218" t="s">
        <v>203</v>
      </c>
      <c r="B7" s="218">
        <v>100.02718817918029</v>
      </c>
      <c r="C7" s="218">
        <v>104.54000398557532</v>
      </c>
      <c r="D7" s="218">
        <v>100.45595941828618</v>
      </c>
      <c r="E7" s="218">
        <v>105.2155193760601</v>
      </c>
      <c r="F7" s="218">
        <v>108.9367194084442</v>
      </c>
      <c r="G7" s="218">
        <v>113.56701789678854</v>
      </c>
      <c r="H7" s="218">
        <v>120.70955601641144</v>
      </c>
      <c r="I7" s="218">
        <v>119.42959362383326</v>
      </c>
      <c r="J7" s="218">
        <v>125.7236314124759</v>
      </c>
      <c r="K7" s="218">
        <v>129.32688916162792</v>
      </c>
      <c r="L7" s="218">
        <v>126.73852436298898</v>
      </c>
      <c r="M7" s="218">
        <v>133.77740097289163</v>
      </c>
      <c r="N7" s="218">
        <v>138.19941879890857</v>
      </c>
      <c r="O7" s="41"/>
      <c r="P7" s="41"/>
    </row>
    <row r="8" spans="1:22">
      <c r="A8" s="217" t="s">
        <v>204</v>
      </c>
      <c r="B8" s="217">
        <v>100.17795616709957</v>
      </c>
      <c r="C8" s="217">
        <v>103.89212123239682</v>
      </c>
      <c r="D8" s="217">
        <v>100.49677164979865</v>
      </c>
      <c r="E8" s="217">
        <v>106.50858344677239</v>
      </c>
      <c r="F8" s="217">
        <v>109.94822404524778</v>
      </c>
      <c r="G8" s="217">
        <v>114.4082885999302</v>
      </c>
      <c r="H8" s="217">
        <v>121.68500660868075</v>
      </c>
      <c r="I8" s="217">
        <v>119.77516926503047</v>
      </c>
      <c r="J8" s="217">
        <v>125.67040101574807</v>
      </c>
      <c r="K8" s="217">
        <v>128.45210018087192</v>
      </c>
      <c r="L8" s="217">
        <v>126.95273984852717</v>
      </c>
      <c r="M8" s="217">
        <v>133.77900239408908</v>
      </c>
      <c r="N8" s="217">
        <v>139.60658616844032</v>
      </c>
      <c r="O8" s="41"/>
      <c r="P8" s="41"/>
    </row>
    <row r="9" spans="1:22" s="41" customFormat="1">
      <c r="A9" s="218" t="s">
        <v>205</v>
      </c>
      <c r="B9" s="218">
        <v>100.84199628038508</v>
      </c>
      <c r="C9" s="218">
        <v>103.78917455733863</v>
      </c>
      <c r="D9" s="218">
        <v>101.63244434874316</v>
      </c>
      <c r="E9" s="218">
        <v>106.49843843766233</v>
      </c>
      <c r="F9" s="218">
        <v>110.8060523020099</v>
      </c>
      <c r="G9" s="218">
        <v>115.26658422369663</v>
      </c>
      <c r="H9" s="218">
        <v>122.03695234177765</v>
      </c>
      <c r="I9" s="218">
        <v>120.15560691251514</v>
      </c>
      <c r="J9" s="218">
        <v>125.70667004133857</v>
      </c>
      <c r="K9" s="218">
        <v>126.84958181641611</v>
      </c>
      <c r="L9" s="218">
        <v>128.07690400709879</v>
      </c>
      <c r="M9" s="218">
        <v>134.49653292634326</v>
      </c>
      <c r="N9" s="218">
        <v>139.82890117205133</v>
      </c>
      <c r="O9" s="91"/>
    </row>
    <row r="10" spans="1:22">
      <c r="A10" s="217" t="s">
        <v>206</v>
      </c>
      <c r="B10" s="217">
        <v>101.20881738240162</v>
      </c>
      <c r="C10" s="217">
        <v>104.69389016952539</v>
      </c>
      <c r="D10" s="217">
        <v>101.85303872733202</v>
      </c>
      <c r="E10" s="217">
        <v>106.0704952833234</v>
      </c>
      <c r="F10" s="217">
        <v>111.92285067375968</v>
      </c>
      <c r="G10" s="217">
        <v>115.80116458279744</v>
      </c>
      <c r="H10" s="217">
        <v>122.37099109771859</v>
      </c>
      <c r="I10" s="217">
        <v>121.71979289918376</v>
      </c>
      <c r="J10" s="217">
        <v>127.7464789002189</v>
      </c>
      <c r="K10" s="217">
        <v>125.26247815023662</v>
      </c>
      <c r="L10" s="217">
        <v>130.43463956185508</v>
      </c>
      <c r="M10" s="217">
        <v>134.50895044441515</v>
      </c>
      <c r="N10" s="217">
        <v>139.39344545875466</v>
      </c>
      <c r="P10" s="203"/>
      <c r="Q10" s="203"/>
    </row>
    <row r="11" spans="1:22" s="41" customFormat="1">
      <c r="A11" s="218" t="s">
        <v>207</v>
      </c>
      <c r="B11" s="218">
        <v>101.32507735150422</v>
      </c>
      <c r="C11" s="218">
        <v>104.40572378921193</v>
      </c>
      <c r="D11" s="218">
        <v>102.1169127660043</v>
      </c>
      <c r="E11" s="218">
        <v>105.99989801536842</v>
      </c>
      <c r="F11" s="218">
        <v>112.60295974735601</v>
      </c>
      <c r="G11" s="218">
        <v>116.13077195920572</v>
      </c>
      <c r="H11" s="218">
        <v>122.60961217500288</v>
      </c>
      <c r="I11" s="218">
        <v>123.30130654018605</v>
      </c>
      <c r="J11" s="218">
        <v>130.87036319254275</v>
      </c>
      <c r="K11" s="218">
        <v>124.70754111713961</v>
      </c>
      <c r="L11" s="218">
        <v>130.50591387129424</v>
      </c>
      <c r="M11" s="218">
        <v>135.65682425665966</v>
      </c>
      <c r="N11" s="218">
        <v>139.11073423892205</v>
      </c>
      <c r="O11" s="91"/>
      <c r="P11" s="203"/>
      <c r="Q11" s="203"/>
    </row>
    <row r="12" spans="1:22">
      <c r="A12" s="217" t="s">
        <v>208</v>
      </c>
      <c r="B12" s="217">
        <v>101.91369949579865</v>
      </c>
      <c r="C12" s="217">
        <v>103.20176231245046</v>
      </c>
      <c r="D12" s="217">
        <v>103.06019877534158</v>
      </c>
      <c r="E12" s="217">
        <v>105.57342439439049</v>
      </c>
      <c r="F12" s="217">
        <v>112.56848460342694</v>
      </c>
      <c r="G12" s="217">
        <v>116.26759620592526</v>
      </c>
      <c r="H12" s="217">
        <v>122.61094852624052</v>
      </c>
      <c r="I12" s="217">
        <v>123.77327240472513</v>
      </c>
      <c r="J12" s="217">
        <v>132.14556105613684</v>
      </c>
      <c r="K12" s="217">
        <v>125.03769054090704</v>
      </c>
      <c r="L12" s="217">
        <v>129.93162000084138</v>
      </c>
      <c r="M12" s="217">
        <v>135.86761078787936</v>
      </c>
      <c r="N12" s="217">
        <v>136.86868334273552</v>
      </c>
      <c r="P12" s="376"/>
      <c r="Q12" s="199"/>
      <c r="R12" s="272"/>
    </row>
    <row r="13" spans="1:22">
      <c r="A13" s="218" t="s">
        <v>209</v>
      </c>
      <c r="B13" s="218">
        <v>101.79919160289018</v>
      </c>
      <c r="C13" s="247">
        <v>102.57420258180834</v>
      </c>
      <c r="D13" s="247">
        <v>103.65902223022681</v>
      </c>
      <c r="E13" s="247">
        <v>105.90405801089204</v>
      </c>
      <c r="F13" s="247">
        <v>112.385307024063</v>
      </c>
      <c r="G13" s="247">
        <v>117.47058373178474</v>
      </c>
      <c r="H13" s="247">
        <v>122.85022684241926</v>
      </c>
      <c r="I13" s="247">
        <v>124.72226544277653</v>
      </c>
      <c r="J13" s="247">
        <v>134.33341770013146</v>
      </c>
      <c r="K13" s="247">
        <v>124.62119134202403</v>
      </c>
      <c r="L13" s="247">
        <v>129.55839657918105</v>
      </c>
      <c r="M13" s="247">
        <v>136.4485734716514</v>
      </c>
      <c r="N13" s="247">
        <v>136.94355253407554</v>
      </c>
      <c r="P13" s="41"/>
    </row>
    <row r="14" spans="1:22">
      <c r="A14" s="217" t="s">
        <v>210</v>
      </c>
      <c r="B14" s="217">
        <v>102.80556413322637</v>
      </c>
      <c r="C14" s="217">
        <v>102.74272404445568</v>
      </c>
      <c r="D14" s="217">
        <v>104.90179044092906</v>
      </c>
      <c r="E14" s="217">
        <v>106.58648890578158</v>
      </c>
      <c r="F14" s="217">
        <v>112.40656270974891</v>
      </c>
      <c r="G14" s="217">
        <v>118.82913199000227</v>
      </c>
      <c r="H14" s="217">
        <v>122.95226932864003</v>
      </c>
      <c r="I14" s="217">
        <v>124.82429382127</v>
      </c>
      <c r="J14" s="217">
        <v>136.66394708511936</v>
      </c>
      <c r="K14" s="217">
        <v>125.18126902388202</v>
      </c>
      <c r="L14" s="217">
        <v>129.29535774385371</v>
      </c>
      <c r="M14" s="217">
        <v>137.50998361153199</v>
      </c>
      <c r="N14" s="217">
        <v>137.94143117711656</v>
      </c>
    </row>
    <row r="15" spans="1:22">
      <c r="A15" s="218" t="s">
        <v>211</v>
      </c>
      <c r="B15" s="218">
        <v>103.37041100350133</v>
      </c>
      <c r="C15" s="247">
        <v>101.70141612176413</v>
      </c>
      <c r="D15" s="247">
        <v>105.2373568437134</v>
      </c>
      <c r="E15" s="247">
        <v>106.5809061286111</v>
      </c>
      <c r="F15" s="247">
        <v>112.81335695707222</v>
      </c>
      <c r="G15" s="247">
        <v>120.04210002110518</v>
      </c>
      <c r="H15" s="247">
        <v>122.62554575290264</v>
      </c>
      <c r="I15" s="247">
        <v>123.90552988950094</v>
      </c>
      <c r="J15" s="247">
        <v>137.25509968975732</v>
      </c>
      <c r="K15" s="247">
        <v>124.953613792468</v>
      </c>
      <c r="L15" s="247">
        <v>129.65985016485641</v>
      </c>
      <c r="M15" s="247">
        <v>137.81619222198381</v>
      </c>
      <c r="N15" s="247">
        <v>137.44788191344517</v>
      </c>
    </row>
    <row r="16" spans="1:22">
      <c r="A16" s="217" t="s">
        <v>212</v>
      </c>
      <c r="B16" s="217">
        <v>104.40237831639925</v>
      </c>
      <c r="C16" s="217">
        <v>100.73372387353731</v>
      </c>
      <c r="D16" s="217">
        <v>105.09528258098868</v>
      </c>
      <c r="E16" s="217">
        <v>106.72138104099747</v>
      </c>
      <c r="F16" s="217">
        <v>113.96213003986395</v>
      </c>
      <c r="G16" s="217">
        <v>120.53131225875981</v>
      </c>
      <c r="H16" s="217">
        <v>122.21888857056334</v>
      </c>
      <c r="I16" s="217">
        <v>124.16694439475245</v>
      </c>
      <c r="J16" s="217">
        <v>136.60371381962011</v>
      </c>
      <c r="K16" s="217">
        <v>125.27965165499897</v>
      </c>
      <c r="L16" s="217">
        <v>131.47420498607568</v>
      </c>
      <c r="M16" s="217">
        <v>138.41296086696596</v>
      </c>
      <c r="N16" s="217">
        <v>136.7160514522329</v>
      </c>
    </row>
    <row r="17" spans="1:18">
      <c r="A17" s="218" t="s">
        <v>213</v>
      </c>
      <c r="B17" s="218">
        <v>104.15377220386735</v>
      </c>
      <c r="C17" s="218">
        <v>100</v>
      </c>
      <c r="D17" s="218">
        <v>104.30329004005733</v>
      </c>
      <c r="E17" s="218">
        <v>107.14885876976248</v>
      </c>
      <c r="F17" s="218">
        <v>113.23338619408175</v>
      </c>
      <c r="G17" s="218">
        <v>121.57555070587975</v>
      </c>
      <c r="H17" s="218">
        <v>121.43813121660891</v>
      </c>
      <c r="I17" s="218">
        <v>124.52516949023639</v>
      </c>
      <c r="J17" s="218">
        <v>134.94986973105762</v>
      </c>
      <c r="K17" s="218">
        <v>125.91119080018373</v>
      </c>
      <c r="L17" s="218">
        <v>132.04062752123852</v>
      </c>
      <c r="M17" s="218">
        <v>138.40726380426105</v>
      </c>
      <c r="N17" s="218">
        <v>136.32284993549843</v>
      </c>
    </row>
    <row r="18" spans="1:18" s="254" customFormat="1" ht="11.25">
      <c r="A18" s="238" t="s">
        <v>147</v>
      </c>
      <c r="B18" s="238">
        <f>+AVERAGE(B6:B17)</f>
        <v>101.80651164745535</v>
      </c>
      <c r="C18" s="238">
        <f t="shared" ref="C18:N18" si="0">+AVERAGE(C6:C17)</f>
        <v>103.03539310872502</v>
      </c>
      <c r="D18" s="238">
        <f t="shared" si="0"/>
        <v>102.76838919308257</v>
      </c>
      <c r="E18" s="238">
        <f t="shared" si="0"/>
        <v>106.09261113052027</v>
      </c>
      <c r="F18" s="238">
        <f t="shared" si="0"/>
        <v>111.58268360950017</v>
      </c>
      <c r="G18" s="238">
        <f t="shared" si="0"/>
        <v>116.95744511211355</v>
      </c>
      <c r="H18" s="238">
        <f t="shared" si="0"/>
        <v>122.14328383597071</v>
      </c>
      <c r="I18" s="238">
        <f t="shared" si="0"/>
        <v>122.5804690617263</v>
      </c>
      <c r="J18" s="238">
        <f t="shared" si="0"/>
        <v>131.01499311106298</v>
      </c>
      <c r="K18" s="238">
        <f t="shared" si="0"/>
        <v>126.4318083057815</v>
      </c>
      <c r="L18" s="238">
        <f t="shared" si="0"/>
        <v>129.29115596003365</v>
      </c>
      <c r="M18" s="238">
        <f t="shared" si="0"/>
        <v>135.83643935443851</v>
      </c>
      <c r="N18" s="238">
        <f t="shared" si="0"/>
        <v>137.99895734446577</v>
      </c>
      <c r="O18" s="91"/>
    </row>
    <row r="19" spans="1:18" ht="11.25">
      <c r="A19" s="238" t="s">
        <v>467</v>
      </c>
      <c r="B19" s="403"/>
      <c r="C19" s="251">
        <f>+C18/B18-1</f>
        <v>1.2070755017371981E-2</v>
      </c>
      <c r="D19" s="251">
        <f t="shared" ref="D19" si="1">+D18/C18-1</f>
        <v>-2.5913805692059366E-3</v>
      </c>
      <c r="E19" s="251">
        <f t="shared" ref="E19" si="2">+E18/D18-1</f>
        <v>3.2346735835200313E-2</v>
      </c>
      <c r="F19" s="251">
        <f t="shared" ref="F19" si="3">+F18/E18-1</f>
        <v>5.1747924954224533E-2</v>
      </c>
      <c r="G19" s="251">
        <f t="shared" ref="G19" si="4">+G18/F18-1</f>
        <v>4.8168419406573237E-2</v>
      </c>
      <c r="H19" s="251">
        <f t="shared" ref="H19" si="5">+H18/G18-1</f>
        <v>4.4339534938422132E-2</v>
      </c>
      <c r="I19" s="251">
        <f t="shared" ref="I19" si="6">+I18/H18-1</f>
        <v>3.5792817421111955E-3</v>
      </c>
      <c r="J19" s="251">
        <f t="shared" ref="J19" si="7">+J18/I18-1</f>
        <v>6.8808058199625544E-2</v>
      </c>
      <c r="K19" s="251">
        <f t="shared" ref="K19" si="8">+K18/J18-1</f>
        <v>-3.4982139802856471E-2</v>
      </c>
      <c r="L19" s="251">
        <f t="shared" ref="L19" si="9">+L18/K18-1</f>
        <v>2.2615730112288457E-2</v>
      </c>
      <c r="M19" s="251">
        <f t="shared" ref="M19" si="10">+M18/L18-1</f>
        <v>5.0624370598311819E-2</v>
      </c>
      <c r="N19" s="251">
        <f t="shared" ref="N19" si="11">+N18/M18-1</f>
        <v>1.592001380708008E-2</v>
      </c>
      <c r="Q19" s="254"/>
      <c r="R19" s="254"/>
    </row>
  </sheetData>
  <mergeCells count="1">
    <mergeCell ref="E2:H2"/>
  </mergeCells>
  <hyperlinks>
    <hyperlink ref="E2:H2" location="Indice!D3" display="ÍNDICE"/>
  </hyperlinks>
  <pageMargins left="0.7" right="0.7" top="0.75" bottom="0.75" header="0.3" footer="0.3"/>
  <pageSetup paperSize="9" orientation="portrait" r:id="rId1"/>
  <ignoredErrors>
    <ignoredError sqref="B18:N18" formulaRange="1"/>
  </ignoredErrors>
</worksheet>
</file>

<file path=xl/worksheets/sheet42.xml><?xml version="1.0" encoding="utf-8"?>
<worksheet xmlns="http://schemas.openxmlformats.org/spreadsheetml/2006/main" xmlns:r="http://schemas.openxmlformats.org/officeDocument/2006/relationships">
  <sheetPr codeName="Hoja44">
    <tabColor rgb="FFC00000"/>
  </sheetPr>
  <dimension ref="A1:V22"/>
  <sheetViews>
    <sheetView showGridLines="0" workbookViewId="0">
      <selection activeCell="E2" sqref="E2:H2"/>
    </sheetView>
  </sheetViews>
  <sheetFormatPr baseColWidth="10" defaultColWidth="9.140625" defaultRowHeight="9"/>
  <cols>
    <col min="1" max="1" width="10.5703125" style="91" customWidth="1"/>
    <col min="2" max="14" width="7.7109375" style="91" customWidth="1"/>
    <col min="15" max="18" width="9.7109375" style="91" bestFit="1" customWidth="1"/>
    <col min="19" max="88" width="9.140625" style="91"/>
    <col min="89" max="98" width="12" style="91" bestFit="1" customWidth="1"/>
    <col min="99" max="99" width="9.42578125" style="91" customWidth="1"/>
    <col min="100" max="101" width="12" style="91" bestFit="1" customWidth="1"/>
    <col min="102" max="344" width="9.140625" style="91"/>
    <col min="345" max="354" width="12" style="91" bestFit="1" customWidth="1"/>
    <col min="355" max="355" width="9.42578125" style="91" customWidth="1"/>
    <col min="356" max="357" width="12" style="91" bestFit="1" customWidth="1"/>
    <col min="358" max="600" width="9.140625" style="91"/>
    <col min="601" max="610" width="12" style="91" bestFit="1" customWidth="1"/>
    <col min="611" max="611" width="9.42578125" style="91" customWidth="1"/>
    <col min="612" max="613" width="12" style="91" bestFit="1" customWidth="1"/>
    <col min="614" max="856" width="9.140625" style="91"/>
    <col min="857" max="866" width="12" style="91" bestFit="1" customWidth="1"/>
    <col min="867" max="867" width="9.42578125" style="91" customWidth="1"/>
    <col min="868" max="869" width="12" style="91" bestFit="1" customWidth="1"/>
    <col min="870" max="1112" width="9.140625" style="91"/>
    <col min="1113" max="1122" width="12" style="91" bestFit="1" customWidth="1"/>
    <col min="1123" max="1123" width="9.42578125" style="91" customWidth="1"/>
    <col min="1124" max="1125" width="12" style="91" bestFit="1" customWidth="1"/>
    <col min="1126" max="1368" width="9.140625" style="91"/>
    <col min="1369" max="1378" width="12" style="91" bestFit="1" customWidth="1"/>
    <col min="1379" max="1379" width="9.42578125" style="91" customWidth="1"/>
    <col min="1380" max="1381" width="12" style="91" bestFit="1" customWidth="1"/>
    <col min="1382" max="1624" width="9.140625" style="91"/>
    <col min="1625" max="1634" width="12" style="91" bestFit="1" customWidth="1"/>
    <col min="1635" max="1635" width="9.42578125" style="91" customWidth="1"/>
    <col min="1636" max="1637" width="12" style="91" bestFit="1" customWidth="1"/>
    <col min="1638" max="1880" width="9.140625" style="91"/>
    <col min="1881" max="1890" width="12" style="91" bestFit="1" customWidth="1"/>
    <col min="1891" max="1891" width="9.42578125" style="91" customWidth="1"/>
    <col min="1892" max="1893" width="12" style="91" bestFit="1" customWidth="1"/>
    <col min="1894" max="2136" width="9.140625" style="91"/>
    <col min="2137" max="2146" width="12" style="91" bestFit="1" customWidth="1"/>
    <col min="2147" max="2147" width="9.42578125" style="91" customWidth="1"/>
    <col min="2148" max="2149" width="12" style="91" bestFit="1" customWidth="1"/>
    <col min="2150" max="2392" width="9.140625" style="91"/>
    <col min="2393" max="2402" width="12" style="91" bestFit="1" customWidth="1"/>
    <col min="2403" max="2403" width="9.42578125" style="91" customWidth="1"/>
    <col min="2404" max="2405" width="12" style="91" bestFit="1" customWidth="1"/>
    <col min="2406" max="2648" width="9.140625" style="91"/>
    <col min="2649" max="2658" width="12" style="91" bestFit="1" customWidth="1"/>
    <col min="2659" max="2659" width="9.42578125" style="91" customWidth="1"/>
    <col min="2660" max="2661" width="12" style="91" bestFit="1" customWidth="1"/>
    <col min="2662" max="2904" width="9.140625" style="91"/>
    <col min="2905" max="2914" width="12" style="91" bestFit="1" customWidth="1"/>
    <col min="2915" max="2915" width="9.42578125" style="91" customWidth="1"/>
    <col min="2916" max="2917" width="12" style="91" bestFit="1" customWidth="1"/>
    <col min="2918" max="3160" width="9.140625" style="91"/>
    <col min="3161" max="3170" width="12" style="91" bestFit="1" customWidth="1"/>
    <col min="3171" max="3171" width="9.42578125" style="91" customWidth="1"/>
    <col min="3172" max="3173" width="12" style="91" bestFit="1" customWidth="1"/>
    <col min="3174" max="3416" width="9.140625" style="91"/>
    <col min="3417" max="3426" width="12" style="91" bestFit="1" customWidth="1"/>
    <col min="3427" max="3427" width="9.42578125" style="91" customWidth="1"/>
    <col min="3428" max="3429" width="12" style="91" bestFit="1" customWidth="1"/>
    <col min="3430" max="3672" width="9.140625" style="91"/>
    <col min="3673" max="3682" width="12" style="91" bestFit="1" customWidth="1"/>
    <col min="3683" max="3683" width="9.42578125" style="91" customWidth="1"/>
    <col min="3684" max="3685" width="12" style="91" bestFit="1" customWidth="1"/>
    <col min="3686" max="3928" width="9.140625" style="91"/>
    <col min="3929" max="3938" width="12" style="91" bestFit="1" customWidth="1"/>
    <col min="3939" max="3939" width="9.42578125" style="91" customWidth="1"/>
    <col min="3940" max="3941" width="12" style="91" bestFit="1" customWidth="1"/>
    <col min="3942" max="4184" width="9.140625" style="91"/>
    <col min="4185" max="4194" width="12" style="91" bestFit="1" customWidth="1"/>
    <col min="4195" max="4195" width="9.42578125" style="91" customWidth="1"/>
    <col min="4196" max="4197" width="12" style="91" bestFit="1" customWidth="1"/>
    <col min="4198" max="4440" width="9.140625" style="91"/>
    <col min="4441" max="4450" width="12" style="91" bestFit="1" customWidth="1"/>
    <col min="4451" max="4451" width="9.42578125" style="91" customWidth="1"/>
    <col min="4452" max="4453" width="12" style="91" bestFit="1" customWidth="1"/>
    <col min="4454" max="4696" width="9.140625" style="91"/>
    <col min="4697" max="4706" width="12" style="91" bestFit="1" customWidth="1"/>
    <col min="4707" max="4707" width="9.42578125" style="91" customWidth="1"/>
    <col min="4708" max="4709" width="12" style="91" bestFit="1" customWidth="1"/>
    <col min="4710" max="4952" width="9.140625" style="91"/>
    <col min="4953" max="4962" width="12" style="91" bestFit="1" customWidth="1"/>
    <col min="4963" max="4963" width="9.42578125" style="91" customWidth="1"/>
    <col min="4964" max="4965" width="12" style="91" bestFit="1" customWidth="1"/>
    <col min="4966" max="5208" width="9.140625" style="91"/>
    <col min="5209" max="5218" width="12" style="91" bestFit="1" customWidth="1"/>
    <col min="5219" max="5219" width="9.42578125" style="91" customWidth="1"/>
    <col min="5220" max="5221" width="12" style="91" bestFit="1" customWidth="1"/>
    <col min="5222" max="5464" width="9.140625" style="91"/>
    <col min="5465" max="5474" width="12" style="91" bestFit="1" customWidth="1"/>
    <col min="5475" max="5475" width="9.42578125" style="91" customWidth="1"/>
    <col min="5476" max="5477" width="12" style="91" bestFit="1" customWidth="1"/>
    <col min="5478" max="5720" width="9.140625" style="91"/>
    <col min="5721" max="5730" width="12" style="91" bestFit="1" customWidth="1"/>
    <col min="5731" max="5731" width="9.42578125" style="91" customWidth="1"/>
    <col min="5732" max="5733" width="12" style="91" bestFit="1" customWidth="1"/>
    <col min="5734" max="5976" width="9.140625" style="91"/>
    <col min="5977" max="5986" width="12" style="91" bestFit="1" customWidth="1"/>
    <col min="5987" max="5987" width="9.42578125" style="91" customWidth="1"/>
    <col min="5988" max="5989" width="12" style="91" bestFit="1" customWidth="1"/>
    <col min="5990" max="6232" width="9.140625" style="91"/>
    <col min="6233" max="6242" width="12" style="91" bestFit="1" customWidth="1"/>
    <col min="6243" max="6243" width="9.42578125" style="91" customWidth="1"/>
    <col min="6244" max="6245" width="12" style="91" bestFit="1" customWidth="1"/>
    <col min="6246" max="6488" width="9.140625" style="91"/>
    <col min="6489" max="6498" width="12" style="91" bestFit="1" customWidth="1"/>
    <col min="6499" max="6499" width="9.42578125" style="91" customWidth="1"/>
    <col min="6500" max="6501" width="12" style="91" bestFit="1" customWidth="1"/>
    <col min="6502" max="6744" width="9.140625" style="91"/>
    <col min="6745" max="6754" width="12" style="91" bestFit="1" customWidth="1"/>
    <col min="6755" max="6755" width="9.42578125" style="91" customWidth="1"/>
    <col min="6756" max="6757" width="12" style="91" bestFit="1" customWidth="1"/>
    <col min="6758" max="7000" width="9.140625" style="91"/>
    <col min="7001" max="7010" width="12" style="91" bestFit="1" customWidth="1"/>
    <col min="7011" max="7011" width="9.42578125" style="91" customWidth="1"/>
    <col min="7012" max="7013" width="12" style="91" bestFit="1" customWidth="1"/>
    <col min="7014" max="7256" width="9.140625" style="91"/>
    <col min="7257" max="7266" width="12" style="91" bestFit="1" customWidth="1"/>
    <col min="7267" max="7267" width="9.42578125" style="91" customWidth="1"/>
    <col min="7268" max="7269" width="12" style="91" bestFit="1" customWidth="1"/>
    <col min="7270" max="7512" width="9.140625" style="91"/>
    <col min="7513" max="7522" width="12" style="91" bestFit="1" customWidth="1"/>
    <col min="7523" max="7523" width="9.42578125" style="91" customWidth="1"/>
    <col min="7524" max="7525" width="12" style="91" bestFit="1" customWidth="1"/>
    <col min="7526" max="7768" width="9.140625" style="91"/>
    <col min="7769" max="7778" width="12" style="91" bestFit="1" customWidth="1"/>
    <col min="7779" max="7779" width="9.42578125" style="91" customWidth="1"/>
    <col min="7780" max="7781" width="12" style="91" bestFit="1" customWidth="1"/>
    <col min="7782" max="8024" width="9.140625" style="91"/>
    <col min="8025" max="8034" width="12" style="91" bestFit="1" customWidth="1"/>
    <col min="8035" max="8035" width="9.42578125" style="91" customWidth="1"/>
    <col min="8036" max="8037" width="12" style="91" bestFit="1" customWidth="1"/>
    <col min="8038" max="8280" width="9.140625" style="91"/>
    <col min="8281" max="8290" width="12" style="91" bestFit="1" customWidth="1"/>
    <col min="8291" max="8291" width="9.42578125" style="91" customWidth="1"/>
    <col min="8292" max="8293" width="12" style="91" bestFit="1" customWidth="1"/>
    <col min="8294" max="8536" width="9.140625" style="91"/>
    <col min="8537" max="8546" width="12" style="91" bestFit="1" customWidth="1"/>
    <col min="8547" max="8547" width="9.42578125" style="91" customWidth="1"/>
    <col min="8548" max="8549" width="12" style="91" bestFit="1" customWidth="1"/>
    <col min="8550" max="8792" width="9.140625" style="91"/>
    <col min="8793" max="8802" width="12" style="91" bestFit="1" customWidth="1"/>
    <col min="8803" max="8803" width="9.42578125" style="91" customWidth="1"/>
    <col min="8804" max="8805" width="12" style="91" bestFit="1" customWidth="1"/>
    <col min="8806" max="9048" width="9.140625" style="91"/>
    <col min="9049" max="9058" width="12" style="91" bestFit="1" customWidth="1"/>
    <col min="9059" max="9059" width="9.42578125" style="91" customWidth="1"/>
    <col min="9060" max="9061" width="12" style="91" bestFit="1" customWidth="1"/>
    <col min="9062" max="9304" width="9.140625" style="91"/>
    <col min="9305" max="9314" width="12" style="91" bestFit="1" customWidth="1"/>
    <col min="9315" max="9315" width="9.42578125" style="91" customWidth="1"/>
    <col min="9316" max="9317" width="12" style="91" bestFit="1" customWidth="1"/>
    <col min="9318" max="9560" width="9.140625" style="91"/>
    <col min="9561" max="9570" width="12" style="91" bestFit="1" customWidth="1"/>
    <col min="9571" max="9571" width="9.42578125" style="91" customWidth="1"/>
    <col min="9572" max="9573" width="12" style="91" bestFit="1" customWidth="1"/>
    <col min="9574" max="9816" width="9.140625" style="91"/>
    <col min="9817" max="9826" width="12" style="91" bestFit="1" customWidth="1"/>
    <col min="9827" max="9827" width="9.42578125" style="91" customWidth="1"/>
    <col min="9828" max="9829" width="12" style="91" bestFit="1" customWidth="1"/>
    <col min="9830" max="10072" width="9.140625" style="91"/>
    <col min="10073" max="10082" width="12" style="91" bestFit="1" customWidth="1"/>
    <col min="10083" max="10083" width="9.42578125" style="91" customWidth="1"/>
    <col min="10084" max="10085" width="12" style="91" bestFit="1" customWidth="1"/>
    <col min="10086" max="10328" width="9.140625" style="91"/>
    <col min="10329" max="10338" width="12" style="91" bestFit="1" customWidth="1"/>
    <col min="10339" max="10339" width="9.42578125" style="91" customWidth="1"/>
    <col min="10340" max="10341" width="12" style="91" bestFit="1" customWidth="1"/>
    <col min="10342" max="10584" width="9.140625" style="91"/>
    <col min="10585" max="10594" width="12" style="91" bestFit="1" customWidth="1"/>
    <col min="10595" max="10595" width="9.42578125" style="91" customWidth="1"/>
    <col min="10596" max="10597" width="12" style="91" bestFit="1" customWidth="1"/>
    <col min="10598" max="10840" width="9.140625" style="91"/>
    <col min="10841" max="10850" width="12" style="91" bestFit="1" customWidth="1"/>
    <col min="10851" max="10851" width="9.42578125" style="91" customWidth="1"/>
    <col min="10852" max="10853" width="12" style="91" bestFit="1" customWidth="1"/>
    <col min="10854" max="11096" width="9.140625" style="91"/>
    <col min="11097" max="11106" width="12" style="91" bestFit="1" customWidth="1"/>
    <col min="11107" max="11107" width="9.42578125" style="91" customWidth="1"/>
    <col min="11108" max="11109" width="12" style="91" bestFit="1" customWidth="1"/>
    <col min="11110" max="11352" width="9.140625" style="91"/>
    <col min="11353" max="11362" width="12" style="91" bestFit="1" customWidth="1"/>
    <col min="11363" max="11363" width="9.42578125" style="91" customWidth="1"/>
    <col min="11364" max="11365" width="12" style="91" bestFit="1" customWidth="1"/>
    <col min="11366" max="11608" width="9.140625" style="91"/>
    <col min="11609" max="11618" width="12" style="91" bestFit="1" customWidth="1"/>
    <col min="11619" max="11619" width="9.42578125" style="91" customWidth="1"/>
    <col min="11620" max="11621" width="12" style="91" bestFit="1" customWidth="1"/>
    <col min="11622" max="11864" width="9.140625" style="91"/>
    <col min="11865" max="11874" width="12" style="91" bestFit="1" customWidth="1"/>
    <col min="11875" max="11875" width="9.42578125" style="91" customWidth="1"/>
    <col min="11876" max="11877" width="12" style="91" bestFit="1" customWidth="1"/>
    <col min="11878" max="12120" width="9.140625" style="91"/>
    <col min="12121" max="12130" width="12" style="91" bestFit="1" customWidth="1"/>
    <col min="12131" max="12131" width="9.42578125" style="91" customWidth="1"/>
    <col min="12132" max="12133" width="12" style="91" bestFit="1" customWidth="1"/>
    <col min="12134" max="12376" width="9.140625" style="91"/>
    <col min="12377" max="12386" width="12" style="91" bestFit="1" customWidth="1"/>
    <col min="12387" max="12387" width="9.42578125" style="91" customWidth="1"/>
    <col min="12388" max="12389" width="12" style="91" bestFit="1" customWidth="1"/>
    <col min="12390" max="12632" width="9.140625" style="91"/>
    <col min="12633" max="12642" width="12" style="91" bestFit="1" customWidth="1"/>
    <col min="12643" max="12643" width="9.42578125" style="91" customWidth="1"/>
    <col min="12644" max="12645" width="12" style="91" bestFit="1" customWidth="1"/>
    <col min="12646" max="12888" width="9.140625" style="91"/>
    <col min="12889" max="12898" width="12" style="91" bestFit="1" customWidth="1"/>
    <col min="12899" max="12899" width="9.42578125" style="91" customWidth="1"/>
    <col min="12900" max="12901" width="12" style="91" bestFit="1" customWidth="1"/>
    <col min="12902" max="13144" width="9.140625" style="91"/>
    <col min="13145" max="13154" width="12" style="91" bestFit="1" customWidth="1"/>
    <col min="13155" max="13155" width="9.42578125" style="91" customWidth="1"/>
    <col min="13156" max="13157" width="12" style="91" bestFit="1" customWidth="1"/>
    <col min="13158" max="13400" width="9.140625" style="91"/>
    <col min="13401" max="13410" width="12" style="91" bestFit="1" customWidth="1"/>
    <col min="13411" max="13411" width="9.42578125" style="91" customWidth="1"/>
    <col min="13412" max="13413" width="12" style="91" bestFit="1" customWidth="1"/>
    <col min="13414" max="13656" width="9.140625" style="91"/>
    <col min="13657" max="13666" width="12" style="91" bestFit="1" customWidth="1"/>
    <col min="13667" max="13667" width="9.42578125" style="91" customWidth="1"/>
    <col min="13668" max="13669" width="12" style="91" bestFit="1" customWidth="1"/>
    <col min="13670" max="13912" width="9.140625" style="91"/>
    <col min="13913" max="13922" width="12" style="91" bestFit="1" customWidth="1"/>
    <col min="13923" max="13923" width="9.42578125" style="91" customWidth="1"/>
    <col min="13924" max="13925" width="12" style="91" bestFit="1" customWidth="1"/>
    <col min="13926" max="14168" width="9.140625" style="91"/>
    <col min="14169" max="14178" width="12" style="91" bestFit="1" customWidth="1"/>
    <col min="14179" max="14179" width="9.42578125" style="91" customWidth="1"/>
    <col min="14180" max="14181" width="12" style="91" bestFit="1" customWidth="1"/>
    <col min="14182" max="14424" width="9.140625" style="91"/>
    <col min="14425" max="14434" width="12" style="91" bestFit="1" customWidth="1"/>
    <col min="14435" max="14435" width="9.42578125" style="91" customWidth="1"/>
    <col min="14436" max="14437" width="12" style="91" bestFit="1" customWidth="1"/>
    <col min="14438" max="14680" width="9.140625" style="91"/>
    <col min="14681" max="14690" width="12" style="91" bestFit="1" customWidth="1"/>
    <col min="14691" max="14691" width="9.42578125" style="91" customWidth="1"/>
    <col min="14692" max="14693" width="12" style="91" bestFit="1" customWidth="1"/>
    <col min="14694" max="14936" width="9.140625" style="91"/>
    <col min="14937" max="14946" width="12" style="91" bestFit="1" customWidth="1"/>
    <col min="14947" max="14947" width="9.42578125" style="91" customWidth="1"/>
    <col min="14948" max="14949" width="12" style="91" bestFit="1" customWidth="1"/>
    <col min="14950" max="15192" width="9.140625" style="91"/>
    <col min="15193" max="15202" width="12" style="91" bestFit="1" customWidth="1"/>
    <col min="15203" max="15203" width="9.42578125" style="91" customWidth="1"/>
    <col min="15204" max="15205" width="12" style="91" bestFit="1" customWidth="1"/>
    <col min="15206" max="15448" width="9.140625" style="91"/>
    <col min="15449" max="15458" width="12" style="91" bestFit="1" customWidth="1"/>
    <col min="15459" max="15459" width="9.42578125" style="91" customWidth="1"/>
    <col min="15460" max="15461" width="12" style="91" bestFit="1" customWidth="1"/>
    <col min="15462" max="15704" width="9.140625" style="91"/>
    <col min="15705" max="15714" width="12" style="91" bestFit="1" customWidth="1"/>
    <col min="15715" max="15715" width="9.42578125" style="91" customWidth="1"/>
    <col min="15716" max="15717" width="12" style="91" bestFit="1" customWidth="1"/>
    <col min="15718" max="15960" width="9.140625" style="91"/>
    <col min="15961" max="15970" width="12" style="91" bestFit="1" customWidth="1"/>
    <col min="15971" max="15971" width="9.42578125" style="91" customWidth="1"/>
    <col min="15972" max="15973" width="12" style="91" bestFit="1" customWidth="1"/>
    <col min="15974" max="16384" width="9.140625" style="91"/>
  </cols>
  <sheetData>
    <row r="1" spans="1:22">
      <c r="A1" s="274"/>
      <c r="M1" s="274"/>
    </row>
    <row r="2" spans="1:22" s="41" customFormat="1" ht="15">
      <c r="B2" s="200"/>
      <c r="C2" s="200"/>
      <c r="D2" s="200"/>
      <c r="E2" s="444" t="s">
        <v>555</v>
      </c>
      <c r="F2" s="444"/>
      <c r="G2" s="444"/>
      <c r="H2" s="444"/>
      <c r="I2" s="200"/>
      <c r="J2" s="200"/>
      <c r="K2" s="200"/>
      <c r="L2" s="200"/>
      <c r="M2" s="200"/>
      <c r="N2" s="200"/>
      <c r="P2" s="91"/>
      <c r="Q2" s="91"/>
      <c r="R2" s="91"/>
      <c r="S2" s="91"/>
      <c r="T2" s="91"/>
      <c r="U2" s="91"/>
      <c r="V2" s="91"/>
    </row>
    <row r="3" spans="1:22">
      <c r="A3" s="198"/>
      <c r="B3" s="199"/>
      <c r="C3" s="199"/>
      <c r="D3" s="199"/>
      <c r="I3" s="199"/>
      <c r="J3" s="199"/>
      <c r="K3" s="201"/>
      <c r="L3" s="201"/>
      <c r="M3" s="201"/>
      <c r="N3" s="202"/>
      <c r="O3" s="41"/>
    </row>
    <row r="4" spans="1:22" s="41" customFormat="1">
      <c r="P4" s="91"/>
      <c r="Q4" s="91"/>
      <c r="R4" s="91"/>
      <c r="S4" s="91"/>
      <c r="T4" s="91"/>
      <c r="U4" s="91"/>
      <c r="V4" s="91"/>
    </row>
    <row r="6" spans="1:22" s="41" customFormat="1" ht="9.75" thickBot="1">
      <c r="A6" s="88" t="s">
        <v>519</v>
      </c>
      <c r="B6" s="88">
        <v>2000</v>
      </c>
      <c r="C6" s="88">
        <v>2001</v>
      </c>
      <c r="D6" s="88">
        <v>2002</v>
      </c>
      <c r="E6" s="88">
        <v>2003</v>
      </c>
      <c r="F6" s="88">
        <v>2004</v>
      </c>
      <c r="G6" s="88">
        <v>2005</v>
      </c>
      <c r="H6" s="88">
        <v>2006</v>
      </c>
      <c r="I6" s="88">
        <v>2007</v>
      </c>
      <c r="J6" s="88">
        <v>2008</v>
      </c>
      <c r="K6" s="88">
        <v>2009</v>
      </c>
      <c r="L6" s="88">
        <v>2010</v>
      </c>
      <c r="M6" s="88">
        <v>2011</v>
      </c>
      <c r="N6" s="88">
        <v>2012</v>
      </c>
      <c r="P6" s="91"/>
      <c r="Q6" s="91"/>
      <c r="R6" s="91"/>
      <c r="S6" s="91"/>
      <c r="T6" s="91"/>
      <c r="U6" s="91"/>
      <c r="V6" s="91"/>
    </row>
    <row r="7" spans="1:22" ht="9.75" thickTop="1">
      <c r="A7" s="217" t="s">
        <v>202</v>
      </c>
      <c r="B7" s="217">
        <v>99.652087653210046</v>
      </c>
      <c r="C7" s="217">
        <v>104.14997463663596</v>
      </c>
      <c r="D7" s="217">
        <v>100.40860249556948</v>
      </c>
      <c r="E7" s="217">
        <v>104.30328175662112</v>
      </c>
      <c r="F7" s="217">
        <v>107.40616960892768</v>
      </c>
      <c r="G7" s="217">
        <v>113.59923916948735</v>
      </c>
      <c r="H7" s="217">
        <v>121.6112775546824</v>
      </c>
      <c r="I7" s="217">
        <v>120.66668405670565</v>
      </c>
      <c r="J7" s="217">
        <v>124.51076368860873</v>
      </c>
      <c r="K7" s="217">
        <v>131.59850208862181</v>
      </c>
      <c r="L7" s="217">
        <v>126.82509287259285</v>
      </c>
      <c r="M7" s="217">
        <v>133.35597649458998</v>
      </c>
      <c r="N7" s="217">
        <v>137.60795194140809</v>
      </c>
      <c r="P7" s="376"/>
      <c r="Q7" s="199"/>
      <c r="R7" s="272"/>
    </row>
    <row r="8" spans="1:22">
      <c r="A8" s="218" t="s">
        <v>203</v>
      </c>
      <c r="B8" s="218">
        <v>100.02718817918029</v>
      </c>
      <c r="C8" s="218">
        <v>104.54000398557532</v>
      </c>
      <c r="D8" s="218">
        <v>100.45595941828618</v>
      </c>
      <c r="E8" s="218">
        <v>105.2155193760601</v>
      </c>
      <c r="F8" s="218">
        <v>108.9367194084442</v>
      </c>
      <c r="G8" s="218">
        <v>113.56701789678854</v>
      </c>
      <c r="H8" s="218">
        <v>120.70955601641144</v>
      </c>
      <c r="I8" s="218">
        <v>119.42959362383326</v>
      </c>
      <c r="J8" s="218">
        <v>125.7236314124759</v>
      </c>
      <c r="K8" s="218">
        <v>129.32688916162792</v>
      </c>
      <c r="L8" s="218">
        <v>126.73852436298898</v>
      </c>
      <c r="M8" s="218">
        <v>133.77740097289163</v>
      </c>
      <c r="N8" s="218">
        <v>138.19941879890857</v>
      </c>
      <c r="P8" s="41"/>
    </row>
    <row r="9" spans="1:22">
      <c r="A9" s="217" t="s">
        <v>204</v>
      </c>
      <c r="B9" s="217">
        <v>100.17795616709957</v>
      </c>
      <c r="C9" s="217">
        <v>103.89212123239682</v>
      </c>
      <c r="D9" s="217">
        <v>100.49677164979865</v>
      </c>
      <c r="E9" s="217">
        <v>106.50858344677239</v>
      </c>
      <c r="F9" s="217">
        <v>109.94822404524778</v>
      </c>
      <c r="G9" s="217">
        <v>114.4082885999302</v>
      </c>
      <c r="H9" s="217">
        <v>121.68500660868075</v>
      </c>
      <c r="I9" s="217">
        <v>119.77516926503047</v>
      </c>
      <c r="J9" s="217">
        <v>125.67040101574807</v>
      </c>
      <c r="K9" s="217">
        <v>128.45210018087192</v>
      </c>
      <c r="L9" s="217">
        <v>126.95273984852717</v>
      </c>
      <c r="M9" s="217">
        <v>133.77900239408908</v>
      </c>
      <c r="N9" s="217">
        <v>139.60658616844032</v>
      </c>
    </row>
    <row r="10" spans="1:22">
      <c r="A10" s="218" t="s">
        <v>205</v>
      </c>
      <c r="B10" s="218">
        <v>100.84199628038508</v>
      </c>
      <c r="C10" s="218">
        <v>103.78917455733863</v>
      </c>
      <c r="D10" s="218">
        <v>101.63244434874316</v>
      </c>
      <c r="E10" s="218">
        <v>106.49843843766233</v>
      </c>
      <c r="F10" s="218">
        <v>110.8060523020099</v>
      </c>
      <c r="G10" s="218">
        <v>115.26658422369663</v>
      </c>
      <c r="H10" s="218">
        <v>122.03695234177765</v>
      </c>
      <c r="I10" s="218">
        <v>120.15560691251514</v>
      </c>
      <c r="J10" s="218">
        <v>125.70667004133857</v>
      </c>
      <c r="K10" s="218">
        <v>126.84958181641611</v>
      </c>
      <c r="L10" s="218">
        <v>128.07690400709879</v>
      </c>
      <c r="M10" s="218">
        <v>134.49653292634326</v>
      </c>
      <c r="N10" s="218">
        <v>139.82890117205133</v>
      </c>
    </row>
    <row r="11" spans="1:22">
      <c r="A11" s="217" t="s">
        <v>206</v>
      </c>
      <c r="B11" s="217">
        <v>101.20881738240162</v>
      </c>
      <c r="C11" s="217">
        <v>104.69389016952539</v>
      </c>
      <c r="D11" s="217">
        <v>101.85303872733202</v>
      </c>
      <c r="E11" s="217">
        <v>106.0704952833234</v>
      </c>
      <c r="F11" s="217">
        <v>111.92285067375968</v>
      </c>
      <c r="G11" s="217">
        <v>115.80116458279744</v>
      </c>
      <c r="H11" s="217">
        <v>122.37099109771859</v>
      </c>
      <c r="I11" s="217">
        <v>121.71979289918376</v>
      </c>
      <c r="J11" s="217">
        <v>127.7464789002189</v>
      </c>
      <c r="K11" s="217">
        <v>125.26247815023662</v>
      </c>
      <c r="L11" s="217">
        <v>130.43463956185508</v>
      </c>
      <c r="M11" s="217">
        <v>134.50895044441515</v>
      </c>
      <c r="N11" s="217">
        <v>139.39344545875466</v>
      </c>
    </row>
    <row r="12" spans="1:22">
      <c r="A12" s="218" t="s">
        <v>207</v>
      </c>
      <c r="B12" s="218">
        <v>101.32507735150422</v>
      </c>
      <c r="C12" s="218">
        <v>104.40572378921193</v>
      </c>
      <c r="D12" s="218">
        <v>102.1169127660043</v>
      </c>
      <c r="E12" s="218">
        <v>105.99989801536842</v>
      </c>
      <c r="F12" s="218">
        <v>112.60295974735601</v>
      </c>
      <c r="G12" s="218">
        <v>116.13077195920572</v>
      </c>
      <c r="H12" s="218">
        <v>122.60961217500288</v>
      </c>
      <c r="I12" s="218">
        <v>123.30130654018605</v>
      </c>
      <c r="J12" s="218">
        <v>130.87036319254275</v>
      </c>
      <c r="K12" s="218">
        <v>124.70754111713961</v>
      </c>
      <c r="L12" s="218">
        <v>130.50591387129424</v>
      </c>
      <c r="M12" s="218">
        <v>135.65682425665966</v>
      </c>
      <c r="N12" s="218">
        <v>139.11073423892205</v>
      </c>
    </row>
    <row r="13" spans="1:22" s="254" customFormat="1" ht="11.25">
      <c r="A13" s="217" t="s">
        <v>208</v>
      </c>
      <c r="B13" s="217">
        <v>101.91369949579865</v>
      </c>
      <c r="C13" s="217">
        <v>103.20176231245046</v>
      </c>
      <c r="D13" s="217">
        <v>103.06019877534158</v>
      </c>
      <c r="E13" s="217">
        <v>105.57342439439049</v>
      </c>
      <c r="F13" s="217">
        <v>112.56848460342694</v>
      </c>
      <c r="G13" s="217">
        <v>116.26759620592526</v>
      </c>
      <c r="H13" s="217">
        <v>122.61094852624052</v>
      </c>
      <c r="I13" s="217">
        <v>123.77327240472513</v>
      </c>
      <c r="J13" s="217">
        <v>132.14556105613684</v>
      </c>
      <c r="K13" s="217">
        <v>125.03769054090704</v>
      </c>
      <c r="L13" s="217">
        <v>129.93162000084138</v>
      </c>
      <c r="M13" s="217">
        <v>135.86761078787936</v>
      </c>
      <c r="N13" s="217">
        <v>136.86868334273552</v>
      </c>
      <c r="P13" s="91"/>
    </row>
    <row r="14" spans="1:22">
      <c r="A14" s="218" t="s">
        <v>209</v>
      </c>
      <c r="B14" s="218">
        <v>101.79919160289018</v>
      </c>
      <c r="C14" s="247">
        <v>102.57420258180834</v>
      </c>
      <c r="D14" s="247">
        <v>103.65902223022681</v>
      </c>
      <c r="E14" s="247">
        <v>105.90405801089204</v>
      </c>
      <c r="F14" s="247">
        <v>112.385307024063</v>
      </c>
      <c r="G14" s="247">
        <v>117.47058373178474</v>
      </c>
      <c r="H14" s="247">
        <v>122.85022684241926</v>
      </c>
      <c r="I14" s="247">
        <v>124.72226544277653</v>
      </c>
      <c r="J14" s="247">
        <v>134.33341770013146</v>
      </c>
      <c r="K14" s="247">
        <v>124.62119134202403</v>
      </c>
      <c r="L14" s="247">
        <v>129.55839657918105</v>
      </c>
      <c r="M14" s="247">
        <v>136.4485734716514</v>
      </c>
      <c r="N14" s="247">
        <v>136.94355253407554</v>
      </c>
      <c r="O14" s="41"/>
    </row>
    <row r="15" spans="1:22">
      <c r="A15" s="217" t="s">
        <v>210</v>
      </c>
      <c r="B15" s="217">
        <v>102.80556413322637</v>
      </c>
      <c r="C15" s="217">
        <v>102.74272404445568</v>
      </c>
      <c r="D15" s="217">
        <v>104.90179044092906</v>
      </c>
      <c r="E15" s="217">
        <v>106.58648890578158</v>
      </c>
      <c r="F15" s="217">
        <v>112.40656270974891</v>
      </c>
      <c r="G15" s="217">
        <v>118.82913199000227</v>
      </c>
      <c r="H15" s="217">
        <v>122.95226932864003</v>
      </c>
      <c r="I15" s="217">
        <v>124.82429382127</v>
      </c>
      <c r="J15" s="217">
        <v>136.66394708511936</v>
      </c>
      <c r="K15" s="217">
        <v>125.18126902388202</v>
      </c>
      <c r="L15" s="217">
        <v>129.29535774385371</v>
      </c>
      <c r="M15" s="217">
        <v>137.50998361153199</v>
      </c>
      <c r="N15" s="217">
        <v>137.94143117711656</v>
      </c>
      <c r="O15" s="41"/>
      <c r="P15" s="32"/>
    </row>
    <row r="16" spans="1:22">
      <c r="A16" s="218" t="s">
        <v>211</v>
      </c>
      <c r="B16" s="218">
        <v>103.37041100350133</v>
      </c>
      <c r="C16" s="247">
        <v>101.70141612176413</v>
      </c>
      <c r="D16" s="247">
        <v>105.2373568437134</v>
      </c>
      <c r="E16" s="247">
        <v>106.5809061286111</v>
      </c>
      <c r="F16" s="247">
        <v>112.81335695707222</v>
      </c>
      <c r="G16" s="247">
        <v>120.04210002110518</v>
      </c>
      <c r="H16" s="247">
        <v>122.62554575290264</v>
      </c>
      <c r="I16" s="247">
        <v>123.90552988950094</v>
      </c>
      <c r="J16" s="247">
        <v>137.25509968975732</v>
      </c>
      <c r="K16" s="247">
        <v>124.953613792468</v>
      </c>
      <c r="L16" s="247">
        <v>129.65985016485641</v>
      </c>
      <c r="M16" s="247">
        <v>137.81619222198381</v>
      </c>
      <c r="N16" s="247">
        <v>137.44788191344517</v>
      </c>
      <c r="O16" s="41"/>
    </row>
    <row r="17" spans="1:15">
      <c r="A17" s="217" t="s">
        <v>212</v>
      </c>
      <c r="B17" s="217">
        <v>104.40237831639925</v>
      </c>
      <c r="C17" s="217">
        <v>100.73372387353731</v>
      </c>
      <c r="D17" s="217">
        <v>105.09528258098868</v>
      </c>
      <c r="E17" s="217">
        <v>106.72138104099747</v>
      </c>
      <c r="F17" s="217">
        <v>113.96213003986395</v>
      </c>
      <c r="G17" s="217">
        <v>120.53131225875981</v>
      </c>
      <c r="H17" s="217">
        <v>122.21888857056334</v>
      </c>
      <c r="I17" s="217">
        <v>124.16694439475245</v>
      </c>
      <c r="J17" s="217">
        <v>136.60371381962011</v>
      </c>
      <c r="K17" s="217">
        <v>125.27965165499897</v>
      </c>
      <c r="L17" s="217">
        <v>131.47420498607568</v>
      </c>
      <c r="M17" s="217">
        <v>138.41296086696596</v>
      </c>
      <c r="N17" s="217">
        <v>136.7160514522329</v>
      </c>
      <c r="O17" s="41"/>
    </row>
    <row r="18" spans="1:15">
      <c r="A18" s="218" t="s">
        <v>213</v>
      </c>
      <c r="B18" s="218">
        <v>104.15377220386735</v>
      </c>
      <c r="C18" s="218">
        <v>100</v>
      </c>
      <c r="D18" s="218">
        <v>104.30329004005733</v>
      </c>
      <c r="E18" s="218">
        <v>107.14885876976248</v>
      </c>
      <c r="F18" s="218">
        <v>113.23338619408175</v>
      </c>
      <c r="G18" s="218">
        <v>121.57555070587975</v>
      </c>
      <c r="H18" s="218">
        <v>121.43813121660891</v>
      </c>
      <c r="I18" s="218">
        <v>124.52516949023639</v>
      </c>
      <c r="J18" s="218">
        <v>134.94986973105762</v>
      </c>
      <c r="K18" s="218">
        <v>125.91119080018373</v>
      </c>
      <c r="L18" s="218">
        <v>132.04062752123852</v>
      </c>
      <c r="M18" s="218">
        <v>138.40726380426105</v>
      </c>
      <c r="N18" s="218">
        <v>136.32284993549843</v>
      </c>
    </row>
    <row r="19" spans="1:15">
      <c r="A19" s="238" t="s">
        <v>147</v>
      </c>
      <c r="B19" s="238">
        <f>AVERAGE(B7:B18)</f>
        <v>101.80651164745535</v>
      </c>
      <c r="C19" s="238">
        <f t="shared" ref="C19:N19" si="0">+AVERAGE(C7:C18)</f>
        <v>103.03539310872502</v>
      </c>
      <c r="D19" s="238">
        <f t="shared" si="0"/>
        <v>102.76838919308257</v>
      </c>
      <c r="E19" s="238">
        <f t="shared" si="0"/>
        <v>106.09261113052027</v>
      </c>
      <c r="F19" s="238">
        <f t="shared" si="0"/>
        <v>111.58268360950017</v>
      </c>
      <c r="G19" s="238">
        <f t="shared" si="0"/>
        <v>116.95744511211355</v>
      </c>
      <c r="H19" s="238">
        <f t="shared" si="0"/>
        <v>122.14328383597071</v>
      </c>
      <c r="I19" s="238">
        <f t="shared" si="0"/>
        <v>122.5804690617263</v>
      </c>
      <c r="J19" s="238">
        <f t="shared" si="0"/>
        <v>131.01499311106298</v>
      </c>
      <c r="K19" s="238">
        <f t="shared" si="0"/>
        <v>126.4318083057815</v>
      </c>
      <c r="L19" s="238">
        <f t="shared" si="0"/>
        <v>129.29115596003365</v>
      </c>
      <c r="M19" s="238">
        <f t="shared" si="0"/>
        <v>135.83643935443851</v>
      </c>
      <c r="N19" s="238">
        <f t="shared" si="0"/>
        <v>137.99895734446577</v>
      </c>
    </row>
    <row r="20" spans="1:15">
      <c r="A20" s="238" t="s">
        <v>539</v>
      </c>
      <c r="B20" s="403"/>
      <c r="C20" s="251">
        <f>+C$19/B$19-1</f>
        <v>1.2070755017371981E-2</v>
      </c>
      <c r="D20" s="251">
        <f t="shared" ref="D20:N20" si="1">+D$19/C$19-1</f>
        <v>-2.5913805692059366E-3</v>
      </c>
      <c r="E20" s="251">
        <f t="shared" si="1"/>
        <v>3.2346735835200313E-2</v>
      </c>
      <c r="F20" s="251">
        <f t="shared" si="1"/>
        <v>5.1747924954224533E-2</v>
      </c>
      <c r="G20" s="251">
        <f t="shared" si="1"/>
        <v>4.8168419406573237E-2</v>
      </c>
      <c r="H20" s="251">
        <f t="shared" si="1"/>
        <v>4.4339534938422132E-2</v>
      </c>
      <c r="I20" s="251">
        <f t="shared" si="1"/>
        <v>3.5792817421111955E-3</v>
      </c>
      <c r="J20" s="251">
        <f t="shared" si="1"/>
        <v>6.8808058199625544E-2</v>
      </c>
      <c r="K20" s="251">
        <f t="shared" si="1"/>
        <v>-3.4982139802856471E-2</v>
      </c>
      <c r="L20" s="251">
        <f t="shared" si="1"/>
        <v>2.2615730112288457E-2</v>
      </c>
      <c r="M20" s="251">
        <f t="shared" si="1"/>
        <v>5.0624370598311819E-2</v>
      </c>
      <c r="N20" s="251">
        <f t="shared" si="1"/>
        <v>1.592001380708008E-2</v>
      </c>
    </row>
    <row r="21" spans="1:15">
      <c r="B21" s="404"/>
      <c r="C21" s="404"/>
      <c r="D21" s="404"/>
      <c r="E21" s="404"/>
      <c r="F21" s="404"/>
      <c r="G21" s="404"/>
      <c r="H21" s="404"/>
      <c r="I21" s="404"/>
      <c r="J21" s="404"/>
      <c r="K21" s="404"/>
      <c r="L21" s="404"/>
      <c r="M21" s="404"/>
      <c r="N21" s="404"/>
    </row>
    <row r="22" spans="1:15">
      <c r="B22" s="404"/>
      <c r="C22" s="404"/>
      <c r="D22" s="404"/>
      <c r="E22" s="404"/>
      <c r="F22" s="404"/>
      <c r="G22" s="404"/>
      <c r="H22" s="404"/>
      <c r="I22" s="404"/>
      <c r="J22" s="404"/>
      <c r="K22" s="404"/>
      <c r="L22" s="404"/>
      <c r="M22" s="404"/>
      <c r="N22" s="404"/>
    </row>
  </sheetData>
  <mergeCells count="1">
    <mergeCell ref="E2:H2"/>
  </mergeCells>
  <hyperlinks>
    <hyperlink ref="E2:H2" location="Indice!D3" display="ÍNDICE"/>
  </hyperlinks>
  <pageMargins left="0.7" right="0.7" top="0.75" bottom="0.75" header="0.3" footer="0.3"/>
  <pageSetup paperSize="9" orientation="portrait" r:id="rId1"/>
  <ignoredErrors>
    <ignoredError sqref="B19:N19" formulaRange="1"/>
  </ignoredErrors>
</worksheet>
</file>

<file path=xl/worksheets/sheet43.xml><?xml version="1.0" encoding="utf-8"?>
<worksheet xmlns="http://schemas.openxmlformats.org/spreadsheetml/2006/main" xmlns:r="http://schemas.openxmlformats.org/officeDocument/2006/relationships">
  <sheetPr codeName="Hoja34">
    <tabColor rgb="FFC00000"/>
  </sheetPr>
  <dimension ref="A1:U20"/>
  <sheetViews>
    <sheetView showGridLines="0" workbookViewId="0">
      <selection activeCell="E1" sqref="E1:H1"/>
    </sheetView>
  </sheetViews>
  <sheetFormatPr baseColWidth="10" defaultColWidth="9.140625" defaultRowHeight="9"/>
  <cols>
    <col min="1" max="1" width="27.28515625" style="91" bestFit="1" customWidth="1"/>
    <col min="2" max="14" width="7.42578125" style="91" customWidth="1"/>
    <col min="15" max="19" width="9.7109375" style="91" bestFit="1" customWidth="1"/>
    <col min="20" max="101" width="9.140625" style="91"/>
    <col min="102" max="111" width="12" style="91" bestFit="1" customWidth="1"/>
    <col min="112" max="112" width="9.42578125" style="91" customWidth="1"/>
    <col min="113" max="114" width="12" style="91" bestFit="1" customWidth="1"/>
    <col min="115" max="357" width="9.140625" style="91"/>
    <col min="358" max="367" width="12" style="91" bestFit="1" customWidth="1"/>
    <col min="368" max="368" width="9.42578125" style="91" customWidth="1"/>
    <col min="369" max="370" width="12" style="91" bestFit="1" customWidth="1"/>
    <col min="371" max="613" width="9.140625" style="91"/>
    <col min="614" max="623" width="12" style="91" bestFit="1" customWidth="1"/>
    <col min="624" max="624" width="9.42578125" style="91" customWidth="1"/>
    <col min="625" max="626" width="12" style="91" bestFit="1" customWidth="1"/>
    <col min="627" max="869" width="9.140625" style="91"/>
    <col min="870" max="879" width="12" style="91" bestFit="1" customWidth="1"/>
    <col min="880" max="880" width="9.42578125" style="91" customWidth="1"/>
    <col min="881" max="882" width="12" style="91" bestFit="1" customWidth="1"/>
    <col min="883" max="1125" width="9.140625" style="91"/>
    <col min="1126" max="1135" width="12" style="91" bestFit="1" customWidth="1"/>
    <col min="1136" max="1136" width="9.42578125" style="91" customWidth="1"/>
    <col min="1137" max="1138" width="12" style="91" bestFit="1" customWidth="1"/>
    <col min="1139" max="1381" width="9.140625" style="91"/>
    <col min="1382" max="1391" width="12" style="91" bestFit="1" customWidth="1"/>
    <col min="1392" max="1392" width="9.42578125" style="91" customWidth="1"/>
    <col min="1393" max="1394" width="12" style="91" bestFit="1" customWidth="1"/>
    <col min="1395" max="1637" width="9.140625" style="91"/>
    <col min="1638" max="1647" width="12" style="91" bestFit="1" customWidth="1"/>
    <col min="1648" max="1648" width="9.42578125" style="91" customWidth="1"/>
    <col min="1649" max="1650" width="12" style="91" bestFit="1" customWidth="1"/>
    <col min="1651" max="1893" width="9.140625" style="91"/>
    <col min="1894" max="1903" width="12" style="91" bestFit="1" customWidth="1"/>
    <col min="1904" max="1904" width="9.42578125" style="91" customWidth="1"/>
    <col min="1905" max="1906" width="12" style="91" bestFit="1" customWidth="1"/>
    <col min="1907" max="2149" width="9.140625" style="91"/>
    <col min="2150" max="2159" width="12" style="91" bestFit="1" customWidth="1"/>
    <col min="2160" max="2160" width="9.42578125" style="91" customWidth="1"/>
    <col min="2161" max="2162" width="12" style="91" bestFit="1" customWidth="1"/>
    <col min="2163" max="2405" width="9.140625" style="91"/>
    <col min="2406" max="2415" width="12" style="91" bestFit="1" customWidth="1"/>
    <col min="2416" max="2416" width="9.42578125" style="91" customWidth="1"/>
    <col min="2417" max="2418" width="12" style="91" bestFit="1" customWidth="1"/>
    <col min="2419" max="2661" width="9.140625" style="91"/>
    <col min="2662" max="2671" width="12" style="91" bestFit="1" customWidth="1"/>
    <col min="2672" max="2672" width="9.42578125" style="91" customWidth="1"/>
    <col min="2673" max="2674" width="12" style="91" bestFit="1" customWidth="1"/>
    <col min="2675" max="2917" width="9.140625" style="91"/>
    <col min="2918" max="2927" width="12" style="91" bestFit="1" customWidth="1"/>
    <col min="2928" max="2928" width="9.42578125" style="91" customWidth="1"/>
    <col min="2929" max="2930" width="12" style="91" bestFit="1" customWidth="1"/>
    <col min="2931" max="3173" width="9.140625" style="91"/>
    <col min="3174" max="3183" width="12" style="91" bestFit="1" customWidth="1"/>
    <col min="3184" max="3184" width="9.42578125" style="91" customWidth="1"/>
    <col min="3185" max="3186" width="12" style="91" bestFit="1" customWidth="1"/>
    <col min="3187" max="3429" width="9.140625" style="91"/>
    <col min="3430" max="3439" width="12" style="91" bestFit="1" customWidth="1"/>
    <col min="3440" max="3440" width="9.42578125" style="91" customWidth="1"/>
    <col min="3441" max="3442" width="12" style="91" bestFit="1" customWidth="1"/>
    <col min="3443" max="3685" width="9.140625" style="91"/>
    <col min="3686" max="3695" width="12" style="91" bestFit="1" customWidth="1"/>
    <col min="3696" max="3696" width="9.42578125" style="91" customWidth="1"/>
    <col min="3697" max="3698" width="12" style="91" bestFit="1" customWidth="1"/>
    <col min="3699" max="3941" width="9.140625" style="91"/>
    <col min="3942" max="3951" width="12" style="91" bestFit="1" customWidth="1"/>
    <col min="3952" max="3952" width="9.42578125" style="91" customWidth="1"/>
    <col min="3953" max="3954" width="12" style="91" bestFit="1" customWidth="1"/>
    <col min="3955" max="4197" width="9.140625" style="91"/>
    <col min="4198" max="4207" width="12" style="91" bestFit="1" customWidth="1"/>
    <col min="4208" max="4208" width="9.42578125" style="91" customWidth="1"/>
    <col min="4209" max="4210" width="12" style="91" bestFit="1" customWidth="1"/>
    <col min="4211" max="4453" width="9.140625" style="91"/>
    <col min="4454" max="4463" width="12" style="91" bestFit="1" customWidth="1"/>
    <col min="4464" max="4464" width="9.42578125" style="91" customWidth="1"/>
    <col min="4465" max="4466" width="12" style="91" bestFit="1" customWidth="1"/>
    <col min="4467" max="4709" width="9.140625" style="91"/>
    <col min="4710" max="4719" width="12" style="91" bestFit="1" customWidth="1"/>
    <col min="4720" max="4720" width="9.42578125" style="91" customWidth="1"/>
    <col min="4721" max="4722" width="12" style="91" bestFit="1" customWidth="1"/>
    <col min="4723" max="4965" width="9.140625" style="91"/>
    <col min="4966" max="4975" width="12" style="91" bestFit="1" customWidth="1"/>
    <col min="4976" max="4976" width="9.42578125" style="91" customWidth="1"/>
    <col min="4977" max="4978" width="12" style="91" bestFit="1" customWidth="1"/>
    <col min="4979" max="5221" width="9.140625" style="91"/>
    <col min="5222" max="5231" width="12" style="91" bestFit="1" customWidth="1"/>
    <col min="5232" max="5232" width="9.42578125" style="91" customWidth="1"/>
    <col min="5233" max="5234" width="12" style="91" bestFit="1" customWidth="1"/>
    <col min="5235" max="5477" width="9.140625" style="91"/>
    <col min="5478" max="5487" width="12" style="91" bestFit="1" customWidth="1"/>
    <col min="5488" max="5488" width="9.42578125" style="91" customWidth="1"/>
    <col min="5489" max="5490" width="12" style="91" bestFit="1" customWidth="1"/>
    <col min="5491" max="5733" width="9.140625" style="91"/>
    <col min="5734" max="5743" width="12" style="91" bestFit="1" customWidth="1"/>
    <col min="5744" max="5744" width="9.42578125" style="91" customWidth="1"/>
    <col min="5745" max="5746" width="12" style="91" bestFit="1" customWidth="1"/>
    <col min="5747" max="5989" width="9.140625" style="91"/>
    <col min="5990" max="5999" width="12" style="91" bestFit="1" customWidth="1"/>
    <col min="6000" max="6000" width="9.42578125" style="91" customWidth="1"/>
    <col min="6001" max="6002" width="12" style="91" bestFit="1" customWidth="1"/>
    <col min="6003" max="6245" width="9.140625" style="91"/>
    <col min="6246" max="6255" width="12" style="91" bestFit="1" customWidth="1"/>
    <col min="6256" max="6256" width="9.42578125" style="91" customWidth="1"/>
    <col min="6257" max="6258" width="12" style="91" bestFit="1" customWidth="1"/>
    <col min="6259" max="6501" width="9.140625" style="91"/>
    <col min="6502" max="6511" width="12" style="91" bestFit="1" customWidth="1"/>
    <col min="6512" max="6512" width="9.42578125" style="91" customWidth="1"/>
    <col min="6513" max="6514" width="12" style="91" bestFit="1" customWidth="1"/>
    <col min="6515" max="6757" width="9.140625" style="91"/>
    <col min="6758" max="6767" width="12" style="91" bestFit="1" customWidth="1"/>
    <col min="6768" max="6768" width="9.42578125" style="91" customWidth="1"/>
    <col min="6769" max="6770" width="12" style="91" bestFit="1" customWidth="1"/>
    <col min="6771" max="7013" width="9.140625" style="91"/>
    <col min="7014" max="7023" width="12" style="91" bestFit="1" customWidth="1"/>
    <col min="7024" max="7024" width="9.42578125" style="91" customWidth="1"/>
    <col min="7025" max="7026" width="12" style="91" bestFit="1" customWidth="1"/>
    <col min="7027" max="7269" width="9.140625" style="91"/>
    <col min="7270" max="7279" width="12" style="91" bestFit="1" customWidth="1"/>
    <col min="7280" max="7280" width="9.42578125" style="91" customWidth="1"/>
    <col min="7281" max="7282" width="12" style="91" bestFit="1" customWidth="1"/>
    <col min="7283" max="7525" width="9.140625" style="91"/>
    <col min="7526" max="7535" width="12" style="91" bestFit="1" customWidth="1"/>
    <col min="7536" max="7536" width="9.42578125" style="91" customWidth="1"/>
    <col min="7537" max="7538" width="12" style="91" bestFit="1" customWidth="1"/>
    <col min="7539" max="7781" width="9.140625" style="91"/>
    <col min="7782" max="7791" width="12" style="91" bestFit="1" customWidth="1"/>
    <col min="7792" max="7792" width="9.42578125" style="91" customWidth="1"/>
    <col min="7793" max="7794" width="12" style="91" bestFit="1" customWidth="1"/>
    <col min="7795" max="8037" width="9.140625" style="91"/>
    <col min="8038" max="8047" width="12" style="91" bestFit="1" customWidth="1"/>
    <col min="8048" max="8048" width="9.42578125" style="91" customWidth="1"/>
    <col min="8049" max="8050" width="12" style="91" bestFit="1" customWidth="1"/>
    <col min="8051" max="8293" width="9.140625" style="91"/>
    <col min="8294" max="8303" width="12" style="91" bestFit="1" customWidth="1"/>
    <col min="8304" max="8304" width="9.42578125" style="91" customWidth="1"/>
    <col min="8305" max="8306" width="12" style="91" bestFit="1" customWidth="1"/>
    <col min="8307" max="8549" width="9.140625" style="91"/>
    <col min="8550" max="8559" width="12" style="91" bestFit="1" customWidth="1"/>
    <col min="8560" max="8560" width="9.42578125" style="91" customWidth="1"/>
    <col min="8561" max="8562" width="12" style="91" bestFit="1" customWidth="1"/>
    <col min="8563" max="8805" width="9.140625" style="91"/>
    <col min="8806" max="8815" width="12" style="91" bestFit="1" customWidth="1"/>
    <col min="8816" max="8816" width="9.42578125" style="91" customWidth="1"/>
    <col min="8817" max="8818" width="12" style="91" bestFit="1" customWidth="1"/>
    <col min="8819" max="9061" width="9.140625" style="91"/>
    <col min="9062" max="9071" width="12" style="91" bestFit="1" customWidth="1"/>
    <col min="9072" max="9072" width="9.42578125" style="91" customWidth="1"/>
    <col min="9073" max="9074" width="12" style="91" bestFit="1" customWidth="1"/>
    <col min="9075" max="9317" width="9.140625" style="91"/>
    <col min="9318" max="9327" width="12" style="91" bestFit="1" customWidth="1"/>
    <col min="9328" max="9328" width="9.42578125" style="91" customWidth="1"/>
    <col min="9329" max="9330" width="12" style="91" bestFit="1" customWidth="1"/>
    <col min="9331" max="9573" width="9.140625" style="91"/>
    <col min="9574" max="9583" width="12" style="91" bestFit="1" customWidth="1"/>
    <col min="9584" max="9584" width="9.42578125" style="91" customWidth="1"/>
    <col min="9585" max="9586" width="12" style="91" bestFit="1" customWidth="1"/>
    <col min="9587" max="9829" width="9.140625" style="91"/>
    <col min="9830" max="9839" width="12" style="91" bestFit="1" customWidth="1"/>
    <col min="9840" max="9840" width="9.42578125" style="91" customWidth="1"/>
    <col min="9841" max="9842" width="12" style="91" bestFit="1" customWidth="1"/>
    <col min="9843" max="10085" width="9.140625" style="91"/>
    <col min="10086" max="10095" width="12" style="91" bestFit="1" customWidth="1"/>
    <col min="10096" max="10096" width="9.42578125" style="91" customWidth="1"/>
    <col min="10097" max="10098" width="12" style="91" bestFit="1" customWidth="1"/>
    <col min="10099" max="10341" width="9.140625" style="91"/>
    <col min="10342" max="10351" width="12" style="91" bestFit="1" customWidth="1"/>
    <col min="10352" max="10352" width="9.42578125" style="91" customWidth="1"/>
    <col min="10353" max="10354" width="12" style="91" bestFit="1" customWidth="1"/>
    <col min="10355" max="10597" width="9.140625" style="91"/>
    <col min="10598" max="10607" width="12" style="91" bestFit="1" customWidth="1"/>
    <col min="10608" max="10608" width="9.42578125" style="91" customWidth="1"/>
    <col min="10609" max="10610" width="12" style="91" bestFit="1" customWidth="1"/>
    <col min="10611" max="10853" width="9.140625" style="91"/>
    <col min="10854" max="10863" width="12" style="91" bestFit="1" customWidth="1"/>
    <col min="10864" max="10864" width="9.42578125" style="91" customWidth="1"/>
    <col min="10865" max="10866" width="12" style="91" bestFit="1" customWidth="1"/>
    <col min="10867" max="11109" width="9.140625" style="91"/>
    <col min="11110" max="11119" width="12" style="91" bestFit="1" customWidth="1"/>
    <col min="11120" max="11120" width="9.42578125" style="91" customWidth="1"/>
    <col min="11121" max="11122" width="12" style="91" bestFit="1" customWidth="1"/>
    <col min="11123" max="11365" width="9.140625" style="91"/>
    <col min="11366" max="11375" width="12" style="91" bestFit="1" customWidth="1"/>
    <col min="11376" max="11376" width="9.42578125" style="91" customWidth="1"/>
    <col min="11377" max="11378" width="12" style="91" bestFit="1" customWidth="1"/>
    <col min="11379" max="11621" width="9.140625" style="91"/>
    <col min="11622" max="11631" width="12" style="91" bestFit="1" customWidth="1"/>
    <col min="11632" max="11632" width="9.42578125" style="91" customWidth="1"/>
    <col min="11633" max="11634" width="12" style="91" bestFit="1" customWidth="1"/>
    <col min="11635" max="11877" width="9.140625" style="91"/>
    <col min="11878" max="11887" width="12" style="91" bestFit="1" customWidth="1"/>
    <col min="11888" max="11888" width="9.42578125" style="91" customWidth="1"/>
    <col min="11889" max="11890" width="12" style="91" bestFit="1" customWidth="1"/>
    <col min="11891" max="12133" width="9.140625" style="91"/>
    <col min="12134" max="12143" width="12" style="91" bestFit="1" customWidth="1"/>
    <col min="12144" max="12144" width="9.42578125" style="91" customWidth="1"/>
    <col min="12145" max="12146" width="12" style="91" bestFit="1" customWidth="1"/>
    <col min="12147" max="12389" width="9.140625" style="91"/>
    <col min="12390" max="12399" width="12" style="91" bestFit="1" customWidth="1"/>
    <col min="12400" max="12400" width="9.42578125" style="91" customWidth="1"/>
    <col min="12401" max="12402" width="12" style="91" bestFit="1" customWidth="1"/>
    <col min="12403" max="12645" width="9.140625" style="91"/>
    <col min="12646" max="12655" width="12" style="91" bestFit="1" customWidth="1"/>
    <col min="12656" max="12656" width="9.42578125" style="91" customWidth="1"/>
    <col min="12657" max="12658" width="12" style="91" bestFit="1" customWidth="1"/>
    <col min="12659" max="12901" width="9.140625" style="91"/>
    <col min="12902" max="12911" width="12" style="91" bestFit="1" customWidth="1"/>
    <col min="12912" max="12912" width="9.42578125" style="91" customWidth="1"/>
    <col min="12913" max="12914" width="12" style="91" bestFit="1" customWidth="1"/>
    <col min="12915" max="13157" width="9.140625" style="91"/>
    <col min="13158" max="13167" width="12" style="91" bestFit="1" customWidth="1"/>
    <col min="13168" max="13168" width="9.42578125" style="91" customWidth="1"/>
    <col min="13169" max="13170" width="12" style="91" bestFit="1" customWidth="1"/>
    <col min="13171" max="13413" width="9.140625" style="91"/>
    <col min="13414" max="13423" width="12" style="91" bestFit="1" customWidth="1"/>
    <col min="13424" max="13424" width="9.42578125" style="91" customWidth="1"/>
    <col min="13425" max="13426" width="12" style="91" bestFit="1" customWidth="1"/>
    <col min="13427" max="13669" width="9.140625" style="91"/>
    <col min="13670" max="13679" width="12" style="91" bestFit="1" customWidth="1"/>
    <col min="13680" max="13680" width="9.42578125" style="91" customWidth="1"/>
    <col min="13681" max="13682" width="12" style="91" bestFit="1" customWidth="1"/>
    <col min="13683" max="13925" width="9.140625" style="91"/>
    <col min="13926" max="13935" width="12" style="91" bestFit="1" customWidth="1"/>
    <col min="13936" max="13936" width="9.42578125" style="91" customWidth="1"/>
    <col min="13937" max="13938" width="12" style="91" bestFit="1" customWidth="1"/>
    <col min="13939" max="14181" width="9.140625" style="91"/>
    <col min="14182" max="14191" width="12" style="91" bestFit="1" customWidth="1"/>
    <col min="14192" max="14192" width="9.42578125" style="91" customWidth="1"/>
    <col min="14193" max="14194" width="12" style="91" bestFit="1" customWidth="1"/>
    <col min="14195" max="14437" width="9.140625" style="91"/>
    <col min="14438" max="14447" width="12" style="91" bestFit="1" customWidth="1"/>
    <col min="14448" max="14448" width="9.42578125" style="91" customWidth="1"/>
    <col min="14449" max="14450" width="12" style="91" bestFit="1" customWidth="1"/>
    <col min="14451" max="14693" width="9.140625" style="91"/>
    <col min="14694" max="14703" width="12" style="91" bestFit="1" customWidth="1"/>
    <col min="14704" max="14704" width="9.42578125" style="91" customWidth="1"/>
    <col min="14705" max="14706" width="12" style="91" bestFit="1" customWidth="1"/>
    <col min="14707" max="14949" width="9.140625" style="91"/>
    <col min="14950" max="14959" width="12" style="91" bestFit="1" customWidth="1"/>
    <col min="14960" max="14960" width="9.42578125" style="91" customWidth="1"/>
    <col min="14961" max="14962" width="12" style="91" bestFit="1" customWidth="1"/>
    <col min="14963" max="15205" width="9.140625" style="91"/>
    <col min="15206" max="15215" width="12" style="91" bestFit="1" customWidth="1"/>
    <col min="15216" max="15216" width="9.42578125" style="91" customWidth="1"/>
    <col min="15217" max="15218" width="12" style="91" bestFit="1" customWidth="1"/>
    <col min="15219" max="15461" width="9.140625" style="91"/>
    <col min="15462" max="15471" width="12" style="91" bestFit="1" customWidth="1"/>
    <col min="15472" max="15472" width="9.42578125" style="91" customWidth="1"/>
    <col min="15473" max="15474" width="12" style="91" bestFit="1" customWidth="1"/>
    <col min="15475" max="15717" width="9.140625" style="91"/>
    <col min="15718" max="15727" width="12" style="91" bestFit="1" customWidth="1"/>
    <col min="15728" max="15728" width="9.42578125" style="91" customWidth="1"/>
    <col min="15729" max="15730" width="12" style="91" bestFit="1" customWidth="1"/>
    <col min="15731" max="15973" width="9.140625" style="91"/>
    <col min="15974" max="15983" width="12" style="91" bestFit="1" customWidth="1"/>
    <col min="15984" max="15984" width="9.42578125" style="91" customWidth="1"/>
    <col min="15985" max="15986" width="12" style="91" bestFit="1" customWidth="1"/>
    <col min="15987" max="16384" width="9.140625" style="91"/>
  </cols>
  <sheetData>
    <row r="1" spans="1:21" s="41" customFormat="1" ht="15">
      <c r="B1" s="200"/>
      <c r="C1" s="200"/>
      <c r="D1" s="200"/>
      <c r="E1" s="444" t="s">
        <v>555</v>
      </c>
      <c r="F1" s="444"/>
      <c r="G1" s="444"/>
      <c r="H1" s="444"/>
      <c r="I1" s="200"/>
      <c r="J1" s="200"/>
      <c r="K1" s="200"/>
      <c r="L1" s="200"/>
      <c r="M1" s="200"/>
      <c r="N1" s="200"/>
      <c r="O1" s="91"/>
      <c r="Q1" s="91"/>
      <c r="R1" s="91"/>
      <c r="S1" s="91"/>
      <c r="T1" s="91"/>
      <c r="U1" s="91"/>
    </row>
    <row r="2" spans="1:21">
      <c r="A2" s="198"/>
      <c r="B2" s="199"/>
      <c r="C2" s="199"/>
      <c r="D2" s="199"/>
      <c r="E2" s="199"/>
      <c r="F2" s="199"/>
      <c r="G2" s="199"/>
      <c r="H2" s="199"/>
      <c r="I2" s="199"/>
      <c r="J2" s="204"/>
      <c r="K2" s="201"/>
      <c r="L2" s="201"/>
      <c r="M2" s="201"/>
      <c r="N2" s="202"/>
      <c r="P2" s="198"/>
    </row>
    <row r="3" spans="1:21" s="41" customFormat="1" ht="9.75" thickBot="1">
      <c r="A3" s="88" t="s">
        <v>405</v>
      </c>
      <c r="B3" s="88">
        <v>2000</v>
      </c>
      <c r="C3" s="88">
        <v>2001</v>
      </c>
      <c r="D3" s="88">
        <v>2002</v>
      </c>
      <c r="E3" s="88">
        <v>2003</v>
      </c>
      <c r="F3" s="88">
        <v>2004</v>
      </c>
      <c r="G3" s="88">
        <v>2005</v>
      </c>
      <c r="H3" s="88">
        <v>2006</v>
      </c>
      <c r="I3" s="88">
        <v>2007</v>
      </c>
      <c r="J3" s="88">
        <v>2008</v>
      </c>
      <c r="K3" s="88">
        <v>2009</v>
      </c>
      <c r="L3" s="88">
        <v>2010</v>
      </c>
      <c r="M3" s="88">
        <v>2011</v>
      </c>
      <c r="N3" s="88">
        <v>2012</v>
      </c>
      <c r="O3" s="91"/>
      <c r="Q3" s="91"/>
      <c r="R3" s="91"/>
      <c r="S3" s="91"/>
      <c r="T3" s="91"/>
      <c r="U3" s="91"/>
    </row>
    <row r="4" spans="1:21" ht="9.75" thickTop="1">
      <c r="A4" s="217" t="s">
        <v>202</v>
      </c>
      <c r="B4" s="217">
        <v>94.930191858312824</v>
      </c>
      <c r="C4" s="217">
        <v>100.41543842252561</v>
      </c>
      <c r="D4" s="217">
        <v>99.736262365683075</v>
      </c>
      <c r="E4" s="217">
        <v>102.69188502046734</v>
      </c>
      <c r="F4" s="217">
        <v>106.35454620075046</v>
      </c>
      <c r="G4" s="217">
        <v>110.1718709491728</v>
      </c>
      <c r="H4" s="217">
        <v>112.55861461709023</v>
      </c>
      <c r="I4" s="217">
        <v>113.26920731707311</v>
      </c>
      <c r="J4" s="217">
        <v>116.46629455909942</v>
      </c>
      <c r="K4" s="217">
        <v>121.64818501620331</v>
      </c>
      <c r="L4" s="217">
        <v>123.39950118026179</v>
      </c>
      <c r="M4" s="217">
        <v>127.42680972740065</v>
      </c>
      <c r="N4" s="217">
        <v>132.03853872486354</v>
      </c>
      <c r="O4" s="41"/>
    </row>
    <row r="5" spans="1:21">
      <c r="A5" s="218" t="s">
        <v>203</v>
      </c>
      <c r="B5" s="218">
        <v>95.427992732802508</v>
      </c>
      <c r="C5" s="218">
        <v>100.50374650409448</v>
      </c>
      <c r="D5" s="218">
        <v>99.767115384615352</v>
      </c>
      <c r="E5" s="218">
        <v>103.15225236653592</v>
      </c>
      <c r="F5" s="218">
        <v>106.5968223392461</v>
      </c>
      <c r="G5" s="218">
        <v>110.03592412161009</v>
      </c>
      <c r="H5" s="218">
        <v>112.5618593296947</v>
      </c>
      <c r="I5" s="218">
        <v>113.29264540337709</v>
      </c>
      <c r="J5" s="218">
        <v>116.65311039570187</v>
      </c>
      <c r="K5" s="218">
        <v>121.16662651373017</v>
      </c>
      <c r="L5" s="218">
        <v>123.6355850511257</v>
      </c>
      <c r="M5" s="218">
        <v>127.54172832229658</v>
      </c>
      <c r="N5" s="218">
        <v>132.66671541738449</v>
      </c>
      <c r="O5" s="41"/>
      <c r="P5" s="41"/>
    </row>
    <row r="6" spans="1:21">
      <c r="A6" s="217" t="s">
        <v>204</v>
      </c>
      <c r="B6" s="217">
        <v>95.895455492531497</v>
      </c>
      <c r="C6" s="217">
        <v>100.85963758290275</v>
      </c>
      <c r="D6" s="217">
        <v>100.07630671158108</v>
      </c>
      <c r="E6" s="217">
        <v>105.63735171840356</v>
      </c>
      <c r="F6" s="217">
        <v>107.26153600972199</v>
      </c>
      <c r="G6" s="217">
        <v>110.54151298396727</v>
      </c>
      <c r="H6" s="217">
        <v>112.96151117175511</v>
      </c>
      <c r="I6" s="217">
        <v>113.54913269657168</v>
      </c>
      <c r="J6" s="217">
        <v>117.32104404741597</v>
      </c>
      <c r="K6" s="217">
        <v>121.78910881801126</v>
      </c>
      <c r="L6" s="217">
        <v>124.00226048079053</v>
      </c>
      <c r="M6" s="217">
        <v>128.11475753180966</v>
      </c>
      <c r="N6" s="217">
        <v>133.56963635148389</v>
      </c>
      <c r="O6" s="41"/>
      <c r="P6" s="41"/>
    </row>
    <row r="7" spans="1:21" s="41" customFormat="1">
      <c r="A7" s="218" t="s">
        <v>205</v>
      </c>
      <c r="B7" s="218">
        <v>96.467146229803063</v>
      </c>
      <c r="C7" s="218">
        <v>100.9969040126439</v>
      </c>
      <c r="D7" s="218">
        <v>100.4313197168685</v>
      </c>
      <c r="E7" s="218">
        <v>105.93496066433568</v>
      </c>
      <c r="F7" s="218">
        <v>107.52077402780147</v>
      </c>
      <c r="G7" s="218">
        <v>110.69871769998296</v>
      </c>
      <c r="H7" s="218">
        <v>113.16814855875832</v>
      </c>
      <c r="I7" s="218">
        <v>113.66943416339758</v>
      </c>
      <c r="J7" s="218">
        <v>117.62867772471431</v>
      </c>
      <c r="K7" s="218">
        <v>121.92257355449428</v>
      </c>
      <c r="L7" s="218">
        <v>124.22189631248932</v>
      </c>
      <c r="M7" s="218">
        <v>128.5296256341037</v>
      </c>
      <c r="N7" s="218">
        <v>134.06832689101142</v>
      </c>
      <c r="O7" s="91"/>
    </row>
    <row r="8" spans="1:21">
      <c r="A8" s="217" t="s">
        <v>206</v>
      </c>
      <c r="B8" s="217">
        <v>96.569706418102257</v>
      </c>
      <c r="C8" s="217">
        <v>101.06291888668099</v>
      </c>
      <c r="D8" s="217">
        <v>100.50076859116494</v>
      </c>
      <c r="E8" s="217">
        <v>105.58369595343682</v>
      </c>
      <c r="F8" s="217">
        <v>107.61594949258057</v>
      </c>
      <c r="G8" s="217">
        <v>110.58386736738871</v>
      </c>
      <c r="H8" s="217">
        <v>112.94204588094834</v>
      </c>
      <c r="I8" s="217">
        <v>113.97050081016545</v>
      </c>
      <c r="J8" s="217">
        <v>117.76445612314512</v>
      </c>
      <c r="K8" s="217">
        <v>121.96831400307009</v>
      </c>
      <c r="L8" s="217">
        <v>124.56925342998464</v>
      </c>
      <c r="M8" s="217">
        <v>128.51708001867641</v>
      </c>
      <c r="N8" s="217">
        <v>134.29136464301553</v>
      </c>
      <c r="P8" s="41"/>
    </row>
    <row r="9" spans="1:21" s="41" customFormat="1">
      <c r="A9" s="218" t="s">
        <v>207</v>
      </c>
      <c r="B9" s="218">
        <v>96.730318810365333</v>
      </c>
      <c r="C9" s="218">
        <v>101.22799771163282</v>
      </c>
      <c r="D9" s="218">
        <v>100.97521831826708</v>
      </c>
      <c r="E9" s="218">
        <v>105.50467646682584</v>
      </c>
      <c r="F9" s="218">
        <v>107.86505106174313</v>
      </c>
      <c r="G9" s="218">
        <v>110.80880436636531</v>
      </c>
      <c r="H9" s="218">
        <v>113.13194716868502</v>
      </c>
      <c r="I9" s="218">
        <v>114.72904485758141</v>
      </c>
      <c r="J9" s="218">
        <v>118.56037118369433</v>
      </c>
      <c r="K9" s="218">
        <v>122.04394635851952</v>
      </c>
      <c r="L9" s="218">
        <v>124.6964797755202</v>
      </c>
      <c r="M9" s="218">
        <v>129.07502195840436</v>
      </c>
      <c r="N9" s="218">
        <v>134.49005924899794</v>
      </c>
      <c r="O9" s="91"/>
    </row>
    <row r="10" spans="1:21">
      <c r="A10" s="217" t="s">
        <v>208</v>
      </c>
      <c r="B10" s="217">
        <v>97.156825511998193</v>
      </c>
      <c r="C10" s="217">
        <v>101.09819957339919</v>
      </c>
      <c r="D10" s="217">
        <v>101.20859351014838</v>
      </c>
      <c r="E10" s="217">
        <v>105.5210153718233</v>
      </c>
      <c r="F10" s="217">
        <v>108.27458670902269</v>
      </c>
      <c r="G10" s="217">
        <v>110.80534261470238</v>
      </c>
      <c r="H10" s="217">
        <v>113.47094384274261</v>
      </c>
      <c r="I10" s="217">
        <v>115.0533773238956</v>
      </c>
      <c r="J10" s="217">
        <v>119.23368987719596</v>
      </c>
      <c r="K10" s="217">
        <v>122.29159666552958</v>
      </c>
      <c r="L10" s="217">
        <v>125.16864156632694</v>
      </c>
      <c r="M10" s="217">
        <v>129.68839292891863</v>
      </c>
      <c r="N10" s="217">
        <v>134.58514510035394</v>
      </c>
      <c r="P10" s="41"/>
    </row>
    <row r="11" spans="1:21">
      <c r="A11" s="218" t="s">
        <v>209</v>
      </c>
      <c r="B11" s="218">
        <v>97.606580510305079</v>
      </c>
      <c r="C11" s="247">
        <v>100.78592972532228</v>
      </c>
      <c r="D11" s="247">
        <v>101.43324151458299</v>
      </c>
      <c r="E11" s="247">
        <v>105.63757216868498</v>
      </c>
      <c r="F11" s="247">
        <v>108.4076269614532</v>
      </c>
      <c r="G11" s="247">
        <v>111.19369478082892</v>
      </c>
      <c r="H11" s="247">
        <v>113.69485331741429</v>
      </c>
      <c r="I11" s="247">
        <v>115.34525989254645</v>
      </c>
      <c r="J11" s="247">
        <v>119.96366749104554</v>
      </c>
      <c r="K11" s="247">
        <v>122.13112783557906</v>
      </c>
      <c r="L11" s="247">
        <v>125.2166002594235</v>
      </c>
      <c r="M11" s="247">
        <v>130.07672267661604</v>
      </c>
      <c r="N11" s="247">
        <v>135.00835485336006</v>
      </c>
      <c r="P11" s="41"/>
    </row>
    <row r="12" spans="1:21">
      <c r="A12" s="217" t="s">
        <v>210</v>
      </c>
      <c r="B12" s="217">
        <v>98.331866128754172</v>
      </c>
      <c r="C12" s="217">
        <v>100.69859850215246</v>
      </c>
      <c r="D12" s="217">
        <v>102.03290039229063</v>
      </c>
      <c r="E12" s="217">
        <v>105.96766086048103</v>
      </c>
      <c r="F12" s="217">
        <v>108.681882888453</v>
      </c>
      <c r="G12" s="217">
        <v>111.78072083404402</v>
      </c>
      <c r="H12" s="217">
        <v>113.68850865597817</v>
      </c>
      <c r="I12" s="217">
        <v>115.56505543237247</v>
      </c>
      <c r="J12" s="217">
        <v>120.97555219171072</v>
      </c>
      <c r="K12" s="217">
        <v>122.26993625277159</v>
      </c>
      <c r="L12" s="217">
        <v>125.45074271627151</v>
      </c>
      <c r="M12" s="217">
        <v>130.6996823644252</v>
      </c>
      <c r="N12" s="217">
        <v>135.32596722925553</v>
      </c>
      <c r="O12" s="272"/>
      <c r="P12" s="272"/>
      <c r="Q12" s="272"/>
    </row>
    <row r="13" spans="1:21">
      <c r="A13" s="218" t="s">
        <v>211</v>
      </c>
      <c r="B13" s="218">
        <v>98.874947510230669</v>
      </c>
      <c r="C13" s="247">
        <v>100.44338158209216</v>
      </c>
      <c r="D13" s="247">
        <v>102.254941369606</v>
      </c>
      <c r="E13" s="247">
        <v>105.96685900989253</v>
      </c>
      <c r="F13" s="247">
        <v>109.21706602848373</v>
      </c>
      <c r="G13" s="247">
        <v>112.00799164250384</v>
      </c>
      <c r="H13" s="247">
        <v>113.4651969981238</v>
      </c>
      <c r="I13" s="247">
        <v>115.77382014327135</v>
      </c>
      <c r="J13" s="247">
        <v>121.95419495139008</v>
      </c>
      <c r="K13" s="247">
        <v>122.15365619136959</v>
      </c>
      <c r="L13" s="247">
        <v>125.82070883670899</v>
      </c>
      <c r="M13" s="247">
        <v>131.0055293818651</v>
      </c>
      <c r="N13" s="247">
        <v>135.41899558429984</v>
      </c>
      <c r="O13" s="272"/>
      <c r="P13" s="272"/>
      <c r="Q13" s="272"/>
    </row>
    <row r="14" spans="1:21">
      <c r="A14" s="217" t="s">
        <v>212</v>
      </c>
      <c r="B14" s="217">
        <v>99.798141257002484</v>
      </c>
      <c r="C14" s="217">
        <v>99.99366968440961</v>
      </c>
      <c r="D14" s="217">
        <v>102.521639732219</v>
      </c>
      <c r="E14" s="217">
        <v>105.93093115725738</v>
      </c>
      <c r="F14" s="217">
        <v>110.27048300784581</v>
      </c>
      <c r="G14" s="217">
        <v>112.24781084768891</v>
      </c>
      <c r="H14" s="217">
        <v>113.37565538120415</v>
      </c>
      <c r="I14" s="217">
        <v>115.94618987719598</v>
      </c>
      <c r="J14" s="217">
        <v>122.61484393655124</v>
      </c>
      <c r="K14" s="217">
        <v>122.20479745863895</v>
      </c>
      <c r="L14" s="217">
        <v>126.04116282127325</v>
      </c>
      <c r="M14" s="217">
        <v>131.34502173217641</v>
      </c>
      <c r="N14" s="217">
        <v>135.4594516668088</v>
      </c>
      <c r="O14" s="272"/>
      <c r="P14" s="272"/>
      <c r="Q14" s="272"/>
    </row>
    <row r="15" spans="1:21">
      <c r="A15" s="218" t="s">
        <v>213</v>
      </c>
      <c r="B15" s="218">
        <v>100.27199232948195</v>
      </c>
      <c r="C15" s="218">
        <v>100</v>
      </c>
      <c r="D15" s="218">
        <v>102.56662928534881</v>
      </c>
      <c r="E15" s="218">
        <v>106.19206922650517</v>
      </c>
      <c r="F15" s="218">
        <v>110.43923418045367</v>
      </c>
      <c r="G15" s="218">
        <v>112.5767591250213</v>
      </c>
      <c r="H15" s="218">
        <v>113.46264625618281</v>
      </c>
      <c r="I15" s="218">
        <v>116.43300805901413</v>
      </c>
      <c r="J15" s="218">
        <v>122.52565346239126</v>
      </c>
      <c r="K15" s="218">
        <v>122.72943757462049</v>
      </c>
      <c r="L15" s="218">
        <v>126.76913356796862</v>
      </c>
      <c r="M15" s="218">
        <v>132.05507465629799</v>
      </c>
      <c r="N15" s="218">
        <v>136.17125427566947</v>
      </c>
      <c r="O15" s="272"/>
      <c r="P15" s="272"/>
      <c r="Q15" s="272"/>
    </row>
    <row r="16" spans="1:21">
      <c r="A16" s="238" t="s">
        <v>147</v>
      </c>
      <c r="B16" s="238">
        <f>+ROUND(AVERAGE(B4:B15),2)</f>
        <v>97.34</v>
      </c>
      <c r="C16" s="238">
        <f>+ROUND(AVERAGE(C4:C15),2)</f>
        <v>100.67</v>
      </c>
      <c r="D16" s="238">
        <f t="shared" ref="D16:N16" si="0">+ROUND(AVERAGE(D4:D15),2)</f>
        <v>101.13</v>
      </c>
      <c r="E16" s="238">
        <f t="shared" si="0"/>
        <v>105.31</v>
      </c>
      <c r="F16" s="238">
        <f>+ROUND(AVERAGE(F4:F15),2)</f>
        <v>108.21</v>
      </c>
      <c r="G16" s="238">
        <f t="shared" si="0"/>
        <v>111.12</v>
      </c>
      <c r="H16" s="238">
        <f t="shared" si="0"/>
        <v>113.21</v>
      </c>
      <c r="I16" s="238">
        <f t="shared" si="0"/>
        <v>114.72</v>
      </c>
      <c r="J16" s="238">
        <f t="shared" si="0"/>
        <v>119.31</v>
      </c>
      <c r="K16" s="238">
        <f t="shared" si="0"/>
        <v>122.03</v>
      </c>
      <c r="L16" s="238">
        <f t="shared" si="0"/>
        <v>124.92</v>
      </c>
      <c r="M16" s="238">
        <f t="shared" si="0"/>
        <v>129.51</v>
      </c>
      <c r="N16" s="238">
        <f t="shared" si="0"/>
        <v>134.41999999999999</v>
      </c>
      <c r="O16" s="272"/>
      <c r="P16" s="272"/>
      <c r="Q16" s="272"/>
    </row>
    <row r="17" spans="1:15">
      <c r="A17" s="195"/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41"/>
    </row>
    <row r="18" spans="1:15">
      <c r="A18" s="434" t="s">
        <v>540</v>
      </c>
      <c r="B18" s="252"/>
      <c r="C18" s="325">
        <f t="shared" ref="C18:N18" si="1">+C16/B16-1</f>
        <v>3.4209985617423389E-2</v>
      </c>
      <c r="D18" s="325">
        <f t="shared" si="1"/>
        <v>4.5693851196979551E-3</v>
      </c>
      <c r="E18" s="325">
        <f t="shared" si="1"/>
        <v>4.1332937802828207E-2</v>
      </c>
      <c r="F18" s="325">
        <f t="shared" si="1"/>
        <v>2.7537745703162031E-2</v>
      </c>
      <c r="G18" s="325">
        <f t="shared" si="1"/>
        <v>2.6892154144718683E-2</v>
      </c>
      <c r="H18" s="325">
        <f t="shared" si="1"/>
        <v>1.8808495320374208E-2</v>
      </c>
      <c r="I18" s="325">
        <f t="shared" si="1"/>
        <v>1.3338044342372735E-2</v>
      </c>
      <c r="J18" s="325">
        <f t="shared" si="1"/>
        <v>4.0010460251046043E-2</v>
      </c>
      <c r="K18" s="325">
        <f t="shared" si="1"/>
        <v>2.2797753750733341E-2</v>
      </c>
      <c r="L18" s="325">
        <f t="shared" si="1"/>
        <v>2.3682700975170112E-2</v>
      </c>
      <c r="M18" s="325">
        <f t="shared" si="1"/>
        <v>3.6743515850143904E-2</v>
      </c>
      <c r="N18" s="325">
        <f t="shared" si="1"/>
        <v>3.7912130337425687E-2</v>
      </c>
      <c r="O18" s="203"/>
    </row>
    <row r="19" spans="1:15">
      <c r="A19" s="434" t="s">
        <v>541</v>
      </c>
      <c r="B19" s="252"/>
      <c r="C19" s="325">
        <f>+Devaluacion!C19</f>
        <v>5.2189614464932532E-3</v>
      </c>
      <c r="D19" s="325">
        <f>+Devaluacion!D19</f>
        <v>2.7206004238824466E-3</v>
      </c>
      <c r="E19" s="325">
        <f>+Devaluacion!E19</f>
        <v>-1.0930622157210634E-2</v>
      </c>
      <c r="F19" s="325">
        <f>+Devaluacion!F19</f>
        <v>-1.8793540672651043E-2</v>
      </c>
      <c r="G19" s="325">
        <f>+Devaluacion!G19</f>
        <v>-3.4310683808442488E-2</v>
      </c>
      <c r="H19" s="325">
        <f>+Devaluacion!H19</f>
        <v>-6.7101718111159947E-3</v>
      </c>
      <c r="I19" s="325">
        <f>+Devaluacion!I19</f>
        <v>-4.4466221866550248E-2</v>
      </c>
      <c r="J19" s="325">
        <f>+Devaluacion!J19</f>
        <v>-6.4891261676284895E-2</v>
      </c>
      <c r="K19" s="325">
        <f>+Devaluacion!K19</f>
        <v>2.9490262473607531E-2</v>
      </c>
      <c r="L19" s="325">
        <f>+Devaluacion!L19</f>
        <v>-6.1887870806829004E-2</v>
      </c>
      <c r="M19" s="325">
        <f>+Devaluacion!M19</f>
        <v>-2.5152922766101482E-2</v>
      </c>
      <c r="N19" s="325">
        <f>+Devaluacion!N19</f>
        <v>-4.229712156252019E-2</v>
      </c>
      <c r="O19" s="203"/>
    </row>
    <row r="20" spans="1:15">
      <c r="A20" s="271" t="s">
        <v>542</v>
      </c>
      <c r="B20" s="435">
        <v>0.01</v>
      </c>
      <c r="C20" s="436">
        <f>+B20*(1+C18)/(1+C19)</f>
        <v>1.028840506678478E-2</v>
      </c>
      <c r="D20" s="436">
        <f t="shared" ref="D20:N20" si="2">+C20*(1+D18)/(1+D19)</f>
        <v>1.0307374504356702E-2</v>
      </c>
      <c r="E20" s="436">
        <f t="shared" si="2"/>
        <v>1.0852027991267756E-2</v>
      </c>
      <c r="F20" s="436">
        <f t="shared" si="2"/>
        <v>1.1364446567238449E-2</v>
      </c>
      <c r="G20" s="436">
        <f t="shared" si="2"/>
        <v>1.208469517102862E-2</v>
      </c>
      <c r="H20" s="436">
        <f t="shared" si="2"/>
        <v>1.2395163782206588E-2</v>
      </c>
      <c r="I20" s="436">
        <f t="shared" si="2"/>
        <v>1.3144999490128371E-2</v>
      </c>
      <c r="J20" s="436">
        <f t="shared" si="2"/>
        <v>1.4619622734180439E-2</v>
      </c>
      <c r="K20" s="436">
        <f t="shared" si="2"/>
        <v>1.4524583513082279E-2</v>
      </c>
      <c r="L20" s="436">
        <f t="shared" si="2"/>
        <v>1.5849453832346556E-2</v>
      </c>
      <c r="M20" s="436">
        <f t="shared" si="2"/>
        <v>1.6855790897046474E-2</v>
      </c>
      <c r="N20" s="436">
        <f t="shared" si="2"/>
        <v>1.8267492175672501E-2</v>
      </c>
    </row>
  </sheetData>
  <mergeCells count="1">
    <mergeCell ref="E1:H1"/>
  </mergeCells>
  <hyperlinks>
    <hyperlink ref="E1:H1" location="Indice!D3" display="ÍNDICE"/>
  </hyperlinks>
  <pageMargins left="0.7" right="0.7" top="0.75" bottom="0.75" header="0.3" footer="0.3"/>
  <pageSetup paperSize="9" orientation="portrait" r:id="rId1"/>
  <ignoredErrors>
    <ignoredError sqref="B16:N16" formulaRange="1"/>
  </ignoredErrors>
</worksheet>
</file>

<file path=xl/worksheets/sheet44.xml><?xml version="1.0" encoding="utf-8"?>
<worksheet xmlns="http://schemas.openxmlformats.org/spreadsheetml/2006/main" xmlns:r="http://schemas.openxmlformats.org/officeDocument/2006/relationships">
  <sheetPr codeName="Hoja35">
    <tabColor rgb="FFC00000"/>
  </sheetPr>
  <dimension ref="A1:T20"/>
  <sheetViews>
    <sheetView showGridLines="0" workbookViewId="0">
      <selection activeCell="E2" sqref="E2:H2"/>
    </sheetView>
  </sheetViews>
  <sheetFormatPr baseColWidth="10" defaultColWidth="9.140625" defaultRowHeight="9" outlineLevelRow="1"/>
  <cols>
    <col min="1" max="1" width="14.42578125" style="156" customWidth="1"/>
    <col min="2" max="14" width="8.85546875" style="156" customWidth="1"/>
    <col min="15" max="16" width="9.140625" style="156"/>
    <col min="17" max="17" width="9" style="156" customWidth="1"/>
    <col min="18" max="16384" width="9.140625" style="156"/>
  </cols>
  <sheetData>
    <row r="1" spans="1:20">
      <c r="A1" s="270"/>
      <c r="N1" s="158"/>
      <c r="O1" s="158"/>
      <c r="P1" s="158"/>
      <c r="Q1" s="158"/>
      <c r="R1" s="158"/>
      <c r="S1" s="158"/>
      <c r="T1" s="158"/>
    </row>
    <row r="2" spans="1:20" ht="15">
      <c r="E2" s="444" t="s">
        <v>555</v>
      </c>
      <c r="F2" s="444"/>
      <c r="G2" s="444"/>
      <c r="H2" s="444"/>
      <c r="N2" s="158"/>
      <c r="O2" s="158"/>
      <c r="P2" s="158"/>
      <c r="Q2" s="158"/>
      <c r="R2" s="158"/>
      <c r="S2" s="158"/>
      <c r="T2" s="158"/>
    </row>
    <row r="4" spans="1:20">
      <c r="A4" s="157" t="s">
        <v>401</v>
      </c>
      <c r="B4" s="158"/>
      <c r="C4" s="158"/>
    </row>
    <row r="5" spans="1:20" ht="9.75" thickBot="1">
      <c r="A5" s="88"/>
      <c r="B5" s="88">
        <v>2000</v>
      </c>
      <c r="C5" s="88">
        <v>2001</v>
      </c>
      <c r="D5" s="88">
        <v>2002</v>
      </c>
      <c r="E5" s="88">
        <v>2003</v>
      </c>
      <c r="F5" s="88">
        <v>2004</v>
      </c>
      <c r="G5" s="88">
        <v>2005</v>
      </c>
      <c r="H5" s="88">
        <v>2006</v>
      </c>
      <c r="I5" s="88">
        <v>2007</v>
      </c>
      <c r="J5" s="88">
        <v>2008</v>
      </c>
      <c r="K5" s="88">
        <v>2009</v>
      </c>
      <c r="L5" s="88">
        <v>2010</v>
      </c>
      <c r="M5" s="88">
        <v>2011</v>
      </c>
      <c r="N5" s="88">
        <v>2012</v>
      </c>
    </row>
    <row r="6" spans="1:20" s="158" customFormat="1" ht="9.75" outlineLevel="1" thickTop="1">
      <c r="A6" s="227" t="s">
        <v>202</v>
      </c>
      <c r="B6" s="227">
        <v>3.5015714285714301</v>
      </c>
      <c r="C6" s="227">
        <v>3.52404545454546</v>
      </c>
      <c r="D6" s="227">
        <v>3.4609545454545501</v>
      </c>
      <c r="E6" s="227">
        <v>3.4947727272727298</v>
      </c>
      <c r="F6" s="227">
        <v>3.46771428571429</v>
      </c>
      <c r="G6" s="227">
        <v>3.2690952380952401</v>
      </c>
      <c r="H6" s="227">
        <v>3.39427272727273</v>
      </c>
      <c r="I6" s="227">
        <v>3.1930454545454601</v>
      </c>
      <c r="J6" s="227">
        <v>2.9510000000000001</v>
      </c>
      <c r="K6" s="227">
        <v>3.1517499999999998</v>
      </c>
      <c r="L6" s="227">
        <v>2.8573</v>
      </c>
      <c r="M6" s="227">
        <v>2.78780952380952</v>
      </c>
      <c r="N6" s="227">
        <v>2.6933181818181802</v>
      </c>
    </row>
    <row r="7" spans="1:20" s="158" customFormat="1" outlineLevel="1">
      <c r="A7" s="228" t="s">
        <v>203</v>
      </c>
      <c r="B7" s="228">
        <v>3.4577142857142902</v>
      </c>
      <c r="C7" s="228">
        <v>3.52955</v>
      </c>
      <c r="D7" s="228">
        <v>3.4777</v>
      </c>
      <c r="E7" s="228">
        <v>3.4847000000000001</v>
      </c>
      <c r="F7" s="228">
        <v>3.4841500000000001</v>
      </c>
      <c r="G7" s="228">
        <v>3.2596500000000002</v>
      </c>
      <c r="H7" s="228">
        <v>3.2896000000000001</v>
      </c>
      <c r="I7" s="228">
        <v>3.19075</v>
      </c>
      <c r="J7" s="228">
        <v>2.9062857142857101</v>
      </c>
      <c r="K7" s="228">
        <v>3.23685</v>
      </c>
      <c r="L7" s="228">
        <v>2.8548</v>
      </c>
      <c r="M7" s="228">
        <v>2.77115</v>
      </c>
      <c r="N7" s="228">
        <v>2.6842380952381002</v>
      </c>
    </row>
    <row r="8" spans="1:20" s="158" customFormat="1" outlineLevel="1">
      <c r="A8" s="227" t="s">
        <v>204</v>
      </c>
      <c r="B8" s="227">
        <v>3.4449130434782602</v>
      </c>
      <c r="C8" s="227">
        <v>3.5208181818181798</v>
      </c>
      <c r="D8" s="227">
        <v>3.45705263157895</v>
      </c>
      <c r="E8" s="227">
        <v>3.48003333333333</v>
      </c>
      <c r="F8" s="227">
        <v>3.4659130434782601</v>
      </c>
      <c r="G8" s="227">
        <v>3.2602380952380998</v>
      </c>
      <c r="H8" s="227">
        <v>3.3402608695652201</v>
      </c>
      <c r="I8" s="227">
        <v>3.18618181818182</v>
      </c>
      <c r="J8" s="227">
        <v>2.8118947368421101</v>
      </c>
      <c r="K8" s="227">
        <v>3.1754090909090902</v>
      </c>
      <c r="L8" s="227">
        <v>2.8403043478260899</v>
      </c>
      <c r="M8" s="227">
        <v>2.7798695652173899</v>
      </c>
      <c r="N8" s="227">
        <v>2.6715909090909098</v>
      </c>
    </row>
    <row r="9" spans="1:20" s="158" customFormat="1" outlineLevel="1">
      <c r="A9" s="228" t="s">
        <v>205</v>
      </c>
      <c r="B9" s="228">
        <v>3.4807222222222198</v>
      </c>
      <c r="C9" s="228">
        <v>3.5603684210526301</v>
      </c>
      <c r="D9" s="228">
        <v>3.4397272727272701</v>
      </c>
      <c r="E9" s="228">
        <v>3.4654500000000001</v>
      </c>
      <c r="F9" s="228">
        <v>3.4702999999999999</v>
      </c>
      <c r="G9" s="228">
        <v>3.2588499999999998</v>
      </c>
      <c r="H9" s="228">
        <v>3.3322777777777799</v>
      </c>
      <c r="I9" s="228">
        <v>3.17868421052632</v>
      </c>
      <c r="J9" s="228">
        <v>2.74945454545455</v>
      </c>
      <c r="K9" s="228">
        <v>3.08575</v>
      </c>
      <c r="L9" s="228">
        <v>2.8406500000000001</v>
      </c>
      <c r="M9" s="228">
        <v>2.8162631578947401</v>
      </c>
      <c r="N9" s="228">
        <v>2.6576666666666702</v>
      </c>
    </row>
    <row r="10" spans="1:20" s="158" customFormat="1" outlineLevel="1">
      <c r="A10" s="227" t="s">
        <v>206</v>
      </c>
      <c r="B10" s="227">
        <v>3.5051363636363599</v>
      </c>
      <c r="C10" s="227">
        <v>3.6016363636363602</v>
      </c>
      <c r="D10" s="227">
        <v>3.4525454545454499</v>
      </c>
      <c r="E10" s="227">
        <v>3.4820000000000002</v>
      </c>
      <c r="F10" s="227">
        <v>3.4880476190476202</v>
      </c>
      <c r="G10" s="227">
        <v>3.25576190476191</v>
      </c>
      <c r="H10" s="227">
        <v>3.2799681818181798</v>
      </c>
      <c r="I10" s="227">
        <v>3.1680454545454499</v>
      </c>
      <c r="J10" s="227">
        <v>2.8053684210526302</v>
      </c>
      <c r="K10" s="227">
        <v>2.9944000000000002</v>
      </c>
      <c r="L10" s="227">
        <v>2.8461428571428602</v>
      </c>
      <c r="M10" s="227">
        <v>2.7755714285714301</v>
      </c>
      <c r="N10" s="227">
        <v>2.6699545454545501</v>
      </c>
    </row>
    <row r="11" spans="1:20" s="158" customFormat="1" outlineLevel="1">
      <c r="A11" s="228" t="s">
        <v>207</v>
      </c>
      <c r="B11" s="228">
        <v>3.4887142857142899</v>
      </c>
      <c r="C11" s="228">
        <v>3.5329649999999999</v>
      </c>
      <c r="D11" s="228">
        <v>3.4818947368420998</v>
      </c>
      <c r="E11" s="228">
        <v>3.4795714285714299</v>
      </c>
      <c r="F11" s="228">
        <v>3.4778571428571401</v>
      </c>
      <c r="G11" s="228">
        <v>3.25338095238095</v>
      </c>
      <c r="H11" s="228">
        <v>3.2646476190476199</v>
      </c>
      <c r="I11" s="228">
        <v>3.1706500000000002</v>
      </c>
      <c r="J11" s="228">
        <v>2.8928571428571401</v>
      </c>
      <c r="K11" s="228">
        <v>2.9910000000000001</v>
      </c>
      <c r="L11" s="228">
        <v>2.8386499999999999</v>
      </c>
      <c r="M11" s="228">
        <v>2.7647142857142901</v>
      </c>
      <c r="N11" s="228">
        <v>2.6711499999999999</v>
      </c>
    </row>
    <row r="12" spans="1:20" s="158" customFormat="1" outlineLevel="1">
      <c r="A12" s="227" t="s">
        <v>208</v>
      </c>
      <c r="B12" s="227">
        <v>3.4819499999999999</v>
      </c>
      <c r="C12" s="227">
        <v>3.5049523809523802</v>
      </c>
      <c r="D12" s="227">
        <v>3.53457142857143</v>
      </c>
      <c r="E12" s="227">
        <v>3.472</v>
      </c>
      <c r="F12" s="227">
        <v>3.4422000000000001</v>
      </c>
      <c r="G12" s="227">
        <v>3.25278947368421</v>
      </c>
      <c r="H12" s="227">
        <v>3.2437</v>
      </c>
      <c r="I12" s="227">
        <v>3.1614090909090899</v>
      </c>
      <c r="J12" s="227">
        <v>2.8492380952380998</v>
      </c>
      <c r="K12" s="227">
        <v>3.01315</v>
      </c>
      <c r="L12" s="227">
        <v>2.8234210526315802</v>
      </c>
      <c r="M12" s="227">
        <v>2.7418947368421098</v>
      </c>
      <c r="N12" s="227">
        <v>2.6357619047619001</v>
      </c>
    </row>
    <row r="13" spans="1:20" s="158" customFormat="1" outlineLevel="1">
      <c r="A13" s="228" t="s">
        <v>209</v>
      </c>
      <c r="B13" s="228">
        <v>3.4790454545454601</v>
      </c>
      <c r="C13" s="248">
        <v>3.4931818181818199</v>
      </c>
      <c r="D13" s="248">
        <v>3.57123809523809</v>
      </c>
      <c r="E13" s="248">
        <v>3.4809047619047599</v>
      </c>
      <c r="F13" s="248">
        <v>3.3962857142857201</v>
      </c>
      <c r="G13" s="248">
        <v>3.2579090909090902</v>
      </c>
      <c r="H13" s="248">
        <v>3.2350454545454501</v>
      </c>
      <c r="I13" s="248">
        <v>3.15877272727273</v>
      </c>
      <c r="J13" s="248">
        <v>2.8934285714285699</v>
      </c>
      <c r="K13" s="248">
        <v>2.9512380952381001</v>
      </c>
      <c r="L13" s="248">
        <v>2.8025238095238101</v>
      </c>
      <c r="M13" s="248">
        <v>2.74</v>
      </c>
      <c r="N13" s="248">
        <v>2.6165238095238101</v>
      </c>
    </row>
    <row r="14" spans="1:20" s="158" customFormat="1" outlineLevel="1">
      <c r="A14" s="227" t="s">
        <v>210</v>
      </c>
      <c r="B14" s="227">
        <v>3.4862380952380998</v>
      </c>
      <c r="C14" s="227">
        <v>3.4911500000000002</v>
      </c>
      <c r="D14" s="227">
        <v>3.6201428571428602</v>
      </c>
      <c r="E14" s="227">
        <v>3.4815909090909098</v>
      </c>
      <c r="F14" s="227">
        <v>3.35840909090909</v>
      </c>
      <c r="G14" s="227">
        <v>3.3084090909090902</v>
      </c>
      <c r="H14" s="227">
        <v>3.2484285714285699</v>
      </c>
      <c r="I14" s="227">
        <v>3.13645</v>
      </c>
      <c r="J14" s="227">
        <v>2.9667727272727298</v>
      </c>
      <c r="K14" s="227">
        <v>2.9103181818181798</v>
      </c>
      <c r="L14" s="227">
        <v>2.7910909090909102</v>
      </c>
      <c r="M14" s="227">
        <v>2.7443181818181799</v>
      </c>
      <c r="N14" s="227">
        <v>2.6032999999999999</v>
      </c>
    </row>
    <row r="15" spans="1:20" s="158" customFormat="1" outlineLevel="1">
      <c r="A15" s="228" t="s">
        <v>211</v>
      </c>
      <c r="B15" s="228">
        <v>3.5017727272727299</v>
      </c>
      <c r="C15" s="248">
        <v>3.4614090909090902</v>
      </c>
      <c r="D15" s="248">
        <v>3.6164190476190501</v>
      </c>
      <c r="E15" s="248">
        <v>3.4788636363636298</v>
      </c>
      <c r="F15" s="248">
        <v>3.3220499999999999</v>
      </c>
      <c r="G15" s="248">
        <v>3.3819047619047602</v>
      </c>
      <c r="H15" s="248">
        <v>3.2380454545454498</v>
      </c>
      <c r="I15" s="248">
        <v>3.0203181818181801</v>
      </c>
      <c r="J15" s="248">
        <v>3.07713636363636</v>
      </c>
      <c r="K15" s="248">
        <v>2.8725999999999998</v>
      </c>
      <c r="L15" s="248">
        <v>2.7920500000000001</v>
      </c>
      <c r="M15" s="248">
        <v>2.7324000000000002</v>
      </c>
      <c r="N15" s="248">
        <v>2.5880999999999998</v>
      </c>
    </row>
    <row r="16" spans="1:20" s="158" customFormat="1" outlineLevel="1">
      <c r="A16" s="227" t="s">
        <v>212</v>
      </c>
      <c r="B16" s="227">
        <v>3.5299047619047599</v>
      </c>
      <c r="C16" s="227">
        <v>3.4407000000000001</v>
      </c>
      <c r="D16" s="227">
        <v>3.5843500000000001</v>
      </c>
      <c r="E16" s="227">
        <v>3.47845</v>
      </c>
      <c r="F16" s="227">
        <v>3.3110952380952399</v>
      </c>
      <c r="G16" s="227">
        <v>3.3769999999999998</v>
      </c>
      <c r="H16" s="227">
        <v>3.2225714285714302</v>
      </c>
      <c r="I16" s="227">
        <v>3.0016190476190499</v>
      </c>
      <c r="J16" s="227">
        <v>3.09283333333333</v>
      </c>
      <c r="K16" s="227">
        <v>2.8856190476190502</v>
      </c>
      <c r="L16" s="227">
        <v>2.8061428571428602</v>
      </c>
      <c r="M16" s="227">
        <v>2.70561904761905</v>
      </c>
      <c r="N16" s="227">
        <v>2.5991499999999998</v>
      </c>
    </row>
    <row r="17" spans="1:18" s="158" customFormat="1" outlineLevel="1">
      <c r="A17" s="228" t="s">
        <v>213</v>
      </c>
      <c r="B17" s="228">
        <v>3.5211052631578901</v>
      </c>
      <c r="C17" s="228">
        <v>3.4365749999999999</v>
      </c>
      <c r="D17" s="228">
        <v>3.5152857142857101</v>
      </c>
      <c r="E17" s="228">
        <v>3.4721428571428601</v>
      </c>
      <c r="F17" s="228">
        <v>3.28181818181818</v>
      </c>
      <c r="G17" s="228">
        <v>3.4252857142857098</v>
      </c>
      <c r="H17" s="228">
        <v>3.206</v>
      </c>
      <c r="I17" s="228">
        <v>2.9815999999999998</v>
      </c>
      <c r="J17" s="228">
        <v>3.1147499999999999</v>
      </c>
      <c r="K17" s="228">
        <v>2.8783684210526301</v>
      </c>
      <c r="L17" s="228">
        <v>2.8163499999999999</v>
      </c>
      <c r="M17" s="228">
        <v>2.6968947368421099</v>
      </c>
      <c r="N17" s="228">
        <v>2.5675555555555598</v>
      </c>
    </row>
    <row r="18" spans="1:18" s="158" customFormat="1">
      <c r="A18" s="401" t="s">
        <v>543</v>
      </c>
      <c r="B18" s="234">
        <f>+AVERAGE(B6:B17)</f>
        <v>3.4898989942879823</v>
      </c>
      <c r="C18" s="234">
        <f t="shared" ref="C18:N18" si="0">+AVERAGE(C6:C17)</f>
        <v>3.5081126425913269</v>
      </c>
      <c r="D18" s="234">
        <f t="shared" si="0"/>
        <v>3.5176568153337882</v>
      </c>
      <c r="E18" s="234">
        <f t="shared" si="0"/>
        <v>3.4792066378066377</v>
      </c>
      <c r="F18" s="234">
        <f t="shared" si="0"/>
        <v>3.4138200263504612</v>
      </c>
      <c r="G18" s="234">
        <f t="shared" si="0"/>
        <v>3.2966895268474219</v>
      </c>
      <c r="H18" s="234">
        <f t="shared" si="0"/>
        <v>3.274568173714369</v>
      </c>
      <c r="I18" s="234">
        <f t="shared" si="0"/>
        <v>3.1289604987848416</v>
      </c>
      <c r="J18" s="234">
        <f t="shared" si="0"/>
        <v>2.9259183042834356</v>
      </c>
      <c r="K18" s="234">
        <f>+AVERAGE(K6:K17)</f>
        <v>3.012204403053087</v>
      </c>
      <c r="L18" s="234">
        <f t="shared" si="0"/>
        <v>2.8257854861131761</v>
      </c>
      <c r="M18" s="234">
        <f t="shared" si="0"/>
        <v>2.7547087220274009</v>
      </c>
      <c r="N18" s="234">
        <f t="shared" si="0"/>
        <v>2.6381924723424732</v>
      </c>
      <c r="O18" s="159"/>
    </row>
    <row r="19" spans="1:18" s="161" customFormat="1">
      <c r="A19" s="402" t="s">
        <v>402</v>
      </c>
      <c r="B19" s="273"/>
      <c r="C19" s="252">
        <f t="shared" ref="C19:N19" si="1">+C18/B18-1</f>
        <v>5.2189614464932532E-3</v>
      </c>
      <c r="D19" s="252">
        <f t="shared" si="1"/>
        <v>2.7206004238824466E-3</v>
      </c>
      <c r="E19" s="252">
        <f t="shared" si="1"/>
        <v>-1.0930622157210634E-2</v>
      </c>
      <c r="F19" s="252">
        <f t="shared" si="1"/>
        <v>-1.8793540672651043E-2</v>
      </c>
      <c r="G19" s="252">
        <f t="shared" si="1"/>
        <v>-3.4310683808442488E-2</v>
      </c>
      <c r="H19" s="252">
        <f t="shared" si="1"/>
        <v>-6.7101718111159947E-3</v>
      </c>
      <c r="I19" s="252">
        <f t="shared" si="1"/>
        <v>-4.4466221866550248E-2</v>
      </c>
      <c r="J19" s="252">
        <f>+J18/I18-1</f>
        <v>-6.4891261676284895E-2</v>
      </c>
      <c r="K19" s="252">
        <f t="shared" si="1"/>
        <v>2.9490262473607531E-2</v>
      </c>
      <c r="L19" s="252">
        <f t="shared" si="1"/>
        <v>-6.1887870806829004E-2</v>
      </c>
      <c r="M19" s="252">
        <f t="shared" si="1"/>
        <v>-2.5152922766101482E-2</v>
      </c>
      <c r="N19" s="252">
        <f t="shared" si="1"/>
        <v>-4.229712156252019E-2</v>
      </c>
      <c r="O19" s="160"/>
      <c r="P19" s="158"/>
      <c r="Q19" s="158"/>
      <c r="R19" s="158"/>
    </row>
    <row r="20" spans="1:18" s="158" customFormat="1">
      <c r="A20" s="157"/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</row>
  </sheetData>
  <mergeCells count="1">
    <mergeCell ref="E2:H2"/>
  </mergeCells>
  <hyperlinks>
    <hyperlink ref="E2:H2" location="Indice!D3" display="ÍNDICE"/>
  </hyperlinks>
  <pageMargins left="0.7" right="0.7" top="0.75" bottom="0.75" header="0.3" footer="0.3"/>
  <pageSetup orientation="portrait" r:id="rId1"/>
  <ignoredErrors>
    <ignoredError sqref="B18:K18 L18:N18" formulaRange="1"/>
  </ignoredErrors>
</worksheet>
</file>

<file path=xl/worksheets/sheet45.xml><?xml version="1.0" encoding="utf-8"?>
<worksheet xmlns="http://schemas.openxmlformats.org/spreadsheetml/2006/main" xmlns:r="http://schemas.openxmlformats.org/officeDocument/2006/relationships">
  <sheetPr codeName="Sheet2">
    <tabColor rgb="FFC00000"/>
  </sheetPr>
  <dimension ref="A1:AE16"/>
  <sheetViews>
    <sheetView showGridLines="0" workbookViewId="0">
      <selection activeCell="E1" sqref="E1:H1"/>
    </sheetView>
  </sheetViews>
  <sheetFormatPr baseColWidth="10" defaultColWidth="11.42578125" defaultRowHeight="9" outlineLevelRow="2"/>
  <cols>
    <col min="1" max="1" width="9.28515625" style="119" bestFit="1" customWidth="1"/>
    <col min="2" max="2" width="18.7109375" style="119" customWidth="1"/>
    <col min="3" max="14" width="6.85546875" style="119" customWidth="1"/>
    <col min="15" max="15" width="6.140625" style="119" customWidth="1"/>
    <col min="16" max="16" width="13.42578125" style="119" customWidth="1"/>
    <col min="17" max="17" width="10.42578125" style="119" customWidth="1"/>
    <col min="18" max="18" width="7.28515625" style="119" customWidth="1"/>
    <col min="19" max="31" width="6.42578125" style="119" customWidth="1"/>
    <col min="32" max="34" width="7.85546875" style="119" customWidth="1"/>
    <col min="35" max="254" width="9.140625" style="119"/>
    <col min="255" max="255" width="12.85546875" style="119" bestFit="1" customWidth="1"/>
    <col min="256" max="256" width="28.85546875" style="119" customWidth="1"/>
    <col min="257" max="257" width="8.140625" style="119" customWidth="1"/>
    <col min="258" max="264" width="10.140625" style="119" customWidth="1"/>
    <col min="265" max="510" width="9.140625" style="119"/>
    <col min="511" max="511" width="12.85546875" style="119" bestFit="1" customWidth="1"/>
    <col min="512" max="512" width="28.85546875" style="119" customWidth="1"/>
    <col min="513" max="513" width="8.140625" style="119" customWidth="1"/>
    <col min="514" max="520" width="10.140625" style="119" customWidth="1"/>
    <col min="521" max="766" width="9.140625" style="119"/>
    <col min="767" max="767" width="12.85546875" style="119" bestFit="1" customWidth="1"/>
    <col min="768" max="768" width="28.85546875" style="119" customWidth="1"/>
    <col min="769" max="769" width="8.140625" style="119" customWidth="1"/>
    <col min="770" max="776" width="10.140625" style="119" customWidth="1"/>
    <col min="777" max="1022" width="9.140625" style="119"/>
    <col min="1023" max="1023" width="12.85546875" style="119" bestFit="1" customWidth="1"/>
    <col min="1024" max="1024" width="28.85546875" style="119" customWidth="1"/>
    <col min="1025" max="1025" width="8.140625" style="119" customWidth="1"/>
    <col min="1026" max="1032" width="10.140625" style="119" customWidth="1"/>
    <col min="1033" max="1278" width="9.140625" style="119"/>
    <col min="1279" max="1279" width="12.85546875" style="119" bestFit="1" customWidth="1"/>
    <col min="1280" max="1280" width="28.85546875" style="119" customWidth="1"/>
    <col min="1281" max="1281" width="8.140625" style="119" customWidth="1"/>
    <col min="1282" max="1288" width="10.140625" style="119" customWidth="1"/>
    <col min="1289" max="1534" width="9.140625" style="119"/>
    <col min="1535" max="1535" width="12.85546875" style="119" bestFit="1" customWidth="1"/>
    <col min="1536" max="1536" width="28.85546875" style="119" customWidth="1"/>
    <col min="1537" max="1537" width="8.140625" style="119" customWidth="1"/>
    <col min="1538" max="1544" width="10.140625" style="119" customWidth="1"/>
    <col min="1545" max="1790" width="9.140625" style="119"/>
    <col min="1791" max="1791" width="12.85546875" style="119" bestFit="1" customWidth="1"/>
    <col min="1792" max="1792" width="28.85546875" style="119" customWidth="1"/>
    <col min="1793" max="1793" width="8.140625" style="119" customWidth="1"/>
    <col min="1794" max="1800" width="10.140625" style="119" customWidth="1"/>
    <col min="1801" max="2046" width="9.140625" style="119"/>
    <col min="2047" max="2047" width="12.85546875" style="119" bestFit="1" customWidth="1"/>
    <col min="2048" max="2048" width="28.85546875" style="119" customWidth="1"/>
    <col min="2049" max="2049" width="8.140625" style="119" customWidth="1"/>
    <col min="2050" max="2056" width="10.140625" style="119" customWidth="1"/>
    <col min="2057" max="2302" width="9.140625" style="119"/>
    <col min="2303" max="2303" width="12.85546875" style="119" bestFit="1" customWidth="1"/>
    <col min="2304" max="2304" width="28.85546875" style="119" customWidth="1"/>
    <col min="2305" max="2305" width="8.140625" style="119" customWidth="1"/>
    <col min="2306" max="2312" width="10.140625" style="119" customWidth="1"/>
    <col min="2313" max="2558" width="9.140625" style="119"/>
    <col min="2559" max="2559" width="12.85546875" style="119" bestFit="1" customWidth="1"/>
    <col min="2560" max="2560" width="28.85546875" style="119" customWidth="1"/>
    <col min="2561" max="2561" width="8.140625" style="119" customWidth="1"/>
    <col min="2562" max="2568" width="10.140625" style="119" customWidth="1"/>
    <col min="2569" max="2814" width="9.140625" style="119"/>
    <col min="2815" max="2815" width="12.85546875" style="119" bestFit="1" customWidth="1"/>
    <col min="2816" max="2816" width="28.85546875" style="119" customWidth="1"/>
    <col min="2817" max="2817" width="8.140625" style="119" customWidth="1"/>
    <col min="2818" max="2824" width="10.140625" style="119" customWidth="1"/>
    <col min="2825" max="3070" width="9.140625" style="119"/>
    <col min="3071" max="3071" width="12.85546875" style="119" bestFit="1" customWidth="1"/>
    <col min="3072" max="3072" width="28.85546875" style="119" customWidth="1"/>
    <col min="3073" max="3073" width="8.140625" style="119" customWidth="1"/>
    <col min="3074" max="3080" width="10.140625" style="119" customWidth="1"/>
    <col min="3081" max="3326" width="9.140625" style="119"/>
    <col min="3327" max="3327" width="12.85546875" style="119" bestFit="1" customWidth="1"/>
    <col min="3328" max="3328" width="28.85546875" style="119" customWidth="1"/>
    <col min="3329" max="3329" width="8.140625" style="119" customWidth="1"/>
    <col min="3330" max="3336" width="10.140625" style="119" customWidth="1"/>
    <col min="3337" max="3582" width="9.140625" style="119"/>
    <col min="3583" max="3583" width="12.85546875" style="119" bestFit="1" customWidth="1"/>
    <col min="3584" max="3584" width="28.85546875" style="119" customWidth="1"/>
    <col min="3585" max="3585" width="8.140625" style="119" customWidth="1"/>
    <col min="3586" max="3592" width="10.140625" style="119" customWidth="1"/>
    <col min="3593" max="3838" width="9.140625" style="119"/>
    <col min="3839" max="3839" width="12.85546875" style="119" bestFit="1" customWidth="1"/>
    <col min="3840" max="3840" width="28.85546875" style="119" customWidth="1"/>
    <col min="3841" max="3841" width="8.140625" style="119" customWidth="1"/>
    <col min="3842" max="3848" width="10.140625" style="119" customWidth="1"/>
    <col min="3849" max="4094" width="9.140625" style="119"/>
    <col min="4095" max="4095" width="12.85546875" style="119" bestFit="1" customWidth="1"/>
    <col min="4096" max="4096" width="28.85546875" style="119" customWidth="1"/>
    <col min="4097" max="4097" width="8.140625" style="119" customWidth="1"/>
    <col min="4098" max="4104" width="10.140625" style="119" customWidth="1"/>
    <col min="4105" max="4350" width="9.140625" style="119"/>
    <col min="4351" max="4351" width="12.85546875" style="119" bestFit="1" customWidth="1"/>
    <col min="4352" max="4352" width="28.85546875" style="119" customWidth="1"/>
    <col min="4353" max="4353" width="8.140625" style="119" customWidth="1"/>
    <col min="4354" max="4360" width="10.140625" style="119" customWidth="1"/>
    <col min="4361" max="4606" width="9.140625" style="119"/>
    <col min="4607" max="4607" width="12.85546875" style="119" bestFit="1" customWidth="1"/>
    <col min="4608" max="4608" width="28.85546875" style="119" customWidth="1"/>
    <col min="4609" max="4609" width="8.140625" style="119" customWidth="1"/>
    <col min="4610" max="4616" width="10.140625" style="119" customWidth="1"/>
    <col min="4617" max="4862" width="9.140625" style="119"/>
    <col min="4863" max="4863" width="12.85546875" style="119" bestFit="1" customWidth="1"/>
    <col min="4864" max="4864" width="28.85546875" style="119" customWidth="1"/>
    <col min="4865" max="4865" width="8.140625" style="119" customWidth="1"/>
    <col min="4866" max="4872" width="10.140625" style="119" customWidth="1"/>
    <col min="4873" max="5118" width="9.140625" style="119"/>
    <col min="5119" max="5119" width="12.85546875" style="119" bestFit="1" customWidth="1"/>
    <col min="5120" max="5120" width="28.85546875" style="119" customWidth="1"/>
    <col min="5121" max="5121" width="8.140625" style="119" customWidth="1"/>
    <col min="5122" max="5128" width="10.140625" style="119" customWidth="1"/>
    <col min="5129" max="5374" width="9.140625" style="119"/>
    <col min="5375" max="5375" width="12.85546875" style="119" bestFit="1" customWidth="1"/>
    <col min="5376" max="5376" width="28.85546875" style="119" customWidth="1"/>
    <col min="5377" max="5377" width="8.140625" style="119" customWidth="1"/>
    <col min="5378" max="5384" width="10.140625" style="119" customWidth="1"/>
    <col min="5385" max="5630" width="9.140625" style="119"/>
    <col min="5631" max="5631" width="12.85546875" style="119" bestFit="1" customWidth="1"/>
    <col min="5632" max="5632" width="28.85546875" style="119" customWidth="1"/>
    <col min="5633" max="5633" width="8.140625" style="119" customWidth="1"/>
    <col min="5634" max="5640" width="10.140625" style="119" customWidth="1"/>
    <col min="5641" max="5886" width="9.140625" style="119"/>
    <col min="5887" max="5887" width="12.85546875" style="119" bestFit="1" customWidth="1"/>
    <col min="5888" max="5888" width="28.85546875" style="119" customWidth="1"/>
    <col min="5889" max="5889" width="8.140625" style="119" customWidth="1"/>
    <col min="5890" max="5896" width="10.140625" style="119" customWidth="1"/>
    <col min="5897" max="6142" width="9.140625" style="119"/>
    <col min="6143" max="6143" width="12.85546875" style="119" bestFit="1" customWidth="1"/>
    <col min="6144" max="6144" width="28.85546875" style="119" customWidth="1"/>
    <col min="6145" max="6145" width="8.140625" style="119" customWidth="1"/>
    <col min="6146" max="6152" width="10.140625" style="119" customWidth="1"/>
    <col min="6153" max="6398" width="9.140625" style="119"/>
    <col min="6399" max="6399" width="12.85546875" style="119" bestFit="1" customWidth="1"/>
    <col min="6400" max="6400" width="28.85546875" style="119" customWidth="1"/>
    <col min="6401" max="6401" width="8.140625" style="119" customWidth="1"/>
    <col min="6402" max="6408" width="10.140625" style="119" customWidth="1"/>
    <col min="6409" max="6654" width="9.140625" style="119"/>
    <col min="6655" max="6655" width="12.85546875" style="119" bestFit="1" customWidth="1"/>
    <col min="6656" max="6656" width="28.85546875" style="119" customWidth="1"/>
    <col min="6657" max="6657" width="8.140625" style="119" customWidth="1"/>
    <col min="6658" max="6664" width="10.140625" style="119" customWidth="1"/>
    <col min="6665" max="6910" width="9.140625" style="119"/>
    <col min="6911" max="6911" width="12.85546875" style="119" bestFit="1" customWidth="1"/>
    <col min="6912" max="6912" width="28.85546875" style="119" customWidth="1"/>
    <col min="6913" max="6913" width="8.140625" style="119" customWidth="1"/>
    <col min="6914" max="6920" width="10.140625" style="119" customWidth="1"/>
    <col min="6921" max="7166" width="9.140625" style="119"/>
    <col min="7167" max="7167" width="12.85546875" style="119" bestFit="1" customWidth="1"/>
    <col min="7168" max="7168" width="28.85546875" style="119" customWidth="1"/>
    <col min="7169" max="7169" width="8.140625" style="119" customWidth="1"/>
    <col min="7170" max="7176" width="10.140625" style="119" customWidth="1"/>
    <col min="7177" max="7422" width="9.140625" style="119"/>
    <col min="7423" max="7423" width="12.85546875" style="119" bestFit="1" customWidth="1"/>
    <col min="7424" max="7424" width="28.85546875" style="119" customWidth="1"/>
    <col min="7425" max="7425" width="8.140625" style="119" customWidth="1"/>
    <col min="7426" max="7432" width="10.140625" style="119" customWidth="1"/>
    <col min="7433" max="7678" width="9.140625" style="119"/>
    <col min="7679" max="7679" width="12.85546875" style="119" bestFit="1" customWidth="1"/>
    <col min="7680" max="7680" width="28.85546875" style="119" customWidth="1"/>
    <col min="7681" max="7681" width="8.140625" style="119" customWidth="1"/>
    <col min="7682" max="7688" width="10.140625" style="119" customWidth="1"/>
    <col min="7689" max="7934" width="9.140625" style="119"/>
    <col min="7935" max="7935" width="12.85546875" style="119" bestFit="1" customWidth="1"/>
    <col min="7936" max="7936" width="28.85546875" style="119" customWidth="1"/>
    <col min="7937" max="7937" width="8.140625" style="119" customWidth="1"/>
    <col min="7938" max="7944" width="10.140625" style="119" customWidth="1"/>
    <col min="7945" max="8190" width="9.140625" style="119"/>
    <col min="8191" max="8191" width="12.85546875" style="119" bestFit="1" customWidth="1"/>
    <col min="8192" max="8192" width="28.85546875" style="119" customWidth="1"/>
    <col min="8193" max="8193" width="8.140625" style="119" customWidth="1"/>
    <col min="8194" max="8200" width="10.140625" style="119" customWidth="1"/>
    <col min="8201" max="8446" width="9.140625" style="119"/>
    <col min="8447" max="8447" width="12.85546875" style="119" bestFit="1" customWidth="1"/>
    <col min="8448" max="8448" width="28.85546875" style="119" customWidth="1"/>
    <col min="8449" max="8449" width="8.140625" style="119" customWidth="1"/>
    <col min="8450" max="8456" width="10.140625" style="119" customWidth="1"/>
    <col min="8457" max="8702" width="9.140625" style="119"/>
    <col min="8703" max="8703" width="12.85546875" style="119" bestFit="1" customWidth="1"/>
    <col min="8704" max="8704" width="28.85546875" style="119" customWidth="1"/>
    <col min="8705" max="8705" width="8.140625" style="119" customWidth="1"/>
    <col min="8706" max="8712" width="10.140625" style="119" customWidth="1"/>
    <col min="8713" max="8958" width="9.140625" style="119"/>
    <col min="8959" max="8959" width="12.85546875" style="119" bestFit="1" customWidth="1"/>
    <col min="8960" max="8960" width="28.85546875" style="119" customWidth="1"/>
    <col min="8961" max="8961" width="8.140625" style="119" customWidth="1"/>
    <col min="8962" max="8968" width="10.140625" style="119" customWidth="1"/>
    <col min="8969" max="9214" width="9.140625" style="119"/>
    <col min="9215" max="9215" width="12.85546875" style="119" bestFit="1" customWidth="1"/>
    <col min="9216" max="9216" width="28.85546875" style="119" customWidth="1"/>
    <col min="9217" max="9217" width="8.140625" style="119" customWidth="1"/>
    <col min="9218" max="9224" width="10.140625" style="119" customWidth="1"/>
    <col min="9225" max="9470" width="9.140625" style="119"/>
    <col min="9471" max="9471" width="12.85546875" style="119" bestFit="1" customWidth="1"/>
    <col min="9472" max="9472" width="28.85546875" style="119" customWidth="1"/>
    <col min="9473" max="9473" width="8.140625" style="119" customWidth="1"/>
    <col min="9474" max="9480" width="10.140625" style="119" customWidth="1"/>
    <col min="9481" max="9726" width="9.140625" style="119"/>
    <col min="9727" max="9727" width="12.85546875" style="119" bestFit="1" customWidth="1"/>
    <col min="9728" max="9728" width="28.85546875" style="119" customWidth="1"/>
    <col min="9729" max="9729" width="8.140625" style="119" customWidth="1"/>
    <col min="9730" max="9736" width="10.140625" style="119" customWidth="1"/>
    <col min="9737" max="9982" width="9.140625" style="119"/>
    <col min="9983" max="9983" width="12.85546875" style="119" bestFit="1" customWidth="1"/>
    <col min="9984" max="9984" width="28.85546875" style="119" customWidth="1"/>
    <col min="9985" max="9985" width="8.140625" style="119" customWidth="1"/>
    <col min="9986" max="9992" width="10.140625" style="119" customWidth="1"/>
    <col min="9993" max="10238" width="9.140625" style="119"/>
    <col min="10239" max="10239" width="12.85546875" style="119" bestFit="1" customWidth="1"/>
    <col min="10240" max="10240" width="28.85546875" style="119" customWidth="1"/>
    <col min="10241" max="10241" width="8.140625" style="119" customWidth="1"/>
    <col min="10242" max="10248" width="10.140625" style="119" customWidth="1"/>
    <col min="10249" max="10494" width="9.140625" style="119"/>
    <col min="10495" max="10495" width="12.85546875" style="119" bestFit="1" customWidth="1"/>
    <col min="10496" max="10496" width="28.85546875" style="119" customWidth="1"/>
    <col min="10497" max="10497" width="8.140625" style="119" customWidth="1"/>
    <col min="10498" max="10504" width="10.140625" style="119" customWidth="1"/>
    <col min="10505" max="10750" width="9.140625" style="119"/>
    <col min="10751" max="10751" width="12.85546875" style="119" bestFit="1" customWidth="1"/>
    <col min="10752" max="10752" width="28.85546875" style="119" customWidth="1"/>
    <col min="10753" max="10753" width="8.140625" style="119" customWidth="1"/>
    <col min="10754" max="10760" width="10.140625" style="119" customWidth="1"/>
    <col min="10761" max="11006" width="9.140625" style="119"/>
    <col min="11007" max="11007" width="12.85546875" style="119" bestFit="1" customWidth="1"/>
    <col min="11008" max="11008" width="28.85546875" style="119" customWidth="1"/>
    <col min="11009" max="11009" width="8.140625" style="119" customWidth="1"/>
    <col min="11010" max="11016" width="10.140625" style="119" customWidth="1"/>
    <col min="11017" max="11262" width="9.140625" style="119"/>
    <col min="11263" max="11263" width="12.85546875" style="119" bestFit="1" customWidth="1"/>
    <col min="11264" max="11264" width="28.85546875" style="119" customWidth="1"/>
    <col min="11265" max="11265" width="8.140625" style="119" customWidth="1"/>
    <col min="11266" max="11272" width="10.140625" style="119" customWidth="1"/>
    <col min="11273" max="11518" width="9.140625" style="119"/>
    <col min="11519" max="11519" width="12.85546875" style="119" bestFit="1" customWidth="1"/>
    <col min="11520" max="11520" width="28.85546875" style="119" customWidth="1"/>
    <col min="11521" max="11521" width="8.140625" style="119" customWidth="1"/>
    <col min="11522" max="11528" width="10.140625" style="119" customWidth="1"/>
    <col min="11529" max="11774" width="9.140625" style="119"/>
    <col min="11775" max="11775" width="12.85546875" style="119" bestFit="1" customWidth="1"/>
    <col min="11776" max="11776" width="28.85546875" style="119" customWidth="1"/>
    <col min="11777" max="11777" width="8.140625" style="119" customWidth="1"/>
    <col min="11778" max="11784" width="10.140625" style="119" customWidth="1"/>
    <col min="11785" max="12030" width="9.140625" style="119"/>
    <col min="12031" max="12031" width="12.85546875" style="119" bestFit="1" customWidth="1"/>
    <col min="12032" max="12032" width="28.85546875" style="119" customWidth="1"/>
    <col min="12033" max="12033" width="8.140625" style="119" customWidth="1"/>
    <col min="12034" max="12040" width="10.140625" style="119" customWidth="1"/>
    <col min="12041" max="12286" width="9.140625" style="119"/>
    <col min="12287" max="12287" width="12.85546875" style="119" bestFit="1" customWidth="1"/>
    <col min="12288" max="12288" width="28.85546875" style="119" customWidth="1"/>
    <col min="12289" max="12289" width="8.140625" style="119" customWidth="1"/>
    <col min="12290" max="12296" width="10.140625" style="119" customWidth="1"/>
    <col min="12297" max="12542" width="9.140625" style="119"/>
    <col min="12543" max="12543" width="12.85546875" style="119" bestFit="1" customWidth="1"/>
    <col min="12544" max="12544" width="28.85546875" style="119" customWidth="1"/>
    <col min="12545" max="12545" width="8.140625" style="119" customWidth="1"/>
    <col min="12546" max="12552" width="10.140625" style="119" customWidth="1"/>
    <col min="12553" max="12798" width="9.140625" style="119"/>
    <col min="12799" max="12799" width="12.85546875" style="119" bestFit="1" customWidth="1"/>
    <col min="12800" max="12800" width="28.85546875" style="119" customWidth="1"/>
    <col min="12801" max="12801" width="8.140625" style="119" customWidth="1"/>
    <col min="12802" max="12808" width="10.140625" style="119" customWidth="1"/>
    <col min="12809" max="13054" width="9.140625" style="119"/>
    <col min="13055" max="13055" width="12.85546875" style="119" bestFit="1" customWidth="1"/>
    <col min="13056" max="13056" width="28.85546875" style="119" customWidth="1"/>
    <col min="13057" max="13057" width="8.140625" style="119" customWidth="1"/>
    <col min="13058" max="13064" width="10.140625" style="119" customWidth="1"/>
    <col min="13065" max="13310" width="9.140625" style="119"/>
    <col min="13311" max="13311" width="12.85546875" style="119" bestFit="1" customWidth="1"/>
    <col min="13312" max="13312" width="28.85546875" style="119" customWidth="1"/>
    <col min="13313" max="13313" width="8.140625" style="119" customWidth="1"/>
    <col min="13314" max="13320" width="10.140625" style="119" customWidth="1"/>
    <col min="13321" max="13566" width="9.140625" style="119"/>
    <col min="13567" max="13567" width="12.85546875" style="119" bestFit="1" customWidth="1"/>
    <col min="13568" max="13568" width="28.85546875" style="119" customWidth="1"/>
    <col min="13569" max="13569" width="8.140625" style="119" customWidth="1"/>
    <col min="13570" max="13576" width="10.140625" style="119" customWidth="1"/>
    <col min="13577" max="13822" width="9.140625" style="119"/>
    <col min="13823" max="13823" width="12.85546875" style="119" bestFit="1" customWidth="1"/>
    <col min="13824" max="13824" width="28.85546875" style="119" customWidth="1"/>
    <col min="13825" max="13825" width="8.140625" style="119" customWidth="1"/>
    <col min="13826" max="13832" width="10.140625" style="119" customWidth="1"/>
    <col min="13833" max="14078" width="9.140625" style="119"/>
    <col min="14079" max="14079" width="12.85546875" style="119" bestFit="1" customWidth="1"/>
    <col min="14080" max="14080" width="28.85546875" style="119" customWidth="1"/>
    <col min="14081" max="14081" width="8.140625" style="119" customWidth="1"/>
    <col min="14082" max="14088" width="10.140625" style="119" customWidth="1"/>
    <col min="14089" max="14334" width="9.140625" style="119"/>
    <col min="14335" max="14335" width="12.85546875" style="119" bestFit="1" customWidth="1"/>
    <col min="14336" max="14336" width="28.85546875" style="119" customWidth="1"/>
    <col min="14337" max="14337" width="8.140625" style="119" customWidth="1"/>
    <col min="14338" max="14344" width="10.140625" style="119" customWidth="1"/>
    <col min="14345" max="14590" width="9.140625" style="119"/>
    <col min="14591" max="14591" width="12.85546875" style="119" bestFit="1" customWidth="1"/>
    <col min="14592" max="14592" width="28.85546875" style="119" customWidth="1"/>
    <col min="14593" max="14593" width="8.140625" style="119" customWidth="1"/>
    <col min="14594" max="14600" width="10.140625" style="119" customWidth="1"/>
    <col min="14601" max="14846" width="9.140625" style="119"/>
    <col min="14847" max="14847" width="12.85546875" style="119" bestFit="1" customWidth="1"/>
    <col min="14848" max="14848" width="28.85546875" style="119" customWidth="1"/>
    <col min="14849" max="14849" width="8.140625" style="119" customWidth="1"/>
    <col min="14850" max="14856" width="10.140625" style="119" customWidth="1"/>
    <col min="14857" max="15102" width="9.140625" style="119"/>
    <col min="15103" max="15103" width="12.85546875" style="119" bestFit="1" customWidth="1"/>
    <col min="15104" max="15104" width="28.85546875" style="119" customWidth="1"/>
    <col min="15105" max="15105" width="8.140625" style="119" customWidth="1"/>
    <col min="15106" max="15112" width="10.140625" style="119" customWidth="1"/>
    <col min="15113" max="15358" width="9.140625" style="119"/>
    <col min="15359" max="15359" width="12.85546875" style="119" bestFit="1" customWidth="1"/>
    <col min="15360" max="15360" width="28.85546875" style="119" customWidth="1"/>
    <col min="15361" max="15361" width="8.140625" style="119" customWidth="1"/>
    <col min="15362" max="15368" width="10.140625" style="119" customWidth="1"/>
    <col min="15369" max="15614" width="9.140625" style="119"/>
    <col min="15615" max="15615" width="12.85546875" style="119" bestFit="1" customWidth="1"/>
    <col min="15616" max="15616" width="28.85546875" style="119" customWidth="1"/>
    <col min="15617" max="15617" width="8.140625" style="119" customWidth="1"/>
    <col min="15618" max="15624" width="10.140625" style="119" customWidth="1"/>
    <col min="15625" max="15870" width="9.140625" style="119"/>
    <col min="15871" max="15871" width="12.85546875" style="119" bestFit="1" customWidth="1"/>
    <col min="15872" max="15872" width="28.85546875" style="119" customWidth="1"/>
    <col min="15873" max="15873" width="8.140625" style="119" customWidth="1"/>
    <col min="15874" max="15880" width="10.140625" style="119" customWidth="1"/>
    <col min="15881" max="16126" width="9.140625" style="119"/>
    <col min="16127" max="16127" width="12.85546875" style="119" bestFit="1" customWidth="1"/>
    <col min="16128" max="16128" width="28.85546875" style="119" customWidth="1"/>
    <col min="16129" max="16129" width="8.140625" style="119" customWidth="1"/>
    <col min="16130" max="16136" width="10.140625" style="119" customWidth="1"/>
    <col min="16137" max="16384" width="11.42578125" style="119"/>
  </cols>
  <sheetData>
    <row r="1" spans="1:31" ht="15">
      <c r="A1" s="150"/>
      <c r="E1" s="444" t="s">
        <v>555</v>
      </c>
      <c r="F1" s="444"/>
      <c r="G1" s="444"/>
      <c r="H1" s="444"/>
    </row>
    <row r="2" spans="1:31">
      <c r="E2" s="309"/>
      <c r="F2" s="309"/>
      <c r="G2" s="309"/>
      <c r="H2" s="309"/>
      <c r="I2" s="309"/>
      <c r="J2" s="309"/>
      <c r="K2" s="309"/>
      <c r="L2" s="310"/>
      <c r="M2" s="310"/>
      <c r="N2" s="310"/>
      <c r="O2" s="310"/>
      <c r="W2" s="321"/>
      <c r="X2" s="321"/>
      <c r="Y2" s="321"/>
      <c r="Z2" s="321"/>
      <c r="AA2" s="321"/>
      <c r="AB2" s="321"/>
      <c r="AC2" s="321"/>
      <c r="AD2" s="321"/>
      <c r="AE2" s="321"/>
    </row>
    <row r="3" spans="1:31" ht="9.75" thickBot="1">
      <c r="B3" s="172" t="s">
        <v>549</v>
      </c>
      <c r="C3" s="42">
        <v>2001</v>
      </c>
      <c r="D3" s="42">
        <v>2002</v>
      </c>
      <c r="E3" s="42">
        <v>2003</v>
      </c>
      <c r="F3" s="42">
        <v>2004</v>
      </c>
      <c r="G3" s="42">
        <v>2005</v>
      </c>
      <c r="H3" s="42">
        <v>2006</v>
      </c>
      <c r="I3" s="42">
        <v>2007</v>
      </c>
      <c r="J3" s="42">
        <v>2008</v>
      </c>
      <c r="K3" s="42">
        <v>2009</v>
      </c>
      <c r="L3" s="42">
        <v>2010</v>
      </c>
      <c r="M3" s="42">
        <v>2011</v>
      </c>
      <c r="N3" s="42">
        <v>2012</v>
      </c>
      <c r="W3" s="321"/>
      <c r="X3" s="321"/>
      <c r="Y3" s="321"/>
      <c r="Z3" s="321"/>
      <c r="AA3" s="321"/>
      <c r="AB3" s="321"/>
      <c r="AC3" s="321"/>
      <c r="AD3" s="321"/>
      <c r="AE3" s="321"/>
    </row>
    <row r="4" spans="1:31" ht="9.75" thickTop="1">
      <c r="B4" s="237" t="s">
        <v>544</v>
      </c>
      <c r="C4" s="252">
        <f t="shared" ref="C4:N4" si="0">+(C11*C10)+(C14*C15)</f>
        <v>0.15271657272201236</v>
      </c>
      <c r="D4" s="252">
        <f t="shared" si="0"/>
        <v>0.15314324138868871</v>
      </c>
      <c r="E4" s="252">
        <f t="shared" si="0"/>
        <v>0.12357991915808507</v>
      </c>
      <c r="F4" s="252">
        <f t="shared" si="0"/>
        <v>8.9423425908777943E-2</v>
      </c>
      <c r="G4" s="252">
        <f t="shared" si="0"/>
        <v>9.0670327549403296E-2</v>
      </c>
      <c r="H4" s="252">
        <f t="shared" si="0"/>
        <v>9.9610539485338184E-2</v>
      </c>
      <c r="I4" s="252">
        <f t="shared" si="0"/>
        <v>8.7670937298786583E-2</v>
      </c>
      <c r="J4" s="252">
        <f t="shared" si="0"/>
        <v>9.0090519312601355E-2</v>
      </c>
      <c r="K4" s="252">
        <f t="shared" si="0"/>
        <v>9.9982808854439387E-2</v>
      </c>
      <c r="L4" s="252">
        <f t="shared" si="0"/>
        <v>9.4057057866002991E-2</v>
      </c>
      <c r="M4" s="252">
        <f t="shared" si="0"/>
        <v>9.2626231698160422E-2</v>
      </c>
      <c r="N4" s="252">
        <f t="shared" si="0"/>
        <v>9.1269304712344484E-2</v>
      </c>
      <c r="P4" s="375"/>
      <c r="W4" s="321"/>
      <c r="X4" s="321"/>
      <c r="Y4" s="321"/>
      <c r="Z4" s="321"/>
      <c r="AA4" s="321"/>
      <c r="AB4" s="321"/>
      <c r="AC4" s="321"/>
      <c r="AD4" s="321"/>
      <c r="AE4" s="321"/>
    </row>
    <row r="5" spans="1:31" ht="14.25" customHeight="1" outlineLevel="2">
      <c r="B5" s="227" t="s">
        <v>410</v>
      </c>
      <c r="C5" s="250">
        <v>5.2155817495828719E-2</v>
      </c>
      <c r="D5" s="250">
        <v>5.3475926646298903E-2</v>
      </c>
      <c r="E5" s="250">
        <v>5.2821680057292021E-2</v>
      </c>
      <c r="F5" s="250">
        <v>5.2718889888012196E-2</v>
      </c>
      <c r="G5" s="250">
        <v>5.2410639115060484E-2</v>
      </c>
      <c r="H5" s="250">
        <v>5.1995441308763116E-2</v>
      </c>
      <c r="I5" s="250">
        <v>5.2621738533655184E-2</v>
      </c>
      <c r="J5" s="250">
        <v>5.4453726937804744E-2</v>
      </c>
      <c r="K5" s="250">
        <v>5.2433962546702358E-2</v>
      </c>
      <c r="L5" s="250">
        <v>5.2821505166621603E-2</v>
      </c>
      <c r="M5" s="250">
        <v>5.4102201533685633E-2</v>
      </c>
      <c r="N5" s="250">
        <v>5.3815301748350385E-2</v>
      </c>
      <c r="P5" s="321"/>
      <c r="W5" s="321"/>
      <c r="X5" s="321"/>
      <c r="Y5" s="321"/>
      <c r="Z5" s="321"/>
      <c r="AA5" s="321"/>
      <c r="AB5" s="321"/>
      <c r="AC5" s="321"/>
      <c r="AD5" s="321"/>
      <c r="AE5" s="321"/>
    </row>
    <row r="6" spans="1:31" ht="14.25" customHeight="1" outlineLevel="2">
      <c r="B6" s="228" t="s">
        <v>411</v>
      </c>
      <c r="C6" s="249">
        <v>6.5060828549469846E-2</v>
      </c>
      <c r="D6" s="249">
        <v>6.1417588825489283E-2</v>
      </c>
      <c r="E6" s="249">
        <v>4.2897405032673877E-2</v>
      </c>
      <c r="F6" s="249">
        <v>3.4961481463190648E-2</v>
      </c>
      <c r="G6" s="249">
        <v>1.9961320895288293E-2</v>
      </c>
      <c r="H6" s="249">
        <v>1.5948790270031682E-2</v>
      </c>
      <c r="I6" s="249">
        <v>1.380257375982776E-2</v>
      </c>
      <c r="J6" s="249">
        <v>2.7077796176046165E-2</v>
      </c>
      <c r="K6" s="249">
        <v>2.9170746974760124E-2</v>
      </c>
      <c r="L6" s="249">
        <v>1.7213991211559858E-2</v>
      </c>
      <c r="M6" s="249">
        <v>1.9105221783047868E-2</v>
      </c>
      <c r="N6" s="249">
        <v>1.5710342555994721E-2</v>
      </c>
      <c r="P6" s="321"/>
      <c r="W6" s="321"/>
      <c r="X6" s="321"/>
      <c r="Y6" s="321"/>
      <c r="Z6" s="321"/>
      <c r="AA6" s="321"/>
      <c r="AB6" s="321"/>
      <c r="AC6" s="321"/>
      <c r="AD6" s="321"/>
      <c r="AE6" s="321"/>
    </row>
    <row r="7" spans="1:31" ht="14.25" customHeight="1" outlineLevel="2">
      <c r="B7" s="227" t="s">
        <v>412</v>
      </c>
      <c r="C7" s="250">
        <v>6.8365767098144917E-2</v>
      </c>
      <c r="D7" s="250">
        <v>6.2508503473066232E-2</v>
      </c>
      <c r="E7" s="250">
        <v>6.5374993515763702E-2</v>
      </c>
      <c r="F7" s="250">
        <v>6.5332905294406982E-2</v>
      </c>
      <c r="G7" s="250">
        <v>6.4749211227791995E-2</v>
      </c>
      <c r="H7" s="250">
        <v>6.5659369992990199E-2</v>
      </c>
      <c r="I7" s="250">
        <v>6.4247979532628938E-2</v>
      </c>
      <c r="J7" s="250">
        <v>5.6457661375021249E-2</v>
      </c>
      <c r="K7" s="250">
        <v>6.0286331121533171E-2</v>
      </c>
      <c r="L7" s="250">
        <v>6.0326254842960482E-2</v>
      </c>
      <c r="M7" s="250">
        <v>5.7944989904353802E-2</v>
      </c>
      <c r="N7" s="250">
        <v>5.8780931199596695E-2</v>
      </c>
      <c r="P7" s="321"/>
      <c r="W7" s="321"/>
      <c r="X7" s="321"/>
      <c r="Y7" s="321"/>
      <c r="Z7" s="321"/>
      <c r="AA7" s="321"/>
      <c r="AB7" s="321"/>
      <c r="AC7" s="321"/>
      <c r="AD7" s="321"/>
      <c r="AE7" s="321"/>
    </row>
    <row r="8" spans="1:31" ht="14.25" customHeight="1" outlineLevel="2">
      <c r="B8" s="228" t="s">
        <v>550</v>
      </c>
      <c r="C8" s="230">
        <v>0.51926465808173572</v>
      </c>
      <c r="D8" s="230">
        <v>0.61191236058597387</v>
      </c>
      <c r="E8" s="230">
        <v>0.50477478565543732</v>
      </c>
      <c r="F8" s="230">
        <v>0.56399734811684976</v>
      </c>
      <c r="G8" s="230">
        <v>0.55730754348928246</v>
      </c>
      <c r="H8" s="230">
        <v>0.57954319045704317</v>
      </c>
      <c r="I8" s="230">
        <v>0.59658230377448462</v>
      </c>
      <c r="J8" s="230">
        <v>0.55778228855382606</v>
      </c>
      <c r="K8" s="230">
        <v>0.61377376804123807</v>
      </c>
      <c r="L8" s="230">
        <v>0.63600751906641662</v>
      </c>
      <c r="M8" s="230">
        <v>0.52515275634610659</v>
      </c>
      <c r="N8" s="230">
        <v>0.4730754879400208</v>
      </c>
      <c r="O8" s="310"/>
      <c r="P8" s="321"/>
      <c r="Q8" s="321"/>
      <c r="R8" s="321"/>
      <c r="S8" s="321"/>
      <c r="T8" s="321"/>
      <c r="U8" s="321"/>
      <c r="V8" s="321"/>
      <c r="W8" s="321"/>
      <c r="Z8" s="321"/>
      <c r="AA8" s="321"/>
      <c r="AB8" s="321"/>
      <c r="AC8" s="321"/>
      <c r="AD8" s="321"/>
      <c r="AE8" s="321"/>
    </row>
    <row r="9" spans="1:31" ht="14.25" customHeight="1" outlineLevel="2">
      <c r="B9" s="227" t="s">
        <v>551</v>
      </c>
      <c r="C9" s="229">
        <f t="shared" ref="C9:N9" si="1">+C8*(1+(1-C13)*C14/C10)</f>
        <v>0.51926465808173572</v>
      </c>
      <c r="D9" s="229">
        <f t="shared" si="1"/>
        <v>0.61191236058597387</v>
      </c>
      <c r="E9" s="229">
        <f t="shared" si="1"/>
        <v>0.58384621348631172</v>
      </c>
      <c r="F9" s="229">
        <f t="shared" si="1"/>
        <v>1.1582319649861637</v>
      </c>
      <c r="G9" s="229">
        <f t="shared" si="1"/>
        <v>1.1541174914417243</v>
      </c>
      <c r="H9" s="229">
        <f t="shared" si="1"/>
        <v>1.1931171030960497</v>
      </c>
      <c r="I9" s="229">
        <f t="shared" si="1"/>
        <v>1.2469744368364659</v>
      </c>
      <c r="J9" s="229">
        <f t="shared" si="1"/>
        <v>1.1117346118022764</v>
      </c>
      <c r="K9" s="229">
        <f t="shared" si="1"/>
        <v>1.0550836912484811</v>
      </c>
      <c r="L9" s="229">
        <f t="shared" si="1"/>
        <v>1.2886834321084057</v>
      </c>
      <c r="M9" s="229">
        <f t="shared" si="1"/>
        <v>0.88106724594082875</v>
      </c>
      <c r="N9" s="229">
        <f t="shared" si="1"/>
        <v>0.75062024044604059</v>
      </c>
      <c r="O9" s="310"/>
      <c r="P9" s="321"/>
      <c r="Q9" s="321"/>
      <c r="R9" s="321"/>
      <c r="S9" s="321"/>
      <c r="T9" s="321"/>
      <c r="U9" s="321"/>
      <c r="V9" s="321"/>
      <c r="W9" s="321"/>
      <c r="Z9" s="321"/>
      <c r="AA9" s="321"/>
      <c r="AB9" s="321"/>
      <c r="AC9" s="321"/>
      <c r="AD9" s="321"/>
      <c r="AE9" s="321"/>
    </row>
    <row r="10" spans="1:31" ht="14.25" customHeight="1" outlineLevel="2">
      <c r="B10" s="228" t="s">
        <v>414</v>
      </c>
      <c r="C10" s="396">
        <f t="shared" ref="C10:N10" si="2">100%-C14</f>
        <v>1</v>
      </c>
      <c r="D10" s="396">
        <f t="shared" si="2"/>
        <v>1</v>
      </c>
      <c r="E10" s="396">
        <f t="shared" si="2"/>
        <v>0.82549158613484575</v>
      </c>
      <c r="F10" s="396">
        <f t="shared" si="2"/>
        <v>0.41290252274832451</v>
      </c>
      <c r="G10" s="396">
        <f t="shared" si="2"/>
        <v>0.40896730074516441</v>
      </c>
      <c r="H10" s="396">
        <f t="shared" si="2"/>
        <v>0.41173073496796075</v>
      </c>
      <c r="I10" s="396">
        <f t="shared" si="2"/>
        <v>0.4046533885001663</v>
      </c>
      <c r="J10" s="396">
        <f>100%-J14</f>
        <v>0.42730272159774463</v>
      </c>
      <c r="K10" s="396">
        <f t="shared" si="2"/>
        <v>0.50753051759705914</v>
      </c>
      <c r="L10" s="396">
        <f t="shared" si="2"/>
        <v>0.41930551471571009</v>
      </c>
      <c r="M10" s="396">
        <f t="shared" si="2"/>
        <v>0.52229621049511143</v>
      </c>
      <c r="N10" s="396">
        <f t="shared" si="2"/>
        <v>0.55811568029419312</v>
      </c>
      <c r="O10" s="310"/>
      <c r="S10" s="321"/>
      <c r="T10" s="321"/>
      <c r="Z10" s="321"/>
      <c r="AA10" s="321"/>
      <c r="AB10" s="321"/>
      <c r="AC10" s="321"/>
      <c r="AD10" s="321"/>
      <c r="AE10" s="321"/>
    </row>
    <row r="11" spans="1:31" ht="14.25" customHeight="1" outlineLevel="1" thickBot="1">
      <c r="B11" s="172" t="s">
        <v>552</v>
      </c>
      <c r="C11" s="172">
        <f t="shared" ref="C11:N11" si="3">+C5+C6+(C9*C7)</f>
        <v>0.15271657272201236</v>
      </c>
      <c r="D11" s="172">
        <f t="shared" si="3"/>
        <v>0.15314324138868871</v>
      </c>
      <c r="E11" s="172">
        <f t="shared" si="3"/>
        <v>0.13388802751083673</v>
      </c>
      <c r="F11" s="172">
        <f t="shared" si="3"/>
        <v>0.16335103062859879</v>
      </c>
      <c r="G11" s="172">
        <f t="shared" si="3"/>
        <v>0.14710015724539841</v>
      </c>
      <c r="H11" s="172">
        <f t="shared" si="3"/>
        <v>0.14628354889594297</v>
      </c>
      <c r="I11" s="172">
        <f t="shared" si="3"/>
        <v>0.1465399003890637</v>
      </c>
      <c r="J11" s="172">
        <f t="shared" si="3"/>
        <v>0.14429745936587451</v>
      </c>
      <c r="K11" s="172">
        <f t="shared" si="3"/>
        <v>0.14521183429299789</v>
      </c>
      <c r="L11" s="172">
        <f t="shared" si="3"/>
        <v>0.14777694151545412</v>
      </c>
      <c r="M11" s="172">
        <f t="shared" si="3"/>
        <v>0.12426085598783163</v>
      </c>
      <c r="N11" s="172">
        <f t="shared" si="3"/>
        <v>0.11364780101502854</v>
      </c>
      <c r="O11" s="310"/>
      <c r="S11" s="321"/>
      <c r="T11" s="321"/>
      <c r="Z11" s="321"/>
      <c r="AA11" s="321"/>
      <c r="AB11" s="321"/>
      <c r="AC11" s="321"/>
      <c r="AD11" s="321"/>
      <c r="AE11" s="321"/>
    </row>
    <row r="12" spans="1:31" ht="14.25" customHeight="1" outlineLevel="1" thickTop="1">
      <c r="B12" s="357" t="s">
        <v>468</v>
      </c>
      <c r="C12" s="250">
        <v>8.3433179856115092E-2</v>
      </c>
      <c r="D12" s="250">
        <v>9.0084280575539563E-2</v>
      </c>
      <c r="E12" s="250">
        <v>0.10096979958088363</v>
      </c>
      <c r="F12" s="250">
        <v>5.0513543884733419E-2</v>
      </c>
      <c r="G12" s="250">
        <v>6.9667334013260487E-2</v>
      </c>
      <c r="H12" s="250">
        <v>9.0342799999999987E-2</v>
      </c>
      <c r="I12" s="250">
        <v>6.431588296760711E-2</v>
      </c>
      <c r="J12" s="250">
        <v>6.6997927333122861E-2</v>
      </c>
      <c r="K12" s="250">
        <v>7.2025045522793346E-2</v>
      </c>
      <c r="L12" s="250">
        <v>7.4584645790871471E-2</v>
      </c>
      <c r="M12" s="250">
        <v>7.832469168163772E-2</v>
      </c>
      <c r="N12" s="250">
        <v>8.5026267883964474E-2</v>
      </c>
      <c r="O12" s="310"/>
      <c r="S12" s="321"/>
      <c r="T12" s="321"/>
      <c r="Z12" s="321"/>
      <c r="AA12" s="321"/>
      <c r="AB12" s="321"/>
      <c r="AC12" s="321"/>
      <c r="AD12" s="321"/>
      <c r="AE12" s="321"/>
    </row>
    <row r="13" spans="1:31" ht="14.25" customHeight="1" outlineLevel="1">
      <c r="B13" s="242" t="s">
        <v>553</v>
      </c>
      <c r="C13" s="241">
        <v>0.35399999999999998</v>
      </c>
      <c r="D13" s="241">
        <v>0.25900000000000001</v>
      </c>
      <c r="E13" s="241">
        <v>0.25900000000000001</v>
      </c>
      <c r="F13" s="241">
        <v>0.25900000000000001</v>
      </c>
      <c r="G13" s="241">
        <v>0.25900000000000001</v>
      </c>
      <c r="H13" s="241">
        <v>0.25900000000000001</v>
      </c>
      <c r="I13" s="241">
        <v>0.25900000000000001</v>
      </c>
      <c r="J13" s="241">
        <v>0.25900000000000001</v>
      </c>
      <c r="K13" s="241">
        <v>0.25900000000000001</v>
      </c>
      <c r="L13" s="241">
        <v>0.25900000000000001</v>
      </c>
      <c r="M13" s="241">
        <v>0.25900000000000001</v>
      </c>
      <c r="N13" s="241">
        <v>0.25900000000000001</v>
      </c>
      <c r="P13" s="389"/>
      <c r="S13" s="321"/>
      <c r="T13" s="321"/>
      <c r="Z13" s="321"/>
      <c r="AA13" s="321"/>
      <c r="AB13" s="321"/>
      <c r="AC13" s="321"/>
      <c r="AD13" s="321"/>
      <c r="AE13" s="321"/>
    </row>
    <row r="14" spans="1:31" ht="14.25" customHeight="1" outlineLevel="1">
      <c r="B14" s="242" t="s">
        <v>419</v>
      </c>
      <c r="C14" s="249">
        <v>0</v>
      </c>
      <c r="D14" s="249">
        <v>0</v>
      </c>
      <c r="E14" s="249">
        <v>0.17450841386515428</v>
      </c>
      <c r="F14" s="249">
        <v>0.58709747725167549</v>
      </c>
      <c r="G14" s="249">
        <v>0.59103269925483559</v>
      </c>
      <c r="H14" s="249">
        <v>0.58826926503203925</v>
      </c>
      <c r="I14" s="249">
        <v>0.5953466114998337</v>
      </c>
      <c r="J14" s="249">
        <v>0.57269727840225537</v>
      </c>
      <c r="K14" s="249">
        <v>0.49246948240294086</v>
      </c>
      <c r="L14" s="249">
        <v>0.58069448528428991</v>
      </c>
      <c r="M14" s="249">
        <v>0.47770378950488851</v>
      </c>
      <c r="N14" s="249">
        <v>0.44188431970580694</v>
      </c>
      <c r="S14" s="321"/>
      <c r="T14" s="321"/>
      <c r="Z14" s="321"/>
      <c r="AA14" s="321"/>
      <c r="AB14" s="321"/>
      <c r="AC14" s="321"/>
      <c r="AD14" s="321"/>
      <c r="AE14" s="321"/>
    </row>
    <row r="15" spans="1:31" ht="14.25" customHeight="1" outlineLevel="1" thickBot="1">
      <c r="B15" s="172" t="s">
        <v>413</v>
      </c>
      <c r="C15" s="172">
        <f t="shared" ref="C15:N15" si="4">+C12*(1-C13)</f>
        <v>5.3897834187050353E-2</v>
      </c>
      <c r="D15" s="172">
        <f t="shared" si="4"/>
        <v>6.6752451906474816E-2</v>
      </c>
      <c r="E15" s="172">
        <f t="shared" si="4"/>
        <v>7.4818621489434772E-2</v>
      </c>
      <c r="F15" s="172">
        <f t="shared" si="4"/>
        <v>3.7430536018587465E-2</v>
      </c>
      <c r="G15" s="172">
        <f t="shared" si="4"/>
        <v>5.1623494503826022E-2</v>
      </c>
      <c r="H15" s="172">
        <f t="shared" si="4"/>
        <v>6.6944014799999993E-2</v>
      </c>
      <c r="I15" s="172">
        <f t="shared" si="4"/>
        <v>4.7658069278996872E-2</v>
      </c>
      <c r="J15" s="172">
        <f t="shared" si="4"/>
        <v>4.9645464153844042E-2</v>
      </c>
      <c r="K15" s="172">
        <f t="shared" si="4"/>
        <v>5.3370558732389869E-2</v>
      </c>
      <c r="L15" s="172">
        <f t="shared" si="4"/>
        <v>5.5267222531035762E-2</v>
      </c>
      <c r="M15" s="172">
        <f t="shared" si="4"/>
        <v>5.8038596536093549E-2</v>
      </c>
      <c r="N15" s="172">
        <f t="shared" si="4"/>
        <v>6.3004464502017674E-2</v>
      </c>
      <c r="S15" s="321"/>
      <c r="T15" s="321"/>
      <c r="Z15" s="321"/>
      <c r="AA15" s="321"/>
      <c r="AB15" s="321"/>
      <c r="AC15" s="321"/>
      <c r="AD15" s="321"/>
      <c r="AE15" s="321"/>
    </row>
    <row r="16" spans="1:31" ht="9.75" thickTop="1"/>
  </sheetData>
  <mergeCells count="1">
    <mergeCell ref="E1:H1"/>
  </mergeCells>
  <hyperlinks>
    <hyperlink ref="E1:H1" location="Indice!D3" display="ÍNDICE"/>
  </hyperlinks>
  <pageMargins left="0.75" right="0.75" top="1" bottom="1" header="0.5" footer="0.5"/>
  <pageSetup paperSize="9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>
  <sheetPr codeName="Hoja36">
    <tabColor rgb="FFC00000"/>
  </sheetPr>
  <dimension ref="A1:R12"/>
  <sheetViews>
    <sheetView showGridLines="0" workbookViewId="0">
      <selection activeCell="E29" sqref="E29"/>
    </sheetView>
  </sheetViews>
  <sheetFormatPr baseColWidth="10" defaultColWidth="9.140625" defaultRowHeight="9"/>
  <cols>
    <col min="1" max="1" width="13.85546875" style="91" customWidth="1"/>
    <col min="2" max="2" width="11" style="91" customWidth="1"/>
    <col min="3" max="15" width="9.28515625" style="91" customWidth="1"/>
    <col min="16" max="18" width="9.7109375" style="91" customWidth="1"/>
    <col min="19" max="88" width="9.140625" style="91"/>
    <col min="89" max="98" width="12" style="91" bestFit="1" customWidth="1"/>
    <col min="99" max="99" width="9.42578125" style="91" customWidth="1"/>
    <col min="100" max="101" width="12" style="91" bestFit="1" customWidth="1"/>
    <col min="102" max="344" width="9.140625" style="91"/>
    <col min="345" max="354" width="12" style="91" bestFit="1" customWidth="1"/>
    <col min="355" max="355" width="9.42578125" style="91" customWidth="1"/>
    <col min="356" max="357" width="12" style="91" bestFit="1" customWidth="1"/>
    <col min="358" max="600" width="9.140625" style="91"/>
    <col min="601" max="610" width="12" style="91" bestFit="1" customWidth="1"/>
    <col min="611" max="611" width="9.42578125" style="91" customWidth="1"/>
    <col min="612" max="613" width="12" style="91" bestFit="1" customWidth="1"/>
    <col min="614" max="856" width="9.140625" style="91"/>
    <col min="857" max="866" width="12" style="91" bestFit="1" customWidth="1"/>
    <col min="867" max="867" width="9.42578125" style="91" customWidth="1"/>
    <col min="868" max="869" width="12" style="91" bestFit="1" customWidth="1"/>
    <col min="870" max="1112" width="9.140625" style="91"/>
    <col min="1113" max="1122" width="12" style="91" bestFit="1" customWidth="1"/>
    <col min="1123" max="1123" width="9.42578125" style="91" customWidth="1"/>
    <col min="1124" max="1125" width="12" style="91" bestFit="1" customWidth="1"/>
    <col min="1126" max="1368" width="9.140625" style="91"/>
    <col min="1369" max="1378" width="12" style="91" bestFit="1" customWidth="1"/>
    <col min="1379" max="1379" width="9.42578125" style="91" customWidth="1"/>
    <col min="1380" max="1381" width="12" style="91" bestFit="1" customWidth="1"/>
    <col min="1382" max="1624" width="9.140625" style="91"/>
    <col min="1625" max="1634" width="12" style="91" bestFit="1" customWidth="1"/>
    <col min="1635" max="1635" width="9.42578125" style="91" customWidth="1"/>
    <col min="1636" max="1637" width="12" style="91" bestFit="1" customWidth="1"/>
    <col min="1638" max="1880" width="9.140625" style="91"/>
    <col min="1881" max="1890" width="12" style="91" bestFit="1" customWidth="1"/>
    <col min="1891" max="1891" width="9.42578125" style="91" customWidth="1"/>
    <col min="1892" max="1893" width="12" style="91" bestFit="1" customWidth="1"/>
    <col min="1894" max="2136" width="9.140625" style="91"/>
    <col min="2137" max="2146" width="12" style="91" bestFit="1" customWidth="1"/>
    <col min="2147" max="2147" width="9.42578125" style="91" customWidth="1"/>
    <col min="2148" max="2149" width="12" style="91" bestFit="1" customWidth="1"/>
    <col min="2150" max="2392" width="9.140625" style="91"/>
    <col min="2393" max="2402" width="12" style="91" bestFit="1" customWidth="1"/>
    <col min="2403" max="2403" width="9.42578125" style="91" customWidth="1"/>
    <col min="2404" max="2405" width="12" style="91" bestFit="1" customWidth="1"/>
    <col min="2406" max="2648" width="9.140625" style="91"/>
    <col min="2649" max="2658" width="12" style="91" bestFit="1" customWidth="1"/>
    <col min="2659" max="2659" width="9.42578125" style="91" customWidth="1"/>
    <col min="2660" max="2661" width="12" style="91" bestFit="1" customWidth="1"/>
    <col min="2662" max="2904" width="9.140625" style="91"/>
    <col min="2905" max="2914" width="12" style="91" bestFit="1" customWidth="1"/>
    <col min="2915" max="2915" width="9.42578125" style="91" customWidth="1"/>
    <col min="2916" max="2917" width="12" style="91" bestFit="1" customWidth="1"/>
    <col min="2918" max="3160" width="9.140625" style="91"/>
    <col min="3161" max="3170" width="12" style="91" bestFit="1" customWidth="1"/>
    <col min="3171" max="3171" width="9.42578125" style="91" customWidth="1"/>
    <col min="3172" max="3173" width="12" style="91" bestFit="1" customWidth="1"/>
    <col min="3174" max="3416" width="9.140625" style="91"/>
    <col min="3417" max="3426" width="12" style="91" bestFit="1" customWidth="1"/>
    <col min="3427" max="3427" width="9.42578125" style="91" customWidth="1"/>
    <col min="3428" max="3429" width="12" style="91" bestFit="1" customWidth="1"/>
    <col min="3430" max="3672" width="9.140625" style="91"/>
    <col min="3673" max="3682" width="12" style="91" bestFit="1" customWidth="1"/>
    <col min="3683" max="3683" width="9.42578125" style="91" customWidth="1"/>
    <col min="3684" max="3685" width="12" style="91" bestFit="1" customWidth="1"/>
    <col min="3686" max="3928" width="9.140625" style="91"/>
    <col min="3929" max="3938" width="12" style="91" bestFit="1" customWidth="1"/>
    <col min="3939" max="3939" width="9.42578125" style="91" customWidth="1"/>
    <col min="3940" max="3941" width="12" style="91" bestFit="1" customWidth="1"/>
    <col min="3942" max="4184" width="9.140625" style="91"/>
    <col min="4185" max="4194" width="12" style="91" bestFit="1" customWidth="1"/>
    <col min="4195" max="4195" width="9.42578125" style="91" customWidth="1"/>
    <col min="4196" max="4197" width="12" style="91" bestFit="1" customWidth="1"/>
    <col min="4198" max="4440" width="9.140625" style="91"/>
    <col min="4441" max="4450" width="12" style="91" bestFit="1" customWidth="1"/>
    <col min="4451" max="4451" width="9.42578125" style="91" customWidth="1"/>
    <col min="4452" max="4453" width="12" style="91" bestFit="1" customWidth="1"/>
    <col min="4454" max="4696" width="9.140625" style="91"/>
    <col min="4697" max="4706" width="12" style="91" bestFit="1" customWidth="1"/>
    <col min="4707" max="4707" width="9.42578125" style="91" customWidth="1"/>
    <col min="4708" max="4709" width="12" style="91" bestFit="1" customWidth="1"/>
    <col min="4710" max="4952" width="9.140625" style="91"/>
    <col min="4953" max="4962" width="12" style="91" bestFit="1" customWidth="1"/>
    <col min="4963" max="4963" width="9.42578125" style="91" customWidth="1"/>
    <col min="4964" max="4965" width="12" style="91" bestFit="1" customWidth="1"/>
    <col min="4966" max="5208" width="9.140625" style="91"/>
    <col min="5209" max="5218" width="12" style="91" bestFit="1" customWidth="1"/>
    <col min="5219" max="5219" width="9.42578125" style="91" customWidth="1"/>
    <col min="5220" max="5221" width="12" style="91" bestFit="1" customWidth="1"/>
    <col min="5222" max="5464" width="9.140625" style="91"/>
    <col min="5465" max="5474" width="12" style="91" bestFit="1" customWidth="1"/>
    <col min="5475" max="5475" width="9.42578125" style="91" customWidth="1"/>
    <col min="5476" max="5477" width="12" style="91" bestFit="1" customWidth="1"/>
    <col min="5478" max="5720" width="9.140625" style="91"/>
    <col min="5721" max="5730" width="12" style="91" bestFit="1" customWidth="1"/>
    <col min="5731" max="5731" width="9.42578125" style="91" customWidth="1"/>
    <col min="5732" max="5733" width="12" style="91" bestFit="1" customWidth="1"/>
    <col min="5734" max="5976" width="9.140625" style="91"/>
    <col min="5977" max="5986" width="12" style="91" bestFit="1" customWidth="1"/>
    <col min="5987" max="5987" width="9.42578125" style="91" customWidth="1"/>
    <col min="5988" max="5989" width="12" style="91" bestFit="1" customWidth="1"/>
    <col min="5990" max="6232" width="9.140625" style="91"/>
    <col min="6233" max="6242" width="12" style="91" bestFit="1" customWidth="1"/>
    <col min="6243" max="6243" width="9.42578125" style="91" customWidth="1"/>
    <col min="6244" max="6245" width="12" style="91" bestFit="1" customWidth="1"/>
    <col min="6246" max="6488" width="9.140625" style="91"/>
    <col min="6489" max="6498" width="12" style="91" bestFit="1" customWidth="1"/>
    <col min="6499" max="6499" width="9.42578125" style="91" customWidth="1"/>
    <col min="6500" max="6501" width="12" style="91" bestFit="1" customWidth="1"/>
    <col min="6502" max="6744" width="9.140625" style="91"/>
    <col min="6745" max="6754" width="12" style="91" bestFit="1" customWidth="1"/>
    <col min="6755" max="6755" width="9.42578125" style="91" customWidth="1"/>
    <col min="6756" max="6757" width="12" style="91" bestFit="1" customWidth="1"/>
    <col min="6758" max="7000" width="9.140625" style="91"/>
    <col min="7001" max="7010" width="12" style="91" bestFit="1" customWidth="1"/>
    <col min="7011" max="7011" width="9.42578125" style="91" customWidth="1"/>
    <col min="7012" max="7013" width="12" style="91" bestFit="1" customWidth="1"/>
    <col min="7014" max="7256" width="9.140625" style="91"/>
    <col min="7257" max="7266" width="12" style="91" bestFit="1" customWidth="1"/>
    <col min="7267" max="7267" width="9.42578125" style="91" customWidth="1"/>
    <col min="7268" max="7269" width="12" style="91" bestFit="1" customWidth="1"/>
    <col min="7270" max="7512" width="9.140625" style="91"/>
    <col min="7513" max="7522" width="12" style="91" bestFit="1" customWidth="1"/>
    <col min="7523" max="7523" width="9.42578125" style="91" customWidth="1"/>
    <col min="7524" max="7525" width="12" style="91" bestFit="1" customWidth="1"/>
    <col min="7526" max="7768" width="9.140625" style="91"/>
    <col min="7769" max="7778" width="12" style="91" bestFit="1" customWidth="1"/>
    <col min="7779" max="7779" width="9.42578125" style="91" customWidth="1"/>
    <col min="7780" max="7781" width="12" style="91" bestFit="1" customWidth="1"/>
    <col min="7782" max="8024" width="9.140625" style="91"/>
    <col min="8025" max="8034" width="12" style="91" bestFit="1" customWidth="1"/>
    <col min="8035" max="8035" width="9.42578125" style="91" customWidth="1"/>
    <col min="8036" max="8037" width="12" style="91" bestFit="1" customWidth="1"/>
    <col min="8038" max="8280" width="9.140625" style="91"/>
    <col min="8281" max="8290" width="12" style="91" bestFit="1" customWidth="1"/>
    <col min="8291" max="8291" width="9.42578125" style="91" customWidth="1"/>
    <col min="8292" max="8293" width="12" style="91" bestFit="1" customWidth="1"/>
    <col min="8294" max="8536" width="9.140625" style="91"/>
    <col min="8537" max="8546" width="12" style="91" bestFit="1" customWidth="1"/>
    <col min="8547" max="8547" width="9.42578125" style="91" customWidth="1"/>
    <col min="8548" max="8549" width="12" style="91" bestFit="1" customWidth="1"/>
    <col min="8550" max="8792" width="9.140625" style="91"/>
    <col min="8793" max="8802" width="12" style="91" bestFit="1" customWidth="1"/>
    <col min="8803" max="8803" width="9.42578125" style="91" customWidth="1"/>
    <col min="8804" max="8805" width="12" style="91" bestFit="1" customWidth="1"/>
    <col min="8806" max="9048" width="9.140625" style="91"/>
    <col min="9049" max="9058" width="12" style="91" bestFit="1" customWidth="1"/>
    <col min="9059" max="9059" width="9.42578125" style="91" customWidth="1"/>
    <col min="9060" max="9061" width="12" style="91" bestFit="1" customWidth="1"/>
    <col min="9062" max="9304" width="9.140625" style="91"/>
    <col min="9305" max="9314" width="12" style="91" bestFit="1" customWidth="1"/>
    <col min="9315" max="9315" width="9.42578125" style="91" customWidth="1"/>
    <col min="9316" max="9317" width="12" style="91" bestFit="1" customWidth="1"/>
    <col min="9318" max="9560" width="9.140625" style="91"/>
    <col min="9561" max="9570" width="12" style="91" bestFit="1" customWidth="1"/>
    <col min="9571" max="9571" width="9.42578125" style="91" customWidth="1"/>
    <col min="9572" max="9573" width="12" style="91" bestFit="1" customWidth="1"/>
    <col min="9574" max="9816" width="9.140625" style="91"/>
    <col min="9817" max="9826" width="12" style="91" bestFit="1" customWidth="1"/>
    <col min="9827" max="9827" width="9.42578125" style="91" customWidth="1"/>
    <col min="9828" max="9829" width="12" style="91" bestFit="1" customWidth="1"/>
    <col min="9830" max="10072" width="9.140625" style="91"/>
    <col min="10073" max="10082" width="12" style="91" bestFit="1" customWidth="1"/>
    <col min="10083" max="10083" width="9.42578125" style="91" customWidth="1"/>
    <col min="10084" max="10085" width="12" style="91" bestFit="1" customWidth="1"/>
    <col min="10086" max="10328" width="9.140625" style="91"/>
    <col min="10329" max="10338" width="12" style="91" bestFit="1" customWidth="1"/>
    <col min="10339" max="10339" width="9.42578125" style="91" customWidth="1"/>
    <col min="10340" max="10341" width="12" style="91" bestFit="1" customWidth="1"/>
    <col min="10342" max="10584" width="9.140625" style="91"/>
    <col min="10585" max="10594" width="12" style="91" bestFit="1" customWidth="1"/>
    <col min="10595" max="10595" width="9.42578125" style="91" customWidth="1"/>
    <col min="10596" max="10597" width="12" style="91" bestFit="1" customWidth="1"/>
    <col min="10598" max="10840" width="9.140625" style="91"/>
    <col min="10841" max="10850" width="12" style="91" bestFit="1" customWidth="1"/>
    <col min="10851" max="10851" width="9.42578125" style="91" customWidth="1"/>
    <col min="10852" max="10853" width="12" style="91" bestFit="1" customWidth="1"/>
    <col min="10854" max="11096" width="9.140625" style="91"/>
    <col min="11097" max="11106" width="12" style="91" bestFit="1" customWidth="1"/>
    <col min="11107" max="11107" width="9.42578125" style="91" customWidth="1"/>
    <col min="11108" max="11109" width="12" style="91" bestFit="1" customWidth="1"/>
    <col min="11110" max="11352" width="9.140625" style="91"/>
    <col min="11353" max="11362" width="12" style="91" bestFit="1" customWidth="1"/>
    <col min="11363" max="11363" width="9.42578125" style="91" customWidth="1"/>
    <col min="11364" max="11365" width="12" style="91" bestFit="1" customWidth="1"/>
    <col min="11366" max="11608" width="9.140625" style="91"/>
    <col min="11609" max="11618" width="12" style="91" bestFit="1" customWidth="1"/>
    <col min="11619" max="11619" width="9.42578125" style="91" customWidth="1"/>
    <col min="11620" max="11621" width="12" style="91" bestFit="1" customWidth="1"/>
    <col min="11622" max="11864" width="9.140625" style="91"/>
    <col min="11865" max="11874" width="12" style="91" bestFit="1" customWidth="1"/>
    <col min="11875" max="11875" width="9.42578125" style="91" customWidth="1"/>
    <col min="11876" max="11877" width="12" style="91" bestFit="1" customWidth="1"/>
    <col min="11878" max="12120" width="9.140625" style="91"/>
    <col min="12121" max="12130" width="12" style="91" bestFit="1" customWidth="1"/>
    <col min="12131" max="12131" width="9.42578125" style="91" customWidth="1"/>
    <col min="12132" max="12133" width="12" style="91" bestFit="1" customWidth="1"/>
    <col min="12134" max="12376" width="9.140625" style="91"/>
    <col min="12377" max="12386" width="12" style="91" bestFit="1" customWidth="1"/>
    <col min="12387" max="12387" width="9.42578125" style="91" customWidth="1"/>
    <col min="12388" max="12389" width="12" style="91" bestFit="1" customWidth="1"/>
    <col min="12390" max="12632" width="9.140625" style="91"/>
    <col min="12633" max="12642" width="12" style="91" bestFit="1" customWidth="1"/>
    <col min="12643" max="12643" width="9.42578125" style="91" customWidth="1"/>
    <col min="12644" max="12645" width="12" style="91" bestFit="1" customWidth="1"/>
    <col min="12646" max="12888" width="9.140625" style="91"/>
    <col min="12889" max="12898" width="12" style="91" bestFit="1" customWidth="1"/>
    <col min="12899" max="12899" width="9.42578125" style="91" customWidth="1"/>
    <col min="12900" max="12901" width="12" style="91" bestFit="1" customWidth="1"/>
    <col min="12902" max="13144" width="9.140625" style="91"/>
    <col min="13145" max="13154" width="12" style="91" bestFit="1" customWidth="1"/>
    <col min="13155" max="13155" width="9.42578125" style="91" customWidth="1"/>
    <col min="13156" max="13157" width="12" style="91" bestFit="1" customWidth="1"/>
    <col min="13158" max="13400" width="9.140625" style="91"/>
    <col min="13401" max="13410" width="12" style="91" bestFit="1" customWidth="1"/>
    <col min="13411" max="13411" width="9.42578125" style="91" customWidth="1"/>
    <col min="13412" max="13413" width="12" style="91" bestFit="1" customWidth="1"/>
    <col min="13414" max="13656" width="9.140625" style="91"/>
    <col min="13657" max="13666" width="12" style="91" bestFit="1" customWidth="1"/>
    <col min="13667" max="13667" width="9.42578125" style="91" customWidth="1"/>
    <col min="13668" max="13669" width="12" style="91" bestFit="1" customWidth="1"/>
    <col min="13670" max="13912" width="9.140625" style="91"/>
    <col min="13913" max="13922" width="12" style="91" bestFit="1" customWidth="1"/>
    <col min="13923" max="13923" width="9.42578125" style="91" customWidth="1"/>
    <col min="13924" max="13925" width="12" style="91" bestFit="1" customWidth="1"/>
    <col min="13926" max="14168" width="9.140625" style="91"/>
    <col min="14169" max="14178" width="12" style="91" bestFit="1" customWidth="1"/>
    <col min="14179" max="14179" width="9.42578125" style="91" customWidth="1"/>
    <col min="14180" max="14181" width="12" style="91" bestFit="1" customWidth="1"/>
    <col min="14182" max="14424" width="9.140625" style="91"/>
    <col min="14425" max="14434" width="12" style="91" bestFit="1" customWidth="1"/>
    <col min="14435" max="14435" width="9.42578125" style="91" customWidth="1"/>
    <col min="14436" max="14437" width="12" style="91" bestFit="1" customWidth="1"/>
    <col min="14438" max="14680" width="9.140625" style="91"/>
    <col min="14681" max="14690" width="12" style="91" bestFit="1" customWidth="1"/>
    <col min="14691" max="14691" width="9.42578125" style="91" customWidth="1"/>
    <col min="14692" max="14693" width="12" style="91" bestFit="1" customWidth="1"/>
    <col min="14694" max="14936" width="9.140625" style="91"/>
    <col min="14937" max="14946" width="12" style="91" bestFit="1" customWidth="1"/>
    <col min="14947" max="14947" width="9.42578125" style="91" customWidth="1"/>
    <col min="14948" max="14949" width="12" style="91" bestFit="1" customWidth="1"/>
    <col min="14950" max="15192" width="9.140625" style="91"/>
    <col min="15193" max="15202" width="12" style="91" bestFit="1" customWidth="1"/>
    <col min="15203" max="15203" width="9.42578125" style="91" customWidth="1"/>
    <col min="15204" max="15205" width="12" style="91" bestFit="1" customWidth="1"/>
    <col min="15206" max="15448" width="9.140625" style="91"/>
    <col min="15449" max="15458" width="12" style="91" bestFit="1" customWidth="1"/>
    <col min="15459" max="15459" width="9.42578125" style="91" customWidth="1"/>
    <col min="15460" max="15461" width="12" style="91" bestFit="1" customWidth="1"/>
    <col min="15462" max="15704" width="9.140625" style="91"/>
    <col min="15705" max="15714" width="12" style="91" bestFit="1" customWidth="1"/>
    <col min="15715" max="15715" width="9.42578125" style="91" customWidth="1"/>
    <col min="15716" max="15717" width="12" style="91" bestFit="1" customWidth="1"/>
    <col min="15718" max="15960" width="9.140625" style="91"/>
    <col min="15961" max="15970" width="12" style="91" bestFit="1" customWidth="1"/>
    <col min="15971" max="15971" width="9.42578125" style="91" customWidth="1"/>
    <col min="15972" max="15973" width="12" style="91" bestFit="1" customWidth="1"/>
    <col min="15974" max="16384" width="9.140625" style="91"/>
  </cols>
  <sheetData>
    <row r="1" spans="1:18">
      <c r="A1" s="311"/>
    </row>
    <row r="2" spans="1:18" s="41" customFormat="1" ht="15">
      <c r="C2" s="196"/>
      <c r="D2" s="196"/>
      <c r="E2" s="444" t="s">
        <v>555</v>
      </c>
      <c r="F2" s="444"/>
      <c r="G2" s="444"/>
      <c r="H2" s="444"/>
      <c r="I2" s="196"/>
      <c r="J2" s="196"/>
      <c r="K2" s="196"/>
      <c r="L2" s="196"/>
      <c r="M2" s="196"/>
      <c r="N2" s="196"/>
      <c r="O2" s="203"/>
      <c r="P2" s="203"/>
      <c r="Q2" s="203"/>
      <c r="R2" s="203"/>
    </row>
    <row r="3" spans="1:18" s="41" customFormat="1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9"/>
      <c r="P3" s="199"/>
      <c r="Q3" s="199"/>
      <c r="R3" s="199"/>
    </row>
    <row r="4" spans="1:18" s="41" customFormat="1" ht="9.75" thickBot="1">
      <c r="B4" s="42" t="s">
        <v>315</v>
      </c>
      <c r="C4" s="42">
        <v>2001</v>
      </c>
      <c r="D4" s="42">
        <v>2002</v>
      </c>
      <c r="E4" s="42">
        <v>2003</v>
      </c>
      <c r="F4" s="42">
        <v>2004</v>
      </c>
      <c r="G4" s="42">
        <v>2005</v>
      </c>
      <c r="H4" s="42">
        <v>2006</v>
      </c>
      <c r="I4" s="42">
        <v>2007</v>
      </c>
      <c r="J4" s="42">
        <v>2008</v>
      </c>
      <c r="K4" s="42">
        <v>2009</v>
      </c>
      <c r="L4" s="42">
        <v>2010</v>
      </c>
      <c r="M4" s="42">
        <v>2011</v>
      </c>
      <c r="N4" s="42">
        <v>2012</v>
      </c>
      <c r="O4" s="42" t="s">
        <v>147</v>
      </c>
    </row>
    <row r="5" spans="1:18" s="41" customFormat="1" ht="9.75" thickTop="1">
      <c r="B5" s="227"/>
      <c r="C5" s="386">
        <v>-2.06E-2</v>
      </c>
      <c r="D5" s="386">
        <v>4.1000000000000002E-2</v>
      </c>
      <c r="E5" s="386">
        <v>1.77E-2</v>
      </c>
      <c r="F5" s="386">
        <v>2.2799999999999997E-2</v>
      </c>
      <c r="G5" s="386">
        <v>2.29E-2</v>
      </c>
      <c r="H5" s="386">
        <v>1.8100000000000002E-2</v>
      </c>
      <c r="I5" s="386">
        <v>1.8700000000000001E-2</v>
      </c>
      <c r="J5" s="386">
        <v>5.0000000000000001E-3</v>
      </c>
      <c r="K5" s="386">
        <v>-4.3499999999999997E-2</v>
      </c>
      <c r="L5" s="387">
        <v>2.3E-3</v>
      </c>
      <c r="M5" s="387">
        <v>-1.23E-2</v>
      </c>
      <c r="N5" s="387">
        <v>-1.7899999999999999E-2</v>
      </c>
      <c r="O5" s="437">
        <f>+AVERAGE(C5:N5)</f>
        <v>4.516666666666668E-3</v>
      </c>
    </row>
    <row r="6" spans="1:18" s="41" customFormat="1">
      <c r="A6" s="198"/>
      <c r="B6" s="198" t="s">
        <v>538</v>
      </c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9"/>
    </row>
    <row r="10" spans="1:18">
      <c r="A10" s="169"/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272"/>
      <c r="P10" s="272"/>
      <c r="Q10" s="272"/>
      <c r="R10" s="272"/>
    </row>
    <row r="11" spans="1:18">
      <c r="A11" s="169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</row>
    <row r="12" spans="1:18">
      <c r="A12" s="169"/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</row>
  </sheetData>
  <mergeCells count="1">
    <mergeCell ref="E2:H2"/>
  </mergeCells>
  <hyperlinks>
    <hyperlink ref="E2:H2" location="Indice!D3" display="ÍNDICE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>
    <tabColor rgb="FF00B050"/>
  </sheetPr>
  <dimension ref="B1:R70"/>
  <sheetViews>
    <sheetView showGridLines="0" workbookViewId="0">
      <selection activeCell="E2" sqref="E2:H2"/>
    </sheetView>
  </sheetViews>
  <sheetFormatPr baseColWidth="10" defaultRowHeight="9"/>
  <cols>
    <col min="1" max="1" width="14.140625" style="32" customWidth="1"/>
    <col min="2" max="2" width="21" style="32" customWidth="1"/>
    <col min="3" max="15" width="9.5703125" style="32" customWidth="1"/>
    <col min="16" max="17" width="11.42578125" style="32"/>
    <col min="18" max="21" width="6.28515625" style="32" customWidth="1"/>
    <col min="22" max="16384" width="11.42578125" style="32"/>
  </cols>
  <sheetData>
    <row r="1" spans="2:18">
      <c r="B1" s="37" t="s">
        <v>395</v>
      </c>
    </row>
    <row r="2" spans="2:18" ht="15">
      <c r="B2" s="38" t="s">
        <v>393</v>
      </c>
      <c r="E2" s="444" t="s">
        <v>555</v>
      </c>
      <c r="F2" s="444"/>
      <c r="G2" s="444"/>
      <c r="H2" s="444"/>
    </row>
    <row r="4" spans="2:18" ht="9.75" thickBot="1">
      <c r="B4" s="383" t="s">
        <v>408</v>
      </c>
      <c r="C4" s="383" t="s">
        <v>380</v>
      </c>
      <c r="D4" s="383" t="s">
        <v>381</v>
      </c>
      <c r="E4" s="383" t="s">
        <v>382</v>
      </c>
      <c r="F4" s="383" t="s">
        <v>383</v>
      </c>
      <c r="G4" s="49" t="s">
        <v>469</v>
      </c>
      <c r="H4" s="88">
        <v>2005</v>
      </c>
      <c r="I4" s="383" t="s">
        <v>384</v>
      </c>
      <c r="J4" s="383" t="s">
        <v>385</v>
      </c>
      <c r="K4" s="383" t="s">
        <v>386</v>
      </c>
      <c r="L4" s="383" t="s">
        <v>387</v>
      </c>
      <c r="M4" s="383" t="s">
        <v>388</v>
      </c>
      <c r="N4" s="383" t="s">
        <v>389</v>
      </c>
      <c r="O4" s="347" t="s">
        <v>390</v>
      </c>
    </row>
    <row r="5" spans="2:18" ht="9.75" thickTop="1">
      <c r="B5" s="363" t="s">
        <v>21</v>
      </c>
      <c r="C5" s="45">
        <v>23025234.490409948</v>
      </c>
      <c r="D5" s="45">
        <v>24206504.140000001</v>
      </c>
      <c r="E5" s="45">
        <v>27452321.359999999</v>
      </c>
      <c r="F5" s="45">
        <v>30688574.149999999</v>
      </c>
      <c r="G5" s="45">
        <v>34475937.829999998</v>
      </c>
      <c r="H5" s="45">
        <v>34475937.829999998</v>
      </c>
      <c r="I5" s="45">
        <v>37979188.32</v>
      </c>
      <c r="J5" s="45">
        <v>45757548.11999999</v>
      </c>
      <c r="K5" s="45">
        <v>50168531.932773113</v>
      </c>
      <c r="L5" s="45">
        <v>52966424.579831928</v>
      </c>
      <c r="M5" s="45">
        <v>55399188.239495799</v>
      </c>
      <c r="N5" s="45">
        <v>61381639.819220982</v>
      </c>
      <c r="O5" s="364">
        <v>67406802.312903389</v>
      </c>
    </row>
    <row r="6" spans="2:18">
      <c r="B6" s="361" t="s">
        <v>22</v>
      </c>
      <c r="C6" s="47">
        <v>2899854.9551049704</v>
      </c>
      <c r="D6" s="47">
        <v>3214749.1599999997</v>
      </c>
      <c r="E6" s="47">
        <v>4148941.5900000003</v>
      </c>
      <c r="F6" s="47">
        <v>4630269.2</v>
      </c>
      <c r="G6" s="47">
        <v>4993623.53</v>
      </c>
      <c r="H6" s="47">
        <v>4993623.53</v>
      </c>
      <c r="I6" s="47">
        <v>6670552.4800000004</v>
      </c>
      <c r="J6" s="47">
        <v>8673839.9100000001</v>
      </c>
      <c r="K6" s="47">
        <v>9531520.7983193286</v>
      </c>
      <c r="L6" s="47">
        <v>9833215.6470588222</v>
      </c>
      <c r="M6" s="47">
        <v>14614316.197647065</v>
      </c>
      <c r="N6" s="47">
        <v>18641599.238169983</v>
      </c>
      <c r="O6" s="362">
        <v>25671236.93907797</v>
      </c>
    </row>
    <row r="7" spans="2:18">
      <c r="B7" s="363" t="s">
        <v>470</v>
      </c>
      <c r="C7" s="45">
        <v>5250.5940776965017</v>
      </c>
      <c r="D7" s="45">
        <v>4203.4799999999996</v>
      </c>
      <c r="E7" s="45">
        <v>4642.6099999999997</v>
      </c>
      <c r="F7" s="45">
        <v>4618.0600000000004</v>
      </c>
      <c r="G7" s="45">
        <v>4670.5200000000004</v>
      </c>
      <c r="H7" s="45">
        <v>4670.5200000000004</v>
      </c>
      <c r="I7" s="45">
        <v>5173.24</v>
      </c>
      <c r="J7" s="45">
        <v>6528</v>
      </c>
      <c r="K7" s="45">
        <v>7871</v>
      </c>
      <c r="L7" s="45">
        <v>8681.7200000000012</v>
      </c>
      <c r="M7" s="45">
        <v>9627.1299999999974</v>
      </c>
      <c r="N7" s="45">
        <v>8762.1099999999988</v>
      </c>
      <c r="O7" s="364">
        <v>9917.6799999999639</v>
      </c>
    </row>
    <row r="8" spans="2:18">
      <c r="B8" s="361" t="s">
        <v>471</v>
      </c>
      <c r="C8" s="47">
        <v>9782.53225114202</v>
      </c>
      <c r="D8" s="47">
        <v>14641.99</v>
      </c>
      <c r="E8" s="47">
        <v>12961.02</v>
      </c>
      <c r="F8" s="47">
        <v>10706.87</v>
      </c>
      <c r="G8" s="47">
        <v>7868.59</v>
      </c>
      <c r="H8" s="47">
        <v>7868.59</v>
      </c>
      <c r="I8" s="47">
        <v>6696.83</v>
      </c>
      <c r="J8" s="47">
        <v>8239.85</v>
      </c>
      <c r="K8" s="47">
        <v>9502.74</v>
      </c>
      <c r="L8" s="47">
        <v>8006.85</v>
      </c>
      <c r="M8" s="47">
        <v>12342.420000000002</v>
      </c>
      <c r="N8" s="47">
        <v>12160.32</v>
      </c>
      <c r="O8" s="362">
        <v>15321.419999999989</v>
      </c>
    </row>
    <row r="9" spans="2:18">
      <c r="B9" s="363" t="s">
        <v>472</v>
      </c>
      <c r="C9" s="45">
        <v>53029.932000162131</v>
      </c>
      <c r="D9" s="45">
        <v>46387.53</v>
      </c>
      <c r="E9" s="45">
        <v>40197.129999999997</v>
      </c>
      <c r="F9" s="45">
        <v>30334.75</v>
      </c>
      <c r="G9" s="45">
        <v>8451.98</v>
      </c>
      <c r="H9" s="45">
        <v>8451.98</v>
      </c>
      <c r="I9" s="45">
        <v>55568.289999999899</v>
      </c>
      <c r="J9" s="45">
        <v>140521.51</v>
      </c>
      <c r="K9" s="45">
        <v>221247.13000000006</v>
      </c>
      <c r="L9" s="45">
        <v>372225.9299999997</v>
      </c>
      <c r="M9" s="45">
        <v>343224.02999999968</v>
      </c>
      <c r="N9" s="45">
        <v>585279.23000000115</v>
      </c>
      <c r="O9" s="364">
        <v>621837.08000000403</v>
      </c>
    </row>
    <row r="10" spans="2:18">
      <c r="B10" s="361" t="s">
        <v>473</v>
      </c>
      <c r="C10" s="47">
        <v>814268.90035616001</v>
      </c>
      <c r="D10" s="47">
        <v>594408.34999999905</v>
      </c>
      <c r="E10" s="47">
        <v>479503.31999999902</v>
      </c>
      <c r="F10" s="47">
        <v>565759.52</v>
      </c>
      <c r="G10" s="47">
        <v>517151.73000000097</v>
      </c>
      <c r="H10" s="47">
        <v>517151.73000000097</v>
      </c>
      <c r="I10" s="47">
        <v>474305.96000000671</v>
      </c>
      <c r="J10" s="47">
        <v>781191.76999999862</v>
      </c>
      <c r="K10" s="47">
        <v>1010164.9099999991</v>
      </c>
      <c r="L10" s="47">
        <v>1141644.559999994</v>
      </c>
      <c r="M10" s="47">
        <v>1322560.080000008</v>
      </c>
      <c r="N10" s="47">
        <v>1534953.4500000139</v>
      </c>
      <c r="O10" s="362">
        <v>1654758.789999913</v>
      </c>
      <c r="R10" s="35"/>
    </row>
    <row r="11" spans="2:18">
      <c r="B11" s="363" t="s">
        <v>474</v>
      </c>
      <c r="C11" s="45">
        <v>1237877.8997017604</v>
      </c>
      <c r="D11" s="45">
        <v>1157704.21</v>
      </c>
      <c r="E11" s="45">
        <v>1364756.27</v>
      </c>
      <c r="F11" s="45">
        <v>1513883.52</v>
      </c>
      <c r="G11" s="45">
        <v>1906521.72</v>
      </c>
      <c r="H11" s="45">
        <v>1906521.72</v>
      </c>
      <c r="I11" s="45">
        <v>1587211.0900000138</v>
      </c>
      <c r="J11" s="45">
        <v>1833941.8</v>
      </c>
      <c r="K11" s="45">
        <v>2187505.2599999998</v>
      </c>
      <c r="L11" s="45">
        <v>2117639.4900000002</v>
      </c>
      <c r="M11" s="45">
        <v>2376727.8799999994</v>
      </c>
      <c r="N11" s="45">
        <v>2488502.2300000018</v>
      </c>
      <c r="O11" s="364">
        <v>2978835.7899999307</v>
      </c>
    </row>
    <row r="12" spans="2:18">
      <c r="B12" s="361" t="s">
        <v>475</v>
      </c>
      <c r="C12" s="47">
        <v>1384.3467077893499</v>
      </c>
      <c r="D12" s="47">
        <v>1718.09</v>
      </c>
      <c r="E12" s="47">
        <v>1342.85</v>
      </c>
      <c r="F12" s="47">
        <v>1802.34</v>
      </c>
      <c r="G12" s="47">
        <v>1504.37</v>
      </c>
      <c r="H12" s="47">
        <v>1504.37</v>
      </c>
      <c r="I12" s="47">
        <v>1330.7400000000002</v>
      </c>
      <c r="J12" s="47">
        <v>1994.1</v>
      </c>
      <c r="K12" s="47">
        <v>2189.6</v>
      </c>
      <c r="L12" s="47">
        <v>1591.6499999999999</v>
      </c>
      <c r="M12" s="47">
        <v>2210.38</v>
      </c>
      <c r="N12" s="47">
        <v>2412.1299999999997</v>
      </c>
      <c r="O12" s="362">
        <v>2412.1299999999983</v>
      </c>
    </row>
    <row r="13" spans="2:18">
      <c r="B13" s="363" t="s">
        <v>476</v>
      </c>
      <c r="C13" s="45">
        <v>5663.8949592624294</v>
      </c>
      <c r="D13" s="45">
        <v>5925.37</v>
      </c>
      <c r="E13" s="45">
        <v>12437.52</v>
      </c>
      <c r="F13" s="45">
        <v>7807.23</v>
      </c>
      <c r="G13" s="45">
        <v>3557.05</v>
      </c>
      <c r="H13" s="45">
        <v>3557.05</v>
      </c>
      <c r="I13" s="45">
        <v>5541.6200000000008</v>
      </c>
      <c r="J13" s="45">
        <v>5644.84</v>
      </c>
      <c r="K13" s="45">
        <v>6714.5300000000007</v>
      </c>
      <c r="L13" s="45">
        <v>6650.97</v>
      </c>
      <c r="M13" s="45">
        <v>7864.840000000002</v>
      </c>
      <c r="N13" s="45">
        <v>9636.2300000000014</v>
      </c>
      <c r="O13" s="364">
        <v>11762.3</v>
      </c>
    </row>
    <row r="14" spans="2:18">
      <c r="B14" s="361" t="s">
        <v>477</v>
      </c>
      <c r="C14" s="47">
        <v>67494.540435456016</v>
      </c>
      <c r="D14" s="47">
        <v>118313.09</v>
      </c>
      <c r="E14" s="47">
        <v>51349.49</v>
      </c>
      <c r="F14" s="47">
        <v>57204.17</v>
      </c>
      <c r="G14" s="47">
        <v>86281.27</v>
      </c>
      <c r="H14" s="47">
        <v>86281.27</v>
      </c>
      <c r="I14" s="47">
        <v>167480.65999999898</v>
      </c>
      <c r="J14" s="47">
        <v>349575.35</v>
      </c>
      <c r="K14" s="47">
        <v>345636.50999999995</v>
      </c>
      <c r="L14" s="47">
        <v>468789.63999999949</v>
      </c>
      <c r="M14" s="47">
        <v>305991.77999999968</v>
      </c>
      <c r="N14" s="47">
        <v>544766.61999999825</v>
      </c>
      <c r="O14" s="362">
        <v>629170.3299999953</v>
      </c>
    </row>
    <row r="15" spans="2:18">
      <c r="B15" s="363" t="s">
        <v>478</v>
      </c>
      <c r="C15" s="45">
        <v>543775.11749413388</v>
      </c>
      <c r="D15" s="45">
        <v>682819.16000000201</v>
      </c>
      <c r="E15" s="45">
        <v>717397.80000000098</v>
      </c>
      <c r="F15" s="45">
        <v>808809.42000000097</v>
      </c>
      <c r="G15" s="45">
        <v>916529.69</v>
      </c>
      <c r="H15" s="45">
        <v>916529.69</v>
      </c>
      <c r="I15" s="45">
        <v>891089.85999999475</v>
      </c>
      <c r="J15" s="45">
        <v>1089348.8500000001</v>
      </c>
      <c r="K15" s="45">
        <v>1107355.5</v>
      </c>
      <c r="L15" s="45">
        <v>1085107.9500000002</v>
      </c>
      <c r="M15" s="45">
        <v>1440823.3599999996</v>
      </c>
      <c r="N15" s="45">
        <v>1635132.090000004</v>
      </c>
      <c r="O15" s="364">
        <v>1697455.4100001105</v>
      </c>
    </row>
    <row r="16" spans="2:18">
      <c r="B16" s="361" t="s">
        <v>479</v>
      </c>
      <c r="C16" s="47">
        <v>2724214.8818643084</v>
      </c>
      <c r="D16" s="47">
        <v>2978604.02</v>
      </c>
      <c r="E16" s="47">
        <v>2918990.61</v>
      </c>
      <c r="F16" s="47">
        <v>3368352.68</v>
      </c>
      <c r="G16" s="47">
        <v>3867687.12</v>
      </c>
      <c r="H16" s="47">
        <v>3867687.12</v>
      </c>
      <c r="I16" s="47">
        <v>3966398.7200001008</v>
      </c>
      <c r="J16" s="47">
        <v>3966852.28</v>
      </c>
      <c r="K16" s="47">
        <v>4046740.2099999865</v>
      </c>
      <c r="L16" s="47">
        <v>4543870.1599999834</v>
      </c>
      <c r="M16" s="47">
        <v>5034777.1500000088</v>
      </c>
      <c r="N16" s="47">
        <v>4931439.4900000272</v>
      </c>
      <c r="O16" s="362">
        <v>5010313.4799995925</v>
      </c>
    </row>
    <row r="17" spans="2:15">
      <c r="B17" s="363" t="s">
        <v>480</v>
      </c>
      <c r="C17" s="45">
        <v>6111.8036544309489</v>
      </c>
      <c r="D17" s="45">
        <v>5331.21</v>
      </c>
      <c r="E17" s="45">
        <v>5380.58</v>
      </c>
      <c r="F17" s="45">
        <v>5588.48</v>
      </c>
      <c r="G17" s="45">
        <v>5347.39</v>
      </c>
      <c r="H17" s="45">
        <v>5347.39</v>
      </c>
      <c r="I17" s="45">
        <v>5921.97</v>
      </c>
      <c r="J17" s="45">
        <v>7531</v>
      </c>
      <c r="K17" s="45">
        <v>8891</v>
      </c>
      <c r="L17" s="45">
        <v>9433.68</v>
      </c>
      <c r="M17" s="45">
        <v>10727.619999999999</v>
      </c>
      <c r="N17" s="45">
        <v>9449.68</v>
      </c>
      <c r="O17" s="364">
        <v>10767.499999999925</v>
      </c>
    </row>
    <row r="18" spans="2:15">
      <c r="B18" s="361" t="s">
        <v>481</v>
      </c>
      <c r="C18" s="47">
        <v>13893.983781131765</v>
      </c>
      <c r="D18" s="47">
        <v>17116.93</v>
      </c>
      <c r="E18" s="47">
        <v>21195.67</v>
      </c>
      <c r="F18" s="47">
        <v>15356.12</v>
      </c>
      <c r="G18" s="47">
        <v>8941.58</v>
      </c>
      <c r="H18" s="47">
        <v>8941.58</v>
      </c>
      <c r="I18" s="47">
        <v>8085.07</v>
      </c>
      <c r="J18" s="47">
        <v>9789.83</v>
      </c>
      <c r="K18" s="47">
        <v>12259.07</v>
      </c>
      <c r="L18" s="47">
        <v>10829.429999999998</v>
      </c>
      <c r="M18" s="47">
        <v>14748.660000000002</v>
      </c>
      <c r="N18" s="47">
        <v>15767.100000000004</v>
      </c>
      <c r="O18" s="362">
        <v>19359.550000000021</v>
      </c>
    </row>
    <row r="19" spans="2:15">
      <c r="B19" s="363" t="s">
        <v>482</v>
      </c>
      <c r="C19" s="45">
        <v>94698.343136129493</v>
      </c>
      <c r="D19" s="45">
        <v>78612.19</v>
      </c>
      <c r="E19" s="45">
        <v>54005.72</v>
      </c>
      <c r="F19" s="45">
        <v>45334.81</v>
      </c>
      <c r="G19" s="45">
        <v>75176.59</v>
      </c>
      <c r="H19" s="45">
        <v>75176.59</v>
      </c>
      <c r="I19" s="45">
        <v>118661.54999999944</v>
      </c>
      <c r="J19" s="45">
        <v>231935.34</v>
      </c>
      <c r="K19" s="45">
        <v>280679.17</v>
      </c>
      <c r="L19" s="45">
        <v>459581.22999999922</v>
      </c>
      <c r="M19" s="45">
        <v>316245.5499999997</v>
      </c>
      <c r="N19" s="45">
        <v>548415.95000000054</v>
      </c>
      <c r="O19" s="364">
        <v>735213.55000002834</v>
      </c>
    </row>
    <row r="20" spans="2:15">
      <c r="B20" s="361" t="s">
        <v>483</v>
      </c>
      <c r="C20" s="47">
        <v>787311.56587193976</v>
      </c>
      <c r="D20" s="47">
        <v>766029.14999999898</v>
      </c>
      <c r="E20" s="47">
        <v>692997.2</v>
      </c>
      <c r="F20" s="47">
        <v>778311.15000000095</v>
      </c>
      <c r="G20" s="47">
        <v>870439.39000000095</v>
      </c>
      <c r="H20" s="47">
        <v>870439.39000000095</v>
      </c>
      <c r="I20" s="47">
        <v>742695.81000000925</v>
      </c>
      <c r="J20" s="47">
        <v>855874.89999999863</v>
      </c>
      <c r="K20" s="47">
        <v>1001333.2699999993</v>
      </c>
      <c r="L20" s="47">
        <v>1126410.7399999946</v>
      </c>
      <c r="M20" s="47">
        <v>1337025.9000000069</v>
      </c>
      <c r="N20" s="47">
        <v>1598468.8700000101</v>
      </c>
      <c r="O20" s="362">
        <v>1649709.6499999391</v>
      </c>
    </row>
    <row r="21" spans="2:15">
      <c r="B21" s="363" t="s">
        <v>484</v>
      </c>
      <c r="C21" s="45">
        <v>1389245.4956197198</v>
      </c>
      <c r="D21" s="45">
        <v>1432990.54</v>
      </c>
      <c r="E21" s="45">
        <v>1647417.24</v>
      </c>
      <c r="F21" s="45">
        <v>1855955.78</v>
      </c>
      <c r="G21" s="45">
        <v>2014776.9</v>
      </c>
      <c r="H21" s="45">
        <v>2014776.9</v>
      </c>
      <c r="I21" s="45">
        <v>1911920.0000000263</v>
      </c>
      <c r="J21" s="45">
        <v>2094650.9700000002</v>
      </c>
      <c r="K21" s="45">
        <v>2152574.4999999995</v>
      </c>
      <c r="L21" s="45">
        <v>2166940.2600000007</v>
      </c>
      <c r="M21" s="45">
        <v>2522851.6600000011</v>
      </c>
      <c r="N21" s="45">
        <v>2505705.6500000027</v>
      </c>
      <c r="O21" s="364">
        <v>3115032.0299998876</v>
      </c>
    </row>
    <row r="22" spans="2:15">
      <c r="B22" s="361" t="s">
        <v>485</v>
      </c>
      <c r="C22" s="47">
        <v>624.17053753143853</v>
      </c>
      <c r="D22" s="47">
        <v>403.86</v>
      </c>
      <c r="E22" s="47">
        <v>474.89</v>
      </c>
      <c r="F22" s="47">
        <v>612.48</v>
      </c>
      <c r="G22" s="47">
        <v>651.62</v>
      </c>
      <c r="H22" s="47">
        <v>651.62</v>
      </c>
      <c r="I22" s="47">
        <v>449.96999999999997</v>
      </c>
      <c r="J22" s="47">
        <v>801.55</v>
      </c>
      <c r="K22" s="47">
        <v>918.84999999999991</v>
      </c>
      <c r="L22" s="47">
        <v>530.54999999999995</v>
      </c>
      <c r="M22" s="47">
        <v>1044.69</v>
      </c>
      <c r="N22" s="47">
        <v>1297.28</v>
      </c>
      <c r="O22" s="362">
        <v>1297.2799999999993</v>
      </c>
    </row>
    <row r="23" spans="2:15">
      <c r="B23" s="363" t="s">
        <v>486</v>
      </c>
      <c r="C23" s="45">
        <v>1792.9785523111632</v>
      </c>
      <c r="D23" s="45">
        <v>3202.43</v>
      </c>
      <c r="E23" s="45">
        <v>3163.94</v>
      </c>
      <c r="F23" s="45">
        <v>2619.65</v>
      </c>
      <c r="G23" s="45">
        <v>2234.6999999999998</v>
      </c>
      <c r="H23" s="45">
        <v>2234.6999999999998</v>
      </c>
      <c r="I23" s="45">
        <v>3757.9300000000003</v>
      </c>
      <c r="J23" s="45">
        <v>3949.62</v>
      </c>
      <c r="K23" s="45">
        <v>3405.74</v>
      </c>
      <c r="L23" s="45">
        <v>3457.5700000000006</v>
      </c>
      <c r="M23" s="45">
        <v>4806.43</v>
      </c>
      <c r="N23" s="45">
        <v>5405.5100000000011</v>
      </c>
      <c r="O23" s="364">
        <v>6646.8000000000029</v>
      </c>
    </row>
    <row r="24" spans="2:15">
      <c r="B24" s="361" t="s">
        <v>487</v>
      </c>
      <c r="C24" s="47">
        <v>21274.763376781528</v>
      </c>
      <c r="D24" s="47">
        <v>83607.759999999995</v>
      </c>
      <c r="E24" s="47">
        <v>34694.050000000003</v>
      </c>
      <c r="F24" s="47">
        <v>39402.050000000003</v>
      </c>
      <c r="G24" s="47">
        <v>8745.18</v>
      </c>
      <c r="H24" s="47">
        <v>8745.18</v>
      </c>
      <c r="I24" s="47">
        <v>94974.250000000015</v>
      </c>
      <c r="J24" s="47">
        <v>243218.78</v>
      </c>
      <c r="K24" s="47">
        <v>274805.25</v>
      </c>
      <c r="L24" s="47">
        <v>369240.22999999986</v>
      </c>
      <c r="M24" s="47">
        <v>335141.57999999955</v>
      </c>
      <c r="N24" s="47">
        <v>587847.50999999803</v>
      </c>
      <c r="O24" s="362">
        <v>496619.00000000838</v>
      </c>
    </row>
    <row r="25" spans="2:15">
      <c r="B25" s="363" t="s">
        <v>488</v>
      </c>
      <c r="C25" s="45">
        <v>578584.01855068968</v>
      </c>
      <c r="D25" s="45">
        <v>484308.93</v>
      </c>
      <c r="E25" s="45">
        <v>472555.82</v>
      </c>
      <c r="F25" s="45">
        <v>562736.84</v>
      </c>
      <c r="G25" s="45">
        <v>509979.78000000102</v>
      </c>
      <c r="H25" s="45">
        <v>509979.78000000102</v>
      </c>
      <c r="I25" s="45">
        <v>582678.74000000092</v>
      </c>
      <c r="J25" s="45">
        <v>1006862.48</v>
      </c>
      <c r="K25" s="45">
        <v>1207807.2400000002</v>
      </c>
      <c r="L25" s="45">
        <v>1104897.3200000003</v>
      </c>
      <c r="M25" s="45">
        <v>1424488.8799999978</v>
      </c>
      <c r="N25" s="45">
        <v>1563227.67</v>
      </c>
      <c r="O25" s="364">
        <v>1704071.0000001052</v>
      </c>
    </row>
    <row r="26" spans="2:15">
      <c r="B26" s="361" t="s">
        <v>489</v>
      </c>
      <c r="C26" s="47">
        <v>2558568.5051854108</v>
      </c>
      <c r="D26" s="47">
        <v>2642319.35</v>
      </c>
      <c r="E26" s="47">
        <v>2716883.31</v>
      </c>
      <c r="F26" s="47">
        <v>2627148.39</v>
      </c>
      <c r="G26" s="47">
        <v>3536623.04</v>
      </c>
      <c r="H26" s="47">
        <v>3536623.04</v>
      </c>
      <c r="I26" s="47">
        <v>4314082.5800000699</v>
      </c>
      <c r="J26" s="47">
        <v>3889973.4699999914</v>
      </c>
      <c r="K26" s="47">
        <v>3949521.3599999868</v>
      </c>
      <c r="L26" s="47">
        <v>4465161.4999999842</v>
      </c>
      <c r="M26" s="47">
        <v>4825290.9900000114</v>
      </c>
      <c r="N26" s="47">
        <v>4892694.1200000243</v>
      </c>
      <c r="O26" s="362">
        <v>4855633.559999682</v>
      </c>
    </row>
    <row r="27" spans="2:15">
      <c r="B27" s="363" t="s">
        <v>490</v>
      </c>
      <c r="C27" s="45">
        <v>12234.868780857336</v>
      </c>
      <c r="D27" s="45">
        <v>14693.24</v>
      </c>
      <c r="E27" s="45">
        <v>13669.74</v>
      </c>
      <c r="F27" s="45">
        <v>26448.450000000201</v>
      </c>
      <c r="G27" s="45">
        <v>24581.2300000002</v>
      </c>
      <c r="H27" s="45">
        <v>24581.2300000002</v>
      </c>
      <c r="I27" s="45">
        <v>31962.419999998201</v>
      </c>
      <c r="J27" s="45">
        <v>29937.250000000211</v>
      </c>
      <c r="K27" s="45">
        <v>35089.50000000016</v>
      </c>
      <c r="L27" s="45">
        <v>39373.240000000187</v>
      </c>
      <c r="M27" s="45">
        <v>40240.160000000287</v>
      </c>
      <c r="N27" s="45">
        <v>30303.600000000039</v>
      </c>
      <c r="O27" s="364">
        <v>21382.299999998744</v>
      </c>
    </row>
    <row r="28" spans="2:15">
      <c r="B28" s="361" t="s">
        <v>491</v>
      </c>
      <c r="C28" s="47">
        <v>34617.220700254875</v>
      </c>
      <c r="D28" s="47">
        <v>35305.449999999997</v>
      </c>
      <c r="E28" s="47">
        <v>46924.34</v>
      </c>
      <c r="F28" s="47">
        <v>39134.449999999903</v>
      </c>
      <c r="G28" s="47">
        <v>35939.33</v>
      </c>
      <c r="H28" s="47">
        <v>35939.33</v>
      </c>
      <c r="I28" s="47">
        <v>44942.07000000008</v>
      </c>
      <c r="J28" s="47">
        <v>73829.260000000184</v>
      </c>
      <c r="K28" s="47">
        <v>54858.050000000068</v>
      </c>
      <c r="L28" s="47">
        <v>42339.46</v>
      </c>
      <c r="M28" s="47">
        <v>51671.989999999947</v>
      </c>
      <c r="N28" s="47">
        <v>60532.859999999913</v>
      </c>
      <c r="O28" s="362">
        <v>125792.16999999448</v>
      </c>
    </row>
    <row r="29" spans="2:15">
      <c r="B29" s="363" t="s">
        <v>492</v>
      </c>
      <c r="C29" s="45">
        <v>190755.75277563435</v>
      </c>
      <c r="D29" s="45">
        <v>120395.54</v>
      </c>
      <c r="E29" s="45">
        <v>126184.12</v>
      </c>
      <c r="F29" s="45">
        <v>100475.05</v>
      </c>
      <c r="G29" s="45">
        <v>215441.93</v>
      </c>
      <c r="H29" s="45">
        <v>215441.93</v>
      </c>
      <c r="I29" s="45">
        <v>416784.49999999785</v>
      </c>
      <c r="J29" s="45">
        <v>657209.46000000241</v>
      </c>
      <c r="K29" s="45">
        <v>803732.75000000652</v>
      </c>
      <c r="L29" s="45">
        <v>906333.89000000304</v>
      </c>
      <c r="M29" s="45">
        <v>1145082.2199999932</v>
      </c>
      <c r="N29" s="45">
        <v>1354897.0699999984</v>
      </c>
      <c r="O29" s="364">
        <v>1482684.4799999902</v>
      </c>
    </row>
    <row r="30" spans="2:15">
      <c r="B30" s="361" t="s">
        <v>493</v>
      </c>
      <c r="C30" s="47">
        <v>111221.16265327574</v>
      </c>
      <c r="D30" s="47">
        <v>186245.58</v>
      </c>
      <c r="E30" s="47">
        <v>187119.35999999999</v>
      </c>
      <c r="F30" s="47">
        <v>213979.62999999899</v>
      </c>
      <c r="G30" s="47">
        <v>323845.770000002</v>
      </c>
      <c r="H30" s="47">
        <v>323845.770000002</v>
      </c>
      <c r="I30" s="47">
        <v>201479.62000000119</v>
      </c>
      <c r="J30" s="47">
        <v>47840.67</v>
      </c>
      <c r="K30" s="47">
        <v>68570.270000000019</v>
      </c>
      <c r="L30" s="47">
        <v>63426.909999999996</v>
      </c>
      <c r="M30" s="47">
        <v>94960.270000000062</v>
      </c>
      <c r="N30" s="47">
        <v>96339.980000000069</v>
      </c>
      <c r="O30" s="362">
        <v>174105.61000000045</v>
      </c>
    </row>
    <row r="31" spans="2:15">
      <c r="B31" s="363" t="s">
        <v>494</v>
      </c>
      <c r="C31" s="45">
        <v>15202.084093655705</v>
      </c>
      <c r="D31" s="45">
        <v>7568.11</v>
      </c>
      <c r="E31" s="45">
        <v>3071.82</v>
      </c>
      <c r="F31" s="45">
        <v>20215.650000000001</v>
      </c>
      <c r="G31" s="45">
        <v>3245.77</v>
      </c>
      <c r="H31" s="45">
        <v>3245.77</v>
      </c>
      <c r="I31" s="45">
        <v>3392.27</v>
      </c>
      <c r="J31" s="45">
        <v>1935.09</v>
      </c>
      <c r="K31" s="45">
        <v>3841.8900000000003</v>
      </c>
      <c r="L31" s="45">
        <v>2167.62</v>
      </c>
      <c r="M31" s="45">
        <v>2041.5</v>
      </c>
      <c r="N31" s="45">
        <v>2052.42</v>
      </c>
      <c r="O31" s="364">
        <v>281.95999999999998</v>
      </c>
    </row>
    <row r="32" spans="2:15">
      <c r="B32" s="361" t="s">
        <v>495</v>
      </c>
      <c r="C32" s="47">
        <v>2730.3243053070182</v>
      </c>
      <c r="D32" s="47">
        <v>3191.77</v>
      </c>
      <c r="E32" s="47">
        <v>3230.18</v>
      </c>
      <c r="F32" s="47">
        <v>5620.34</v>
      </c>
      <c r="G32" s="47">
        <v>7211.9900000000098</v>
      </c>
      <c r="H32" s="47">
        <v>7211.9900000000098</v>
      </c>
      <c r="I32" s="47">
        <v>7822.7499999999436</v>
      </c>
      <c r="J32" s="47">
        <v>8005.780000000007</v>
      </c>
      <c r="K32" s="47">
        <v>7868.9200000000073</v>
      </c>
      <c r="L32" s="47">
        <v>7744.1100000000106</v>
      </c>
      <c r="M32" s="47">
        <v>7075.0300000000025</v>
      </c>
      <c r="N32" s="47">
        <v>5689.0999999999985</v>
      </c>
      <c r="O32" s="362">
        <v>3159.2800000000175</v>
      </c>
    </row>
    <row r="33" spans="2:15">
      <c r="B33" s="363" t="s">
        <v>496</v>
      </c>
      <c r="C33" s="45">
        <v>11019.123292517475</v>
      </c>
      <c r="D33" s="45">
        <v>10797.58</v>
      </c>
      <c r="E33" s="45">
        <v>14402.5</v>
      </c>
      <c r="F33" s="45">
        <v>14980.77</v>
      </c>
      <c r="G33" s="45">
        <v>9886.76</v>
      </c>
      <c r="H33" s="45">
        <v>9886.76</v>
      </c>
      <c r="I33" s="45">
        <v>13128.18</v>
      </c>
      <c r="J33" s="45">
        <v>17468.689999999999</v>
      </c>
      <c r="K33" s="45">
        <v>10371.14</v>
      </c>
      <c r="L33" s="45">
        <v>7443.35</v>
      </c>
      <c r="M33" s="45">
        <v>10991.040000000003</v>
      </c>
      <c r="N33" s="45">
        <v>12284.68</v>
      </c>
      <c r="O33" s="364">
        <v>21468.160000000025</v>
      </c>
    </row>
    <row r="34" spans="2:15">
      <c r="B34" s="361" t="s">
        <v>497</v>
      </c>
      <c r="C34" s="47">
        <v>104809.93636024819</v>
      </c>
      <c r="D34" s="47">
        <v>76133.55</v>
      </c>
      <c r="E34" s="47">
        <v>75355.740000000005</v>
      </c>
      <c r="F34" s="47">
        <v>58122.12</v>
      </c>
      <c r="G34" s="47">
        <v>90818.48</v>
      </c>
      <c r="H34" s="47">
        <v>90818.48</v>
      </c>
      <c r="I34" s="47">
        <v>288573.10000000533</v>
      </c>
      <c r="J34" s="47">
        <v>489417.33999999409</v>
      </c>
      <c r="K34" s="47">
        <v>533899.73999999405</v>
      </c>
      <c r="L34" s="47">
        <v>597150.67000000679</v>
      </c>
      <c r="M34" s="47">
        <v>801193.799999999</v>
      </c>
      <c r="N34" s="47">
        <v>909563.18999999657</v>
      </c>
      <c r="O34" s="362">
        <v>904844.54999986908</v>
      </c>
    </row>
    <row r="35" spans="2:15">
      <c r="B35" s="363" t="s">
        <v>498</v>
      </c>
      <c r="C35" s="45">
        <v>35882.865103107215</v>
      </c>
      <c r="D35" s="45">
        <v>74243.230000000098</v>
      </c>
      <c r="E35" s="45">
        <v>73020.039999999994</v>
      </c>
      <c r="F35" s="45">
        <v>121455.53</v>
      </c>
      <c r="G35" s="45">
        <v>204057.77</v>
      </c>
      <c r="H35" s="45">
        <v>204057.77</v>
      </c>
      <c r="I35" s="45">
        <v>130217.58999999778</v>
      </c>
      <c r="J35" s="45">
        <v>7174.84</v>
      </c>
      <c r="K35" s="45">
        <v>12197.250000000002</v>
      </c>
      <c r="L35" s="45">
        <v>8032.11</v>
      </c>
      <c r="M35" s="45">
        <v>13276.210000000001</v>
      </c>
      <c r="N35" s="45">
        <v>28322.399999999998</v>
      </c>
      <c r="O35" s="364">
        <v>62930.370000000163</v>
      </c>
    </row>
    <row r="36" spans="2:15">
      <c r="B36" s="361" t="s">
        <v>499</v>
      </c>
      <c r="C36" s="47">
        <v>19496.68447340123</v>
      </c>
      <c r="D36" s="47">
        <v>13043.06</v>
      </c>
      <c r="E36" s="47">
        <v>6480.22</v>
      </c>
      <c r="F36" s="47">
        <v>11714.22</v>
      </c>
      <c r="G36" s="47">
        <v>14188.42</v>
      </c>
      <c r="H36" s="47">
        <v>14188.42</v>
      </c>
      <c r="I36" s="47">
        <v>11882.16</v>
      </c>
      <c r="J36" s="47">
        <v>2942.16</v>
      </c>
      <c r="K36" s="47">
        <v>5516.5499999999993</v>
      </c>
      <c r="L36" s="47">
        <v>3973.0699999999997</v>
      </c>
      <c r="M36" s="47">
        <v>8589.6999999999989</v>
      </c>
      <c r="N36" s="47">
        <v>8221.98</v>
      </c>
      <c r="O36" s="362">
        <v>1398.68</v>
      </c>
    </row>
    <row r="37" spans="2:15">
      <c r="B37" s="363" t="s">
        <v>500</v>
      </c>
      <c r="C37" s="45">
        <v>12752.08548186718</v>
      </c>
      <c r="D37" s="45">
        <v>15786.06</v>
      </c>
      <c r="E37" s="45">
        <v>14527.02</v>
      </c>
      <c r="F37" s="45">
        <v>27086.380000000201</v>
      </c>
      <c r="G37" s="45">
        <v>26349.190000000199</v>
      </c>
      <c r="H37" s="45">
        <v>26349.190000000199</v>
      </c>
      <c r="I37" s="45">
        <v>33435.889999998079</v>
      </c>
      <c r="J37" s="45">
        <v>35399.760000000235</v>
      </c>
      <c r="K37" s="45">
        <v>36486.200000000194</v>
      </c>
      <c r="L37" s="45">
        <v>38501.960000000159</v>
      </c>
      <c r="M37" s="45">
        <v>40345.870000000286</v>
      </c>
      <c r="N37" s="45">
        <v>32081.400000000089</v>
      </c>
      <c r="O37" s="364">
        <v>24359.219999998404</v>
      </c>
    </row>
    <row r="38" spans="2:15">
      <c r="B38" s="361" t="s">
        <v>501</v>
      </c>
      <c r="C38" s="47">
        <v>41613.15158405948</v>
      </c>
      <c r="D38" s="47">
        <v>42112.18</v>
      </c>
      <c r="E38" s="47">
        <v>56969.010000000097</v>
      </c>
      <c r="F38" s="47">
        <v>47116.46</v>
      </c>
      <c r="G38" s="47">
        <v>41939.699999999997</v>
      </c>
      <c r="H38" s="47">
        <v>41939.699999999997</v>
      </c>
      <c r="I38" s="47">
        <v>52668.570000000094</v>
      </c>
      <c r="J38" s="47">
        <v>85004.650000000227</v>
      </c>
      <c r="K38" s="47">
        <v>61055.830000000096</v>
      </c>
      <c r="L38" s="47">
        <v>48216.939999999995</v>
      </c>
      <c r="M38" s="47">
        <v>60318.039999999884</v>
      </c>
      <c r="N38" s="47">
        <v>70723.819999999803</v>
      </c>
      <c r="O38" s="362">
        <v>131836.78999999518</v>
      </c>
    </row>
    <row r="39" spans="2:15">
      <c r="B39" s="363" t="s">
        <v>502</v>
      </c>
      <c r="C39" s="45">
        <v>261944.0604508883</v>
      </c>
      <c r="D39" s="45">
        <v>174574.02999999901</v>
      </c>
      <c r="E39" s="45">
        <v>178160.679999999</v>
      </c>
      <c r="F39" s="45">
        <v>126229.24</v>
      </c>
      <c r="G39" s="45">
        <v>256968.04000000004</v>
      </c>
      <c r="H39" s="45">
        <v>256968.04000000004</v>
      </c>
      <c r="I39" s="45">
        <v>599946.70000000391</v>
      </c>
      <c r="J39" s="45">
        <v>779841.98000000592</v>
      </c>
      <c r="K39" s="45">
        <v>808844.78000000608</v>
      </c>
      <c r="L39" s="45">
        <v>907610.11000000383</v>
      </c>
      <c r="M39" s="45">
        <v>1199842.4899999925</v>
      </c>
      <c r="N39" s="45">
        <v>1587210.1699999988</v>
      </c>
      <c r="O39" s="364">
        <v>1720596.0000000051</v>
      </c>
    </row>
    <row r="40" spans="2:15">
      <c r="B40" s="361" t="s">
        <v>503</v>
      </c>
      <c r="C40" s="47">
        <v>126033.92542267835</v>
      </c>
      <c r="D40" s="47">
        <v>229046.33999999901</v>
      </c>
      <c r="E40" s="47">
        <v>214114.109999999</v>
      </c>
      <c r="F40" s="47">
        <v>258606.46999999898</v>
      </c>
      <c r="G40" s="47">
        <v>370543.73000000301</v>
      </c>
      <c r="H40" s="47">
        <v>370543.73000000301</v>
      </c>
      <c r="I40" s="47">
        <v>312403.19000000396</v>
      </c>
      <c r="J40" s="47">
        <v>51532.21</v>
      </c>
      <c r="K40" s="47">
        <v>61846.540000000008</v>
      </c>
      <c r="L40" s="47">
        <v>54051.040000000001</v>
      </c>
      <c r="M40" s="47">
        <v>93376.520000000106</v>
      </c>
      <c r="N40" s="47">
        <v>110249.07000000008</v>
      </c>
      <c r="O40" s="362">
        <v>193473.20000000167</v>
      </c>
    </row>
    <row r="41" spans="2:15">
      <c r="B41" s="363" t="s">
        <v>504</v>
      </c>
      <c r="C41" s="45">
        <v>23029.839068981961</v>
      </c>
      <c r="D41" s="45">
        <v>12932.08</v>
      </c>
      <c r="E41" s="45">
        <v>4871.42</v>
      </c>
      <c r="F41" s="45">
        <v>26574.75</v>
      </c>
      <c r="G41" s="45">
        <v>11072.03</v>
      </c>
      <c r="H41" s="45">
        <v>11072.03</v>
      </c>
      <c r="I41" s="45">
        <v>4673.34</v>
      </c>
      <c r="J41" s="45">
        <v>3846.89</v>
      </c>
      <c r="K41" s="45">
        <v>6723.880000000001</v>
      </c>
      <c r="L41" s="45">
        <v>4832.7800000000007</v>
      </c>
      <c r="M41" s="45">
        <v>9167.14</v>
      </c>
      <c r="N41" s="45">
        <v>4435.58</v>
      </c>
      <c r="O41" s="364">
        <v>913.71</v>
      </c>
    </row>
    <row r="42" spans="2:15">
      <c r="B42" s="361" t="s">
        <v>505</v>
      </c>
      <c r="C42" s="47">
        <v>2041.1389608830229</v>
      </c>
      <c r="D42" s="47">
        <v>1882.69</v>
      </c>
      <c r="E42" s="47">
        <v>2261.29</v>
      </c>
      <c r="F42" s="47">
        <v>4861.01</v>
      </c>
      <c r="G42" s="47">
        <v>5180.63</v>
      </c>
      <c r="H42" s="47">
        <v>5180.63</v>
      </c>
      <c r="I42" s="47">
        <v>6144.86</v>
      </c>
      <c r="J42" s="47">
        <v>7497.440000000006</v>
      </c>
      <c r="K42" s="47">
        <v>6289.3399999999992</v>
      </c>
      <c r="L42" s="47">
        <v>8742.3100000000122</v>
      </c>
      <c r="M42" s="47">
        <v>7195.5000000000045</v>
      </c>
      <c r="N42" s="47">
        <v>3751.6799999999976</v>
      </c>
      <c r="O42" s="362">
        <v>993.14000000000271</v>
      </c>
    </row>
    <row r="43" spans="2:15">
      <c r="B43" s="363" t="s">
        <v>506</v>
      </c>
      <c r="C43" s="45">
        <v>2688.6373136363954</v>
      </c>
      <c r="D43" s="45">
        <v>2728.38</v>
      </c>
      <c r="E43" s="45">
        <v>2809.92</v>
      </c>
      <c r="F43" s="45">
        <v>5817.2</v>
      </c>
      <c r="G43" s="45">
        <v>3100.03</v>
      </c>
      <c r="H43" s="45">
        <v>3100.03</v>
      </c>
      <c r="I43" s="45">
        <v>4197.8500000000104</v>
      </c>
      <c r="J43" s="45">
        <v>4518.8500000000004</v>
      </c>
      <c r="K43" s="45">
        <v>3418.71</v>
      </c>
      <c r="L43" s="45">
        <v>811.4799999999999</v>
      </c>
      <c r="M43" s="45">
        <v>1134.01</v>
      </c>
      <c r="N43" s="45">
        <v>861.68000000000006</v>
      </c>
      <c r="O43" s="364">
        <v>13364.339999999997</v>
      </c>
    </row>
    <row r="44" spans="2:15">
      <c r="B44" s="361" t="s">
        <v>507</v>
      </c>
      <c r="C44" s="47">
        <v>22138.851042224469</v>
      </c>
      <c r="D44" s="47">
        <v>13523.85</v>
      </c>
      <c r="E44" s="47">
        <v>15747.47</v>
      </c>
      <c r="F44" s="47">
        <v>28284.240000000002</v>
      </c>
      <c r="G44" s="47">
        <v>42807.14</v>
      </c>
      <c r="H44" s="47">
        <v>42807.14</v>
      </c>
      <c r="I44" s="47">
        <v>172861.76999999938</v>
      </c>
      <c r="J44" s="47">
        <v>348747.59999999747</v>
      </c>
      <c r="K44" s="47">
        <v>527894.35999999428</v>
      </c>
      <c r="L44" s="47">
        <v>595182.93000000739</v>
      </c>
      <c r="M44" s="47">
        <v>742731.03999999759</v>
      </c>
      <c r="N44" s="47">
        <v>647527.0099999985</v>
      </c>
      <c r="O44" s="362">
        <v>628555.2599999354</v>
      </c>
    </row>
    <row r="45" spans="2:15">
      <c r="B45" s="363" t="s">
        <v>508</v>
      </c>
      <c r="C45" s="45">
        <v>18388.478203832216</v>
      </c>
      <c r="D45" s="45">
        <v>22755.46</v>
      </c>
      <c r="E45" s="45">
        <v>36286.53</v>
      </c>
      <c r="F45" s="45">
        <v>58518.25</v>
      </c>
      <c r="G45" s="45">
        <v>132498.18</v>
      </c>
      <c r="H45" s="45">
        <v>132498.18</v>
      </c>
      <c r="I45" s="45">
        <v>94011.579999998692</v>
      </c>
      <c r="J45" s="45">
        <v>2694.73</v>
      </c>
      <c r="K45" s="45">
        <v>19811.97</v>
      </c>
      <c r="L45" s="45">
        <v>18042.950000000004</v>
      </c>
      <c r="M45" s="45">
        <v>15094.529999999999</v>
      </c>
      <c r="N45" s="45">
        <v>11873.789999999999</v>
      </c>
      <c r="O45" s="364">
        <v>41032.690000000119</v>
      </c>
    </row>
    <row r="46" spans="2:15">
      <c r="B46" s="361" t="s">
        <v>509</v>
      </c>
      <c r="C46" s="47">
        <v>8471.7467361976305</v>
      </c>
      <c r="D46" s="47">
        <v>7163.04</v>
      </c>
      <c r="E46" s="47">
        <v>7943.32</v>
      </c>
      <c r="F46" s="47">
        <v>4900.16</v>
      </c>
      <c r="G46" s="47">
        <v>7582.96</v>
      </c>
      <c r="H46" s="47">
        <v>7582.96</v>
      </c>
      <c r="I46" s="47">
        <v>17405.310000000001</v>
      </c>
      <c r="J46" s="47">
        <v>12136.41</v>
      </c>
      <c r="K46" s="47">
        <v>19863.95</v>
      </c>
      <c r="L46" s="47">
        <v>14093.58</v>
      </c>
      <c r="M46" s="47">
        <v>15212.039999999999</v>
      </c>
      <c r="N46" s="47">
        <v>12927.529999999999</v>
      </c>
      <c r="O46" s="362">
        <v>349.67</v>
      </c>
    </row>
    <row r="47" spans="2:15">
      <c r="B47" s="363" t="s">
        <v>1</v>
      </c>
      <c r="C47" s="45">
        <v>704240.48013518762</v>
      </c>
      <c r="D47" s="45">
        <v>806445.66</v>
      </c>
      <c r="E47" s="45">
        <v>738665.12000000011</v>
      </c>
      <c r="F47" s="45">
        <v>899598.77000000014</v>
      </c>
      <c r="G47" s="45">
        <v>1060692.49</v>
      </c>
      <c r="H47" s="45">
        <v>1060692.49</v>
      </c>
      <c r="I47" s="45">
        <v>1147177.48</v>
      </c>
      <c r="J47" s="45">
        <v>1332995.76</v>
      </c>
      <c r="K47" s="45">
        <v>1460635.5899999999</v>
      </c>
      <c r="L47" s="45">
        <v>1589556.69</v>
      </c>
      <c r="M47" s="45">
        <v>1787316.8800000001</v>
      </c>
      <c r="N47" s="45">
        <v>1953781.9899999995</v>
      </c>
      <c r="O47" s="364">
        <v>2240717.6900000004</v>
      </c>
    </row>
    <row r="48" spans="2:15">
      <c r="B48" s="361" t="s">
        <v>2</v>
      </c>
      <c r="C48" s="47">
        <v>178701.73675117121</v>
      </c>
      <c r="D48" s="47">
        <v>234645.55000000002</v>
      </c>
      <c r="E48" s="47">
        <v>148957.47999999998</v>
      </c>
      <c r="F48" s="47">
        <v>124954.49</v>
      </c>
      <c r="G48" s="47">
        <v>123910.13</v>
      </c>
      <c r="H48" s="47">
        <v>123910.13</v>
      </c>
      <c r="I48" s="47">
        <v>148878.82999999999</v>
      </c>
      <c r="J48" s="47">
        <v>155427.63</v>
      </c>
      <c r="K48" s="47">
        <v>123128.84000000003</v>
      </c>
      <c r="L48" s="47">
        <v>134461.26</v>
      </c>
      <c r="M48" s="47">
        <v>183000.66999999998</v>
      </c>
      <c r="N48" s="47">
        <v>277431.93000000005</v>
      </c>
      <c r="O48" s="362">
        <v>273060.75000000012</v>
      </c>
    </row>
    <row r="49" spans="2:15">
      <c r="B49" s="363" t="s">
        <v>3</v>
      </c>
      <c r="C49" s="45">
        <v>0</v>
      </c>
      <c r="D49" s="45">
        <v>0</v>
      </c>
      <c r="E49" s="45">
        <v>0</v>
      </c>
      <c r="F49" s="45">
        <v>0</v>
      </c>
      <c r="G49" s="45">
        <v>0</v>
      </c>
      <c r="H49" s="45">
        <v>1831830.7</v>
      </c>
      <c r="I49" s="45">
        <v>2208186.2600000007</v>
      </c>
      <c r="J49" s="45">
        <v>2602985.37</v>
      </c>
      <c r="K49" s="45">
        <v>3070436.9299999997</v>
      </c>
      <c r="L49" s="45">
        <v>6635993.5800000001</v>
      </c>
      <c r="M49" s="45">
        <v>5852829.6160504213</v>
      </c>
      <c r="N49" s="45">
        <v>7850392.6100000013</v>
      </c>
      <c r="O49" s="364">
        <v>10136781.290000001</v>
      </c>
    </row>
    <row r="50" spans="2:15">
      <c r="B50" s="361" t="s">
        <v>4</v>
      </c>
      <c r="C50" s="47">
        <v>1142514.1465130961</v>
      </c>
      <c r="D50" s="47">
        <v>2453996.06</v>
      </c>
      <c r="E50" s="47">
        <v>3206577.5194000001</v>
      </c>
      <c r="F50" s="47">
        <v>2976946.59</v>
      </c>
      <c r="G50" s="47">
        <v>3186203.9</v>
      </c>
      <c r="H50" s="47">
        <v>3186203.9</v>
      </c>
      <c r="I50" s="47">
        <v>3682344.2710000002</v>
      </c>
      <c r="J50" s="47">
        <v>4320648.0299999993</v>
      </c>
      <c r="K50" s="47">
        <v>4709327.8999999994</v>
      </c>
      <c r="L50" s="47">
        <v>4641069.82</v>
      </c>
      <c r="M50" s="47">
        <v>5572627.0299999993</v>
      </c>
      <c r="N50" s="47">
        <v>5985054.120000001</v>
      </c>
      <c r="O50" s="362">
        <v>6375683.2800000012</v>
      </c>
    </row>
    <row r="51" spans="2:15">
      <c r="B51" s="363" t="s">
        <v>5</v>
      </c>
      <c r="C51" s="45">
        <v>1130346.9485714287</v>
      </c>
      <c r="D51" s="45">
        <v>1198056.6200000001</v>
      </c>
      <c r="E51" s="45">
        <v>1478996.5499999998</v>
      </c>
      <c r="F51" s="45">
        <v>1939249.06</v>
      </c>
      <c r="G51" s="45">
        <v>2597262.14</v>
      </c>
      <c r="H51" s="45">
        <v>2597262.14</v>
      </c>
      <c r="I51" s="45">
        <v>2641377.13</v>
      </c>
      <c r="J51" s="45">
        <v>3218185.63</v>
      </c>
      <c r="K51" s="45">
        <v>3631149.54</v>
      </c>
      <c r="L51" s="45">
        <v>3892963.75</v>
      </c>
      <c r="M51" s="45">
        <v>4383513.5500000007</v>
      </c>
      <c r="N51" s="45">
        <v>5004654.3699999992</v>
      </c>
      <c r="O51" s="364">
        <v>5491770.5500000007</v>
      </c>
    </row>
    <row r="52" spans="2:15">
      <c r="B52" s="361" t="s">
        <v>378</v>
      </c>
      <c r="C52" s="47">
        <v>640885.77142857155</v>
      </c>
      <c r="D52" s="47">
        <v>616980</v>
      </c>
      <c r="E52" s="47">
        <v>725641.29840000009</v>
      </c>
      <c r="F52" s="47">
        <v>898169.58</v>
      </c>
      <c r="G52" s="47">
        <v>1052626.07</v>
      </c>
      <c r="H52" s="47">
        <v>1052626.07</v>
      </c>
      <c r="I52" s="47">
        <v>1069763.1300000001</v>
      </c>
      <c r="J52" s="47">
        <v>1424542.6909999999</v>
      </c>
      <c r="K52" s="47">
        <v>1579456.38</v>
      </c>
      <c r="L52" s="47">
        <v>1936585.12</v>
      </c>
      <c r="M52" s="47">
        <v>2203427.0199999996</v>
      </c>
      <c r="N52" s="47">
        <v>2560890.8500000006</v>
      </c>
      <c r="O52" s="362">
        <v>2841861.22</v>
      </c>
    </row>
    <row r="53" spans="2:15">
      <c r="B53" s="363" t="s">
        <v>6</v>
      </c>
      <c r="C53" s="45">
        <v>5362173.6012727264</v>
      </c>
      <c r="D53" s="45">
        <v>6772473.5299999993</v>
      </c>
      <c r="E53" s="45">
        <v>7010588.669999999</v>
      </c>
      <c r="F53" s="45">
        <v>7520359.5999999996</v>
      </c>
      <c r="G53" s="45">
        <v>9394401.9399999995</v>
      </c>
      <c r="H53" s="45">
        <v>9394401.9399999995</v>
      </c>
      <c r="I53" s="45">
        <v>9746630.790000001</v>
      </c>
      <c r="J53" s="45">
        <v>11556618.92</v>
      </c>
      <c r="K53" s="45">
        <v>14017739.889999999</v>
      </c>
      <c r="L53" s="45">
        <v>14457731.189999999</v>
      </c>
      <c r="M53" s="45">
        <v>15742873.48</v>
      </c>
      <c r="N53" s="45">
        <v>18388567.689999998</v>
      </c>
      <c r="O53" s="364">
        <v>19740952.740000002</v>
      </c>
    </row>
    <row r="54" spans="2:15">
      <c r="B54" s="361" t="s">
        <v>7</v>
      </c>
      <c r="C54" s="47">
        <v>1301065.0971428573</v>
      </c>
      <c r="D54" s="47">
        <v>1604170.8900000004</v>
      </c>
      <c r="E54" s="47">
        <v>1711828.5899999999</v>
      </c>
      <c r="F54" s="47">
        <v>1806591.6800000002</v>
      </c>
      <c r="G54" s="47">
        <v>2082751.4000000001</v>
      </c>
      <c r="H54" s="47">
        <v>2082751.4000000001</v>
      </c>
      <c r="I54" s="47">
        <v>2380962.3600000003</v>
      </c>
      <c r="J54" s="47">
        <v>3086739.81</v>
      </c>
      <c r="K54" s="47">
        <v>3484371.73</v>
      </c>
      <c r="L54" s="47">
        <v>3740560.21</v>
      </c>
      <c r="M54" s="47">
        <v>4890158.6900000004</v>
      </c>
      <c r="N54" s="47">
        <v>5856582.1500000004</v>
      </c>
      <c r="O54" s="362">
        <v>6696556.6099999994</v>
      </c>
    </row>
    <row r="55" spans="2:15">
      <c r="B55" s="363" t="s">
        <v>8</v>
      </c>
      <c r="C55" s="45">
        <v>227749.63519999996</v>
      </c>
      <c r="D55" s="45">
        <v>263425.89760000003</v>
      </c>
      <c r="E55" s="45">
        <v>239014.92999999996</v>
      </c>
      <c r="F55" s="45">
        <v>230279.21799999991</v>
      </c>
      <c r="G55" s="45">
        <v>210826.4</v>
      </c>
      <c r="H55" s="45">
        <v>210826.4</v>
      </c>
      <c r="I55" s="45">
        <v>196465.33000000002</v>
      </c>
      <c r="J55" s="45">
        <v>258712.00000000006</v>
      </c>
      <c r="K55" s="45">
        <v>292267.74000000005</v>
      </c>
      <c r="L55" s="45">
        <v>267956.91000000003</v>
      </c>
      <c r="M55" s="45">
        <v>414938.84999999992</v>
      </c>
      <c r="N55" s="45">
        <v>537311.18999999994</v>
      </c>
      <c r="O55" s="364">
        <v>570449.55000000005</v>
      </c>
    </row>
    <row r="56" spans="2:15">
      <c r="B56" s="361" t="s">
        <v>9</v>
      </c>
      <c r="C56" s="47">
        <v>546401.04674285708</v>
      </c>
      <c r="D56" s="47">
        <v>515996.83030000085</v>
      </c>
      <c r="E56" s="47">
        <v>422439.03255064401</v>
      </c>
      <c r="F56" s="47">
        <v>381963.61620000069</v>
      </c>
      <c r="G56" s="47">
        <v>413935.7104999994</v>
      </c>
      <c r="H56" s="47">
        <v>413935.7104999994</v>
      </c>
      <c r="I56" s="47">
        <v>460790.18</v>
      </c>
      <c r="J56" s="47">
        <v>637653.15999999992</v>
      </c>
      <c r="K56" s="47">
        <v>977285.37</v>
      </c>
      <c r="L56" s="47">
        <v>1331437.1800000004</v>
      </c>
      <c r="M56" s="47">
        <v>1160927.8299999998</v>
      </c>
      <c r="N56" s="47">
        <v>1166935.82</v>
      </c>
      <c r="O56" s="362">
        <v>1193566.51</v>
      </c>
    </row>
    <row r="57" spans="2:15">
      <c r="B57" s="363" t="s">
        <v>10</v>
      </c>
      <c r="C57" s="45">
        <v>121638.99428571429</v>
      </c>
      <c r="D57" s="45">
        <v>121514.03</v>
      </c>
      <c r="E57" s="45">
        <v>131620.96</v>
      </c>
      <c r="F57" s="45">
        <v>122960.72</v>
      </c>
      <c r="G57" s="45">
        <v>70136.620800000004</v>
      </c>
      <c r="H57" s="45">
        <v>70136.620800000004</v>
      </c>
      <c r="I57" s="45">
        <v>55610.995800000004</v>
      </c>
      <c r="J57" s="45">
        <v>57006</v>
      </c>
      <c r="K57" s="45">
        <v>38551.83</v>
      </c>
      <c r="L57" s="45">
        <v>29748.84</v>
      </c>
      <c r="M57" s="45">
        <v>33654.58</v>
      </c>
      <c r="N57" s="45">
        <v>31222.68</v>
      </c>
      <c r="O57" s="364">
        <v>62736.73</v>
      </c>
    </row>
    <row r="58" spans="2:15">
      <c r="B58" s="361" t="s">
        <v>11</v>
      </c>
      <c r="C58" s="47">
        <v>98540.520228571404</v>
      </c>
      <c r="D58" s="47">
        <v>108563.93999999996</v>
      </c>
      <c r="E58" s="47">
        <v>109859.6</v>
      </c>
      <c r="F58" s="47">
        <v>95297.861700000038</v>
      </c>
      <c r="G58" s="47">
        <v>69868.3</v>
      </c>
      <c r="H58" s="47">
        <v>69868.3</v>
      </c>
      <c r="I58" s="47">
        <v>65642.881900000008</v>
      </c>
      <c r="J58" s="47">
        <v>71542.390000000014</v>
      </c>
      <c r="K58" s="47">
        <v>76054.350000000006</v>
      </c>
      <c r="L58" s="47">
        <v>81435</v>
      </c>
      <c r="M58" s="47">
        <v>67119.969999999987</v>
      </c>
      <c r="N58" s="47">
        <v>68711.530000000013</v>
      </c>
      <c r="O58" s="362">
        <v>49770.279999999992</v>
      </c>
    </row>
    <row r="59" spans="2:15">
      <c r="B59" s="363" t="s">
        <v>12</v>
      </c>
      <c r="C59" s="45">
        <v>95259.611771428536</v>
      </c>
      <c r="D59" s="45">
        <v>96512.643899999952</v>
      </c>
      <c r="E59" s="45">
        <v>75961.37</v>
      </c>
      <c r="F59" s="45">
        <v>73812.37</v>
      </c>
      <c r="G59" s="45">
        <v>74320.009999999995</v>
      </c>
      <c r="H59" s="45">
        <v>74320.009999999995</v>
      </c>
      <c r="I59" s="45">
        <v>70347.73</v>
      </c>
      <c r="J59" s="45">
        <v>64296.000000000007</v>
      </c>
      <c r="K59" s="45">
        <v>29095.390000000003</v>
      </c>
      <c r="L59" s="45">
        <v>18245.400000000005</v>
      </c>
      <c r="M59" s="45">
        <v>16619.29</v>
      </c>
      <c r="N59" s="45">
        <v>14617.770000000004</v>
      </c>
      <c r="O59" s="364">
        <v>3076.3199999999997</v>
      </c>
    </row>
    <row r="60" spans="2:15">
      <c r="B60" s="361" t="s">
        <v>13</v>
      </c>
      <c r="C60" s="47">
        <v>497049.14285714284</v>
      </c>
      <c r="D60" s="47">
        <v>489889</v>
      </c>
      <c r="E60" s="47">
        <v>499120</v>
      </c>
      <c r="F60" s="47">
        <v>461566</v>
      </c>
      <c r="G60" s="47">
        <v>276766.43999999989</v>
      </c>
      <c r="H60" s="47">
        <v>276766.43999999989</v>
      </c>
      <c r="I60" s="47">
        <v>237704.12000000005</v>
      </c>
      <c r="J60" s="47">
        <v>219347.30999999994</v>
      </c>
      <c r="K60" s="47">
        <v>63413.869999999981</v>
      </c>
      <c r="L60" s="47">
        <v>132131.28999999998</v>
      </c>
      <c r="M60" s="47">
        <v>143735.51999999993</v>
      </c>
      <c r="N60" s="47">
        <v>133211.27000000002</v>
      </c>
      <c r="O60" s="362">
        <v>98983.220000000016</v>
      </c>
    </row>
    <row r="61" spans="2:15">
      <c r="B61" s="363" t="s">
        <v>14</v>
      </c>
      <c r="C61" s="45">
        <v>60093.987932065676</v>
      </c>
      <c r="D61" s="45">
        <v>68512</v>
      </c>
      <c r="E61" s="45">
        <v>78932.800000000003</v>
      </c>
      <c r="F61" s="45">
        <v>80360</v>
      </c>
      <c r="G61" s="45">
        <v>116040.31000000001</v>
      </c>
      <c r="H61" s="45">
        <v>116040.31000000001</v>
      </c>
      <c r="I61" s="45">
        <v>216040.59000000003</v>
      </c>
      <c r="J61" s="45">
        <v>252098.38</v>
      </c>
      <c r="K61" s="45">
        <v>294660.44</v>
      </c>
      <c r="L61" s="45">
        <v>298607.5</v>
      </c>
      <c r="M61" s="45">
        <v>329924.63</v>
      </c>
      <c r="N61" s="45">
        <v>429929.31000000006</v>
      </c>
      <c r="O61" s="364">
        <v>624117.21</v>
      </c>
    </row>
    <row r="62" spans="2:15">
      <c r="B62" s="361" t="s">
        <v>15</v>
      </c>
      <c r="C62" s="47">
        <v>2453696.9440233684</v>
      </c>
      <c r="D62" s="47">
        <v>3095137.1642509224</v>
      </c>
      <c r="E62" s="47">
        <v>3116870.4989493559</v>
      </c>
      <c r="F62" s="47">
        <v>2618801.7541</v>
      </c>
      <c r="G62" s="47">
        <v>3945990.5687000006</v>
      </c>
      <c r="H62" s="47">
        <v>3945990.5687000006</v>
      </c>
      <c r="I62" s="47">
        <v>5176005.992300001</v>
      </c>
      <c r="J62" s="47">
        <v>7226976.1500000013</v>
      </c>
      <c r="K62" s="47">
        <v>9478510.379999999</v>
      </c>
      <c r="L62" s="47">
        <v>12323708.58</v>
      </c>
      <c r="M62" s="47">
        <v>14101216.869999997</v>
      </c>
      <c r="N62" s="47">
        <v>19040812.859999999</v>
      </c>
      <c r="O62" s="362">
        <v>21018696.800000001</v>
      </c>
    </row>
    <row r="63" spans="2:15">
      <c r="B63" s="363" t="s">
        <v>16</v>
      </c>
      <c r="C63" s="45">
        <v>45327.614317650987</v>
      </c>
      <c r="D63" s="45">
        <v>153958.0154</v>
      </c>
      <c r="E63" s="45">
        <v>149905.53849999997</v>
      </c>
      <c r="F63" s="45">
        <v>137900.32</v>
      </c>
      <c r="G63" s="45">
        <v>30009.19</v>
      </c>
      <c r="H63" s="45">
        <v>30009.19</v>
      </c>
      <c r="I63" s="45">
        <v>103040</v>
      </c>
      <c r="J63" s="45">
        <v>111540</v>
      </c>
      <c r="K63" s="45">
        <v>113040</v>
      </c>
      <c r="L63" s="45">
        <v>113040</v>
      </c>
      <c r="M63" s="45">
        <v>86040</v>
      </c>
      <c r="N63" s="45">
        <v>59040</v>
      </c>
      <c r="O63" s="364">
        <v>149520</v>
      </c>
    </row>
    <row r="64" spans="2:15">
      <c r="B64" s="361" t="s">
        <v>23</v>
      </c>
      <c r="C64" s="47">
        <v>1981463.3057396996</v>
      </c>
      <c r="D64" s="47">
        <v>3154676.09</v>
      </c>
      <c r="E64" s="47">
        <v>3407109.5</v>
      </c>
      <c r="F64" s="47">
        <v>3385054.3699999996</v>
      </c>
      <c r="G64" s="47">
        <v>3693867.8</v>
      </c>
      <c r="H64" s="47">
        <v>3693867.8</v>
      </c>
      <c r="I64" s="47">
        <v>4109758.6199999996</v>
      </c>
      <c r="J64" s="47">
        <v>5314768.3599999985</v>
      </c>
      <c r="K64" s="47">
        <v>6066990.3400000008</v>
      </c>
      <c r="L64" s="47">
        <v>7482638.5000000009</v>
      </c>
      <c r="M64" s="47">
        <v>9323944.540000001</v>
      </c>
      <c r="N64" s="47">
        <v>12509879.74</v>
      </c>
      <c r="O64" s="362">
        <v>14385995.339999998</v>
      </c>
    </row>
    <row r="65" spans="2:15">
      <c r="B65" s="363" t="s">
        <v>17</v>
      </c>
      <c r="C65" s="45">
        <v>366312.27144307439</v>
      </c>
      <c r="D65" s="45">
        <v>612351.85</v>
      </c>
      <c r="E65" s="45">
        <v>656198.26</v>
      </c>
      <c r="F65" s="45">
        <v>752004.30999999994</v>
      </c>
      <c r="G65" s="45">
        <v>1315853.23</v>
      </c>
      <c r="H65" s="45">
        <v>1315853.23</v>
      </c>
      <c r="I65" s="45">
        <v>1618164.66</v>
      </c>
      <c r="J65" s="45">
        <v>2270188.83</v>
      </c>
      <c r="K65" s="45">
        <v>2766981.22</v>
      </c>
      <c r="L65" s="45">
        <v>2968618.8999999994</v>
      </c>
      <c r="M65" s="45">
        <v>4083324.6999999997</v>
      </c>
      <c r="N65" s="45">
        <v>5171341.9999999991</v>
      </c>
      <c r="O65" s="364">
        <v>6131827.7700000005</v>
      </c>
    </row>
    <row r="66" spans="2:15">
      <c r="B66" s="361" t="s">
        <v>18</v>
      </c>
      <c r="C66" s="47">
        <v>298145.59648862801</v>
      </c>
      <c r="D66" s="47">
        <v>476867.63</v>
      </c>
      <c r="E66" s="47">
        <v>451781.06000000006</v>
      </c>
      <c r="F66" s="47">
        <v>417367.20999999996</v>
      </c>
      <c r="G66" s="47">
        <v>437842.16</v>
      </c>
      <c r="H66" s="47">
        <v>437842.16</v>
      </c>
      <c r="I66" s="47">
        <v>473884.00999999995</v>
      </c>
      <c r="J66" s="47">
        <v>559026.41</v>
      </c>
      <c r="K66" s="47">
        <v>824452.70000000007</v>
      </c>
      <c r="L66" s="47">
        <v>909740.57</v>
      </c>
      <c r="M66" s="47">
        <v>1093276.0299999998</v>
      </c>
      <c r="N66" s="47">
        <v>1448417.77</v>
      </c>
      <c r="O66" s="362">
        <v>1646169.19</v>
      </c>
    </row>
    <row r="67" spans="2:15">
      <c r="B67" s="363" t="s">
        <v>19</v>
      </c>
      <c r="C67" s="45">
        <v>28171.420011080925</v>
      </c>
      <c r="D67" s="45">
        <v>329895.54666666669</v>
      </c>
      <c r="E67" s="45">
        <v>261735.08999999997</v>
      </c>
      <c r="F67" s="45">
        <v>382098.79000000004</v>
      </c>
      <c r="G67" s="45">
        <v>515767.22999999992</v>
      </c>
      <c r="H67" s="45">
        <v>515767.22999999992</v>
      </c>
      <c r="I67" s="45">
        <v>614726.04999999993</v>
      </c>
      <c r="J67" s="45">
        <v>573880.24000000011</v>
      </c>
      <c r="K67" s="45">
        <v>1239946.5900000001</v>
      </c>
      <c r="L67" s="45">
        <v>1648075.32</v>
      </c>
      <c r="M67" s="45">
        <v>1974722.7</v>
      </c>
      <c r="N67" s="45">
        <v>2167226.2399999998</v>
      </c>
      <c r="O67" s="364">
        <v>2570318.36</v>
      </c>
    </row>
    <row r="68" spans="2:15">
      <c r="B68" s="358" t="s">
        <v>20</v>
      </c>
      <c r="C68" s="359">
        <v>988460.36552822217</v>
      </c>
      <c r="D68" s="359">
        <v>1061973.04</v>
      </c>
      <c r="E68" s="359">
        <v>1181531.9153</v>
      </c>
      <c r="F68" s="359">
        <v>1405750.57</v>
      </c>
      <c r="G68" s="359">
        <v>1502086.92</v>
      </c>
      <c r="H68" s="359">
        <v>1502086.92</v>
      </c>
      <c r="I68" s="359">
        <v>1542748.65</v>
      </c>
      <c r="J68" s="359">
        <v>2352786.7400000002</v>
      </c>
      <c r="K68" s="359">
        <v>2116624.17</v>
      </c>
      <c r="L68" s="359">
        <v>3041160.51</v>
      </c>
      <c r="M68" s="359">
        <v>3770650.6399999997</v>
      </c>
      <c r="N68" s="359">
        <v>4011287.7799999993</v>
      </c>
      <c r="O68" s="360">
        <v>5034683.1399999987</v>
      </c>
    </row>
    <row r="69" spans="2:15" ht="9.75" thickBot="1">
      <c r="B69" s="42"/>
      <c r="C69" s="88">
        <f t="shared" ref="C69:N69" si="0">+SUM(C5:C68)</f>
        <v>56165247.888816908</v>
      </c>
      <c r="D69" s="88">
        <f t="shared" si="0"/>
        <v>63840064.148117594</v>
      </c>
      <c r="E69" s="88">
        <f t="shared" si="0"/>
        <v>69740094.603100002</v>
      </c>
      <c r="F69" s="88">
        <f t="shared" si="0"/>
        <v>75532414.910000011</v>
      </c>
      <c r="G69" s="88">
        <f t="shared" si="0"/>
        <v>87821119.610000044</v>
      </c>
      <c r="H69" s="88">
        <f t="shared" si="0"/>
        <v>89652950.310000047</v>
      </c>
      <c r="I69" s="88">
        <f t="shared" si="0"/>
        <v>100007949.46100026</v>
      </c>
      <c r="J69" s="88">
        <f t="shared" si="0"/>
        <v>121294761.19099995</v>
      </c>
      <c r="K69" s="88">
        <f t="shared" si="0"/>
        <v>137079478.38109237</v>
      </c>
      <c r="L69" s="88">
        <f t="shared" si="0"/>
        <v>153313868.28689075</v>
      </c>
      <c r="M69" s="88">
        <f t="shared" si="0"/>
        <v>173237407.63319328</v>
      </c>
      <c r="N69" s="88">
        <f t="shared" si="0"/>
        <v>203161712.97739112</v>
      </c>
      <c r="O69" s="88">
        <f>+SUM(O5:O68)</f>
        <v>231194989.71198034</v>
      </c>
    </row>
    <row r="70" spans="2:15" ht="9.75" thickTop="1"/>
  </sheetData>
  <mergeCells count="1">
    <mergeCell ref="E2:H2"/>
  </mergeCells>
  <hyperlinks>
    <hyperlink ref="E2:H2" location="Indice!D3" display="ÍNDICE"/>
  </hyperlinks>
  <pageMargins left="0.7" right="0.7" top="0.75" bottom="0.75" header="0.3" footer="0.3"/>
  <pageSetup orientation="portrait" r:id="rId1"/>
  <ignoredErrors>
    <ignoredError sqref="C4:F4 I4:O4" numberStoredAsText="1"/>
    <ignoredError sqref="G69:H6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>
    <tabColor rgb="FF00B050"/>
  </sheetPr>
  <dimension ref="A1:P73"/>
  <sheetViews>
    <sheetView showGridLines="0" workbookViewId="0">
      <selection activeCell="E2" sqref="E2:H2"/>
    </sheetView>
  </sheetViews>
  <sheetFormatPr baseColWidth="10" defaultRowHeight="15"/>
  <cols>
    <col min="1" max="1" width="14.140625" style="32" customWidth="1"/>
    <col min="2" max="2" width="31.7109375" style="57" customWidth="1"/>
    <col min="3" max="15" width="7.7109375" style="50" customWidth="1"/>
    <col min="16" max="17" width="11.42578125" style="50"/>
    <col min="18" max="21" width="7.42578125" style="50" customWidth="1"/>
    <col min="22" max="16384" width="11.42578125" style="50"/>
  </cols>
  <sheetData>
    <row r="1" spans="2:15" s="32" customFormat="1" ht="9.75" customHeight="1">
      <c r="B1" s="55" t="s">
        <v>394</v>
      </c>
    </row>
    <row r="2" spans="2:15" s="32" customFormat="1" ht="9.75" customHeight="1">
      <c r="B2" s="56" t="s">
        <v>393</v>
      </c>
      <c r="E2" s="444" t="s">
        <v>555</v>
      </c>
      <c r="F2" s="444"/>
      <c r="G2" s="444"/>
      <c r="H2" s="444"/>
    </row>
    <row r="3" spans="2:15" s="32" customFormat="1" ht="9.75" customHeight="1">
      <c r="B3" s="39"/>
    </row>
    <row r="4" spans="2:15" s="32" customFormat="1" ht="9.75" customHeight="1" thickBot="1">
      <c r="B4" s="419" t="s">
        <v>374</v>
      </c>
      <c r="C4" s="52" t="s">
        <v>380</v>
      </c>
      <c r="D4" s="52" t="s">
        <v>381</v>
      </c>
      <c r="E4" s="52" t="s">
        <v>382</v>
      </c>
      <c r="F4" s="52" t="s">
        <v>383</v>
      </c>
      <c r="G4" s="49" t="s">
        <v>469</v>
      </c>
      <c r="H4" s="88">
        <v>2005</v>
      </c>
      <c r="I4" s="52" t="s">
        <v>384</v>
      </c>
      <c r="J4" s="52" t="s">
        <v>385</v>
      </c>
      <c r="K4" s="52" t="s">
        <v>386</v>
      </c>
      <c r="L4" s="52" t="s">
        <v>387</v>
      </c>
      <c r="M4" s="52" t="s">
        <v>388</v>
      </c>
      <c r="N4" s="52" t="s">
        <v>389</v>
      </c>
      <c r="O4" s="420" t="s">
        <v>390</v>
      </c>
    </row>
    <row r="5" spans="2:15" s="32" customFormat="1" ht="9.75" customHeight="1" thickTop="1">
      <c r="B5" s="53" t="str">
        <f>+IngresosBrutos!B5</f>
        <v>Terminal - International (TUUA)</v>
      </c>
      <c r="C5" s="45">
        <f>+IngresosBrutos!C5*$C$73</f>
        <v>4605046.89808199</v>
      </c>
      <c r="D5" s="44">
        <f>+IngresosBrutos!D5*$C$73</f>
        <v>4841300.8280000007</v>
      </c>
      <c r="E5" s="45">
        <f>+IngresosBrutos!E5*$C$73</f>
        <v>5490464.2719999999</v>
      </c>
      <c r="F5" s="44">
        <f>+IngresosBrutos!F5*$C$73</f>
        <v>6137714.8300000001</v>
      </c>
      <c r="G5" s="45">
        <f>+IngresosBrutos!G5*$C$73</f>
        <v>6895187.5659999996</v>
      </c>
      <c r="H5" s="44">
        <f>+IngresosBrutos!H5*$C$73</f>
        <v>6895187.5659999996</v>
      </c>
      <c r="I5" s="45">
        <f>+IngresosBrutos!I5*$C$73</f>
        <v>7595837.6640000008</v>
      </c>
      <c r="J5" s="44">
        <f>+IngresosBrutos!J5*$C$73</f>
        <v>9151509.623999998</v>
      </c>
      <c r="K5" s="45">
        <f>+IngresosBrutos!K5*$C$73</f>
        <v>10033706.386554623</v>
      </c>
      <c r="L5" s="44">
        <f>+IngresosBrutos!L5*$C$73</f>
        <v>10593284.915966386</v>
      </c>
      <c r="M5" s="45">
        <f>+IngresosBrutos!M5*$C$73</f>
        <v>11079837.64789916</v>
      </c>
      <c r="N5" s="44">
        <f>+IngresosBrutos!N5*$C$73</f>
        <v>12276327.963844197</v>
      </c>
      <c r="O5" s="45">
        <f>+IngresosBrutos!O5*$C$73</f>
        <v>13481360.462580679</v>
      </c>
    </row>
    <row r="6" spans="2:15" s="32" customFormat="1" ht="9.75" customHeight="1">
      <c r="B6" s="60" t="str">
        <f>+IngresosBrutos!B6</f>
        <v>Terminal - National (TUUA)</v>
      </c>
      <c r="C6" s="62">
        <v>0</v>
      </c>
      <c r="D6" s="62">
        <v>0</v>
      </c>
      <c r="E6" s="62">
        <v>0</v>
      </c>
      <c r="F6" s="62">
        <v>0</v>
      </c>
      <c r="G6" s="62">
        <v>0</v>
      </c>
      <c r="H6" s="62">
        <v>0</v>
      </c>
      <c r="I6" s="62">
        <v>0</v>
      </c>
      <c r="J6" s="62">
        <v>0</v>
      </c>
      <c r="K6" s="62">
        <v>0</v>
      </c>
      <c r="L6" s="62">
        <v>0</v>
      </c>
      <c r="M6" s="62">
        <v>0</v>
      </c>
      <c r="N6" s="62">
        <v>0</v>
      </c>
      <c r="O6" s="62">
        <v>0</v>
      </c>
    </row>
    <row r="7" spans="2:15" s="32" customFormat="1" ht="9.75" customHeight="1">
      <c r="B7" s="53" t="str">
        <f>+IngresosBrutos!B7</f>
        <v>AID-Hasta 10 t</v>
      </c>
      <c r="C7" s="45">
        <f>+IngresosBrutos!C7*$D$73</f>
        <v>2625.2970388482508</v>
      </c>
      <c r="D7" s="44">
        <f>+IngresosBrutos!D7*$D$73</f>
        <v>2101.7399999999998</v>
      </c>
      <c r="E7" s="45">
        <f>+IngresosBrutos!E7*$D$73</f>
        <v>2321.3049999999998</v>
      </c>
      <c r="F7" s="44">
        <f>+IngresosBrutos!F7*$D$73</f>
        <v>2309.0300000000002</v>
      </c>
      <c r="G7" s="45">
        <f>+IngresosBrutos!G7*$D$73</f>
        <v>2335.2600000000002</v>
      </c>
      <c r="H7" s="44">
        <f>+IngresosBrutos!H7*$D$73</f>
        <v>2335.2600000000002</v>
      </c>
      <c r="I7" s="45">
        <f>+IngresosBrutos!I7*$D$73</f>
        <v>2586.62</v>
      </c>
      <c r="J7" s="44">
        <f>+IngresosBrutos!J7*$D$73</f>
        <v>3264</v>
      </c>
      <c r="K7" s="45">
        <f>+IngresosBrutos!K7*$D$73</f>
        <v>3935.5</v>
      </c>
      <c r="L7" s="44">
        <f>+IngresosBrutos!L7*$D$73</f>
        <v>4340.8600000000006</v>
      </c>
      <c r="M7" s="45">
        <f>+IngresosBrutos!M7*$D$73</f>
        <v>4813.5649999999987</v>
      </c>
      <c r="N7" s="44">
        <f>+IngresosBrutos!N7*$D$73</f>
        <v>4381.0549999999994</v>
      </c>
      <c r="O7" s="45">
        <f>+IngresosBrutos!O7*$D$73</f>
        <v>4958.839999999982</v>
      </c>
    </row>
    <row r="8" spans="2:15" s="32" customFormat="1" ht="9.75" customHeight="1">
      <c r="B8" s="60" t="str">
        <f>+IngresosBrutos!B8</f>
        <v>AID-Más de 10 t hasta 35 t</v>
      </c>
      <c r="C8" s="47">
        <f>+IngresosBrutos!C8*$D$73</f>
        <v>4891.26612557101</v>
      </c>
      <c r="D8" s="46">
        <f>+IngresosBrutos!D8*$D$73</f>
        <v>7320.9949999999999</v>
      </c>
      <c r="E8" s="47">
        <f>+IngresosBrutos!E8*$D$73</f>
        <v>6480.51</v>
      </c>
      <c r="F8" s="46">
        <f>+IngresosBrutos!F8*$D$73</f>
        <v>5353.4350000000004</v>
      </c>
      <c r="G8" s="47">
        <f>+IngresosBrutos!G8*$D$73</f>
        <v>3934.2950000000001</v>
      </c>
      <c r="H8" s="46">
        <f>+IngresosBrutos!H8*$D$73</f>
        <v>3934.2950000000001</v>
      </c>
      <c r="I8" s="47">
        <f>+IngresosBrutos!I8*$D$73</f>
        <v>3348.415</v>
      </c>
      <c r="J8" s="46">
        <f>+IngresosBrutos!J8*$D$73</f>
        <v>4119.9250000000002</v>
      </c>
      <c r="K8" s="47">
        <f>+IngresosBrutos!K8*$D$73</f>
        <v>4751.37</v>
      </c>
      <c r="L8" s="46">
        <f>+IngresosBrutos!L8*$D$73</f>
        <v>4003.4250000000002</v>
      </c>
      <c r="M8" s="47">
        <f>+IngresosBrutos!M8*$D$73</f>
        <v>6171.2100000000009</v>
      </c>
      <c r="N8" s="46">
        <f>+IngresosBrutos!N8*$D$73</f>
        <v>6080.16</v>
      </c>
      <c r="O8" s="47">
        <f>+IngresosBrutos!O8*$D$73</f>
        <v>7660.7099999999946</v>
      </c>
    </row>
    <row r="9" spans="2:15" s="32" customFormat="1" ht="9.75" customHeight="1">
      <c r="B9" s="53" t="str">
        <f>+IngresosBrutos!B9</f>
        <v>AID-Más de 35 t hasta 70 t</v>
      </c>
      <c r="C9" s="45">
        <f>+IngresosBrutos!C9*$D$73</f>
        <v>26514.966000081065</v>
      </c>
      <c r="D9" s="44">
        <f>+IngresosBrutos!D9*$D$73</f>
        <v>23193.764999999999</v>
      </c>
      <c r="E9" s="45">
        <f>+IngresosBrutos!E9*$D$73</f>
        <v>20098.564999999999</v>
      </c>
      <c r="F9" s="44">
        <f>+IngresosBrutos!F9*$D$73</f>
        <v>15167.375</v>
      </c>
      <c r="G9" s="45">
        <f>+IngresosBrutos!G9*$D$73</f>
        <v>4225.99</v>
      </c>
      <c r="H9" s="44">
        <f>+IngresosBrutos!H9*$D$73</f>
        <v>4225.99</v>
      </c>
      <c r="I9" s="45">
        <f>+IngresosBrutos!I9*$D$73</f>
        <v>27784.14499999995</v>
      </c>
      <c r="J9" s="44">
        <f>+IngresosBrutos!J9*$D$73</f>
        <v>70260.755000000005</v>
      </c>
      <c r="K9" s="45">
        <f>+IngresosBrutos!K9*$D$73</f>
        <v>110623.56500000003</v>
      </c>
      <c r="L9" s="44">
        <f>+IngresosBrutos!L9*$D$73</f>
        <v>186112.96499999985</v>
      </c>
      <c r="M9" s="45">
        <f>+IngresosBrutos!M9*$D$73</f>
        <v>171612.01499999984</v>
      </c>
      <c r="N9" s="44">
        <f>+IngresosBrutos!N9*$D$73</f>
        <v>292639.61500000057</v>
      </c>
      <c r="O9" s="45">
        <f>+IngresosBrutos!O9*$D$73</f>
        <v>310918.54000000202</v>
      </c>
    </row>
    <row r="10" spans="2:15" s="32" customFormat="1" ht="9.75" customHeight="1">
      <c r="B10" s="60" t="str">
        <f>+IngresosBrutos!B10</f>
        <v>AID-Más de 70 t hasta 100 t</v>
      </c>
      <c r="C10" s="47">
        <f>+IngresosBrutos!C10*$D$73</f>
        <v>407134.45017808001</v>
      </c>
      <c r="D10" s="46">
        <f>+IngresosBrutos!D10*$D$73</f>
        <v>297204.17499999952</v>
      </c>
      <c r="E10" s="47">
        <f>+IngresosBrutos!E10*$D$73</f>
        <v>239751.65999999951</v>
      </c>
      <c r="F10" s="46">
        <f>+IngresosBrutos!F10*$D$73</f>
        <v>282879.76</v>
      </c>
      <c r="G10" s="47">
        <f>+IngresosBrutos!G10*$D$73</f>
        <v>258575.86500000049</v>
      </c>
      <c r="H10" s="46">
        <f>+IngresosBrutos!H10*$D$73</f>
        <v>258575.86500000049</v>
      </c>
      <c r="I10" s="47">
        <f>+IngresosBrutos!I10*$D$73</f>
        <v>237152.98000000336</v>
      </c>
      <c r="J10" s="46">
        <f>+IngresosBrutos!J10*$D$73</f>
        <v>390595.88499999931</v>
      </c>
      <c r="K10" s="47">
        <f>+IngresosBrutos!K10*$D$73</f>
        <v>505082.45499999955</v>
      </c>
      <c r="L10" s="46">
        <f>+IngresosBrutos!L10*$D$73</f>
        <v>570822.279999997</v>
      </c>
      <c r="M10" s="47">
        <f>+IngresosBrutos!M10*$D$73</f>
        <v>661280.040000004</v>
      </c>
      <c r="N10" s="46">
        <f>+IngresosBrutos!N10*$D$73</f>
        <v>767476.72500000696</v>
      </c>
      <c r="O10" s="47">
        <f>+IngresosBrutos!O10*$D$73</f>
        <v>827379.39499995648</v>
      </c>
    </row>
    <row r="11" spans="2:15" s="32" customFormat="1" ht="9.75" customHeight="1">
      <c r="B11" s="53" t="str">
        <f>+IngresosBrutos!B11</f>
        <v>AID-Más de 100 t</v>
      </c>
      <c r="C11" s="45">
        <f>+IngresosBrutos!C11*$D$73</f>
        <v>618938.94985088019</v>
      </c>
      <c r="D11" s="44">
        <f>+IngresosBrutos!D11*$D$73</f>
        <v>578852.10499999998</v>
      </c>
      <c r="E11" s="45">
        <f>+IngresosBrutos!E11*$D$73</f>
        <v>682378.13500000001</v>
      </c>
      <c r="F11" s="44">
        <f>+IngresosBrutos!F11*$D$73</f>
        <v>756941.76</v>
      </c>
      <c r="G11" s="45">
        <f>+IngresosBrutos!G11*$D$73</f>
        <v>953260.86</v>
      </c>
      <c r="H11" s="44">
        <f>+IngresosBrutos!H11*$D$73</f>
        <v>953260.86</v>
      </c>
      <c r="I11" s="45">
        <f>+IngresosBrutos!I11*$D$73</f>
        <v>793605.54500000691</v>
      </c>
      <c r="J11" s="44">
        <f>+IngresosBrutos!J11*$D$73</f>
        <v>916970.9</v>
      </c>
      <c r="K11" s="45">
        <f>+IngresosBrutos!K11*$D$73</f>
        <v>1093752.6299999999</v>
      </c>
      <c r="L11" s="44">
        <f>+IngresosBrutos!L11*$D$73</f>
        <v>1058819.7450000001</v>
      </c>
      <c r="M11" s="45">
        <f>+IngresosBrutos!M11*$D$73</f>
        <v>1188363.9399999997</v>
      </c>
      <c r="N11" s="44">
        <f>+IngresosBrutos!N11*$D$73</f>
        <v>1244251.1150000009</v>
      </c>
      <c r="O11" s="45">
        <f>+IngresosBrutos!O11*$D$73</f>
        <v>1489417.8949999653</v>
      </c>
    </row>
    <row r="12" spans="2:15" s="32" customFormat="1" ht="9.75" customHeight="1">
      <c r="B12" s="60" t="str">
        <f>+IngresosBrutos!B12</f>
        <v>AIN-Hasta 10 t</v>
      </c>
      <c r="C12" s="47">
        <f>+IngresosBrutos!C12*$D$73</f>
        <v>692.17335389467496</v>
      </c>
      <c r="D12" s="46">
        <f>+IngresosBrutos!D12*$D$73</f>
        <v>859.04499999999996</v>
      </c>
      <c r="E12" s="47">
        <f>+IngresosBrutos!E12*$D$73</f>
        <v>671.42499999999995</v>
      </c>
      <c r="F12" s="46">
        <f>+IngresosBrutos!F12*$D$73</f>
        <v>901.17</v>
      </c>
      <c r="G12" s="47">
        <f>+IngresosBrutos!G12*$D$73</f>
        <v>752.18499999999995</v>
      </c>
      <c r="H12" s="46">
        <f>+IngresosBrutos!H12*$D$73</f>
        <v>752.18499999999995</v>
      </c>
      <c r="I12" s="47">
        <f>+IngresosBrutos!I12*$D$73</f>
        <v>665.37000000000012</v>
      </c>
      <c r="J12" s="46">
        <f>+IngresosBrutos!J12*$D$73</f>
        <v>997.05</v>
      </c>
      <c r="K12" s="47">
        <f>+IngresosBrutos!K12*$D$73</f>
        <v>1094.8</v>
      </c>
      <c r="L12" s="46">
        <f>+IngresosBrutos!L12*$D$73</f>
        <v>795.82499999999993</v>
      </c>
      <c r="M12" s="47">
        <f>+IngresosBrutos!M12*$D$73</f>
        <v>1105.19</v>
      </c>
      <c r="N12" s="46">
        <f>+IngresosBrutos!N12*$D$73</f>
        <v>1206.0649999999998</v>
      </c>
      <c r="O12" s="47">
        <f>+IngresosBrutos!O12*$D$73</f>
        <v>1206.0649999999991</v>
      </c>
    </row>
    <row r="13" spans="2:15" s="32" customFormat="1" ht="9.75" customHeight="1">
      <c r="B13" s="53" t="str">
        <f>+IngresosBrutos!B13</f>
        <v>AIN-Más de 10 t hasta 35 t</v>
      </c>
      <c r="C13" s="45">
        <f>+IngresosBrutos!C13*$D$73</f>
        <v>2831.9474796312147</v>
      </c>
      <c r="D13" s="44">
        <f>+IngresosBrutos!D13*$D$73</f>
        <v>2962.6849999999999</v>
      </c>
      <c r="E13" s="45">
        <f>+IngresosBrutos!E13*$D$73</f>
        <v>6218.76</v>
      </c>
      <c r="F13" s="44">
        <f>+IngresosBrutos!F13*$D$73</f>
        <v>3903.6149999999998</v>
      </c>
      <c r="G13" s="45">
        <f>+IngresosBrutos!G13*$D$73</f>
        <v>1778.5250000000001</v>
      </c>
      <c r="H13" s="44">
        <f>+IngresosBrutos!H13*$D$73</f>
        <v>1778.5250000000001</v>
      </c>
      <c r="I13" s="45">
        <f>+IngresosBrutos!I13*$D$73</f>
        <v>2770.8100000000004</v>
      </c>
      <c r="J13" s="44">
        <f>+IngresosBrutos!J13*$D$73</f>
        <v>2822.42</v>
      </c>
      <c r="K13" s="45">
        <f>+IngresosBrutos!K13*$D$73</f>
        <v>3357.2650000000003</v>
      </c>
      <c r="L13" s="44">
        <f>+IngresosBrutos!L13*$D$73</f>
        <v>3325.4850000000001</v>
      </c>
      <c r="M13" s="45">
        <f>+IngresosBrutos!M13*$D$73</f>
        <v>3932.420000000001</v>
      </c>
      <c r="N13" s="44">
        <f>+IngresosBrutos!N13*$D$73</f>
        <v>4818.1150000000007</v>
      </c>
      <c r="O13" s="45">
        <f>+IngresosBrutos!O13*$D$73</f>
        <v>5881.15</v>
      </c>
    </row>
    <row r="14" spans="2:15" s="32" customFormat="1" ht="9.75" customHeight="1">
      <c r="B14" s="60" t="str">
        <f>+IngresosBrutos!B14</f>
        <v>AIN-Más de 35 t hasta 70 t</v>
      </c>
      <c r="C14" s="47">
        <f>+IngresosBrutos!C14*$D$73</f>
        <v>33747.270217728008</v>
      </c>
      <c r="D14" s="46">
        <f>+IngresosBrutos!D14*$D$73</f>
        <v>59156.544999999998</v>
      </c>
      <c r="E14" s="47">
        <f>+IngresosBrutos!E14*$D$73</f>
        <v>25674.744999999999</v>
      </c>
      <c r="F14" s="46">
        <f>+IngresosBrutos!F14*$D$73</f>
        <v>28602.084999999999</v>
      </c>
      <c r="G14" s="47">
        <f>+IngresosBrutos!G14*$D$73</f>
        <v>43140.635000000002</v>
      </c>
      <c r="H14" s="46">
        <f>+IngresosBrutos!H14*$D$73</f>
        <v>43140.635000000002</v>
      </c>
      <c r="I14" s="47">
        <f>+IngresosBrutos!I14*$D$73</f>
        <v>83740.329999999492</v>
      </c>
      <c r="J14" s="46">
        <f>+IngresosBrutos!J14*$D$73</f>
        <v>174787.67499999999</v>
      </c>
      <c r="K14" s="47">
        <f>+IngresosBrutos!K14*$D$73</f>
        <v>172818.25499999998</v>
      </c>
      <c r="L14" s="46">
        <f>+IngresosBrutos!L14*$D$73</f>
        <v>234394.81999999975</v>
      </c>
      <c r="M14" s="47">
        <f>+IngresosBrutos!M14*$D$73</f>
        <v>152995.88999999984</v>
      </c>
      <c r="N14" s="46">
        <f>+IngresosBrutos!N14*$D$73</f>
        <v>272383.30999999912</v>
      </c>
      <c r="O14" s="47">
        <f>+IngresosBrutos!O14*$D$73</f>
        <v>314585.16499999765</v>
      </c>
    </row>
    <row r="15" spans="2:15" s="32" customFormat="1" ht="9.75" customHeight="1">
      <c r="B15" s="53" t="str">
        <f>+IngresosBrutos!B15</f>
        <v>AIN-Más de 70 t hasta 100 t</v>
      </c>
      <c r="C15" s="45">
        <f>+IngresosBrutos!C15*$D$73</f>
        <v>271887.55874706694</v>
      </c>
      <c r="D15" s="44">
        <f>+IngresosBrutos!D15*$D$73</f>
        <v>341409.58000000101</v>
      </c>
      <c r="E15" s="45">
        <f>+IngresosBrutos!E15*$D$73</f>
        <v>358698.90000000049</v>
      </c>
      <c r="F15" s="44">
        <f>+IngresosBrutos!F15*$D$73</f>
        <v>404404.71000000049</v>
      </c>
      <c r="G15" s="45">
        <f>+IngresosBrutos!G15*$D$73</f>
        <v>458264.84499999997</v>
      </c>
      <c r="H15" s="44">
        <f>+IngresosBrutos!H15*$D$73</f>
        <v>458264.84499999997</v>
      </c>
      <c r="I15" s="45">
        <f>+IngresosBrutos!I15*$D$73</f>
        <v>445544.92999999737</v>
      </c>
      <c r="J15" s="44">
        <f>+IngresosBrutos!J15*$D$73</f>
        <v>544674.42500000005</v>
      </c>
      <c r="K15" s="45">
        <f>+IngresosBrutos!K15*$D$73</f>
        <v>553677.75</v>
      </c>
      <c r="L15" s="44">
        <f>+IngresosBrutos!L15*$D$73</f>
        <v>542553.97500000009</v>
      </c>
      <c r="M15" s="45">
        <f>+IngresosBrutos!M15*$D$73</f>
        <v>720411.67999999982</v>
      </c>
      <c r="N15" s="44">
        <f>+IngresosBrutos!N15*$D$73</f>
        <v>817566.04500000202</v>
      </c>
      <c r="O15" s="45">
        <f>+IngresosBrutos!O15*$D$73</f>
        <v>848727.70500005526</v>
      </c>
    </row>
    <row r="16" spans="2:15" s="32" customFormat="1" ht="9.75" customHeight="1">
      <c r="B16" s="60" t="str">
        <f>+IngresosBrutos!B16</f>
        <v>AIN-Más de 100 t</v>
      </c>
      <c r="C16" s="47">
        <f>+IngresosBrutos!C16*$D$73</f>
        <v>1362107.4409321542</v>
      </c>
      <c r="D16" s="46">
        <f>+IngresosBrutos!D16*$D$73</f>
        <v>1489302.01</v>
      </c>
      <c r="E16" s="47">
        <f>+IngresosBrutos!E16*$D$73</f>
        <v>1459495.3049999999</v>
      </c>
      <c r="F16" s="46">
        <f>+IngresosBrutos!F16*$D$73</f>
        <v>1684176.34</v>
      </c>
      <c r="G16" s="47">
        <f>+IngresosBrutos!G16*$D$73</f>
        <v>1933843.56</v>
      </c>
      <c r="H16" s="46">
        <f>+IngresosBrutos!H16*$D$73</f>
        <v>1933843.56</v>
      </c>
      <c r="I16" s="47">
        <f>+IngresosBrutos!I16*$D$73</f>
        <v>1983199.3600000504</v>
      </c>
      <c r="J16" s="46">
        <f>+IngresosBrutos!J16*$D$73</f>
        <v>1983426.14</v>
      </c>
      <c r="K16" s="47">
        <f>+IngresosBrutos!K16*$D$73</f>
        <v>2023370.1049999932</v>
      </c>
      <c r="L16" s="46">
        <f>+IngresosBrutos!L16*$D$73</f>
        <v>2271935.0799999917</v>
      </c>
      <c r="M16" s="47">
        <f>+IngresosBrutos!M16*$D$73</f>
        <v>2517388.5750000044</v>
      </c>
      <c r="N16" s="46">
        <f>+IngresosBrutos!N16*$D$73</f>
        <v>2465719.7450000136</v>
      </c>
      <c r="O16" s="47">
        <f>+IngresosBrutos!O16*$D$73</f>
        <v>2505156.7399997963</v>
      </c>
    </row>
    <row r="17" spans="2:15" s="32" customFormat="1" ht="9.75" customHeight="1">
      <c r="B17" s="53" t="str">
        <f>+IngresosBrutos!B17</f>
        <v>DID-Hasta 10 t</v>
      </c>
      <c r="C17" s="45">
        <f>+IngresosBrutos!C17*$D$73</f>
        <v>3055.9018272154744</v>
      </c>
      <c r="D17" s="44">
        <f>+IngresosBrutos!D17*$D$73</f>
        <v>2665.605</v>
      </c>
      <c r="E17" s="45">
        <f>+IngresosBrutos!E17*$D$73</f>
        <v>2690.29</v>
      </c>
      <c r="F17" s="44">
        <f>+IngresosBrutos!F17*$D$73</f>
        <v>2794.24</v>
      </c>
      <c r="G17" s="45">
        <f>+IngresosBrutos!G17*$D$73</f>
        <v>2673.6950000000002</v>
      </c>
      <c r="H17" s="44">
        <f>+IngresosBrutos!H17*$D$73</f>
        <v>2673.6950000000002</v>
      </c>
      <c r="I17" s="45">
        <f>+IngresosBrutos!I17*$D$73</f>
        <v>2960.9850000000001</v>
      </c>
      <c r="J17" s="44">
        <f>+IngresosBrutos!J17*$D$73</f>
        <v>3765.5</v>
      </c>
      <c r="K17" s="45">
        <f>+IngresosBrutos!K17*$D$73</f>
        <v>4445.5</v>
      </c>
      <c r="L17" s="44">
        <f>+IngresosBrutos!L17*$D$73</f>
        <v>4716.84</v>
      </c>
      <c r="M17" s="45">
        <f>+IngresosBrutos!M17*$D$73</f>
        <v>5363.8099999999995</v>
      </c>
      <c r="N17" s="44">
        <f>+IngresosBrutos!N17*$D$73</f>
        <v>4724.84</v>
      </c>
      <c r="O17" s="45">
        <f>+IngresosBrutos!O17*$D$73</f>
        <v>5383.7499999999627</v>
      </c>
    </row>
    <row r="18" spans="2:15" s="32" customFormat="1" ht="9.75" customHeight="1">
      <c r="B18" s="60" t="str">
        <f>+IngresosBrutos!B18</f>
        <v>DID-Más de 10 t hasta 35 t</v>
      </c>
      <c r="C18" s="47">
        <f>+IngresosBrutos!C18*$D$73</f>
        <v>6946.9918905658824</v>
      </c>
      <c r="D18" s="46">
        <f>+IngresosBrutos!D18*$D$73</f>
        <v>8558.4650000000001</v>
      </c>
      <c r="E18" s="47">
        <f>+IngresosBrutos!E18*$D$73</f>
        <v>10597.834999999999</v>
      </c>
      <c r="F18" s="46">
        <f>+IngresosBrutos!F18*$D$73</f>
        <v>7678.06</v>
      </c>
      <c r="G18" s="47">
        <f>+IngresosBrutos!G18*$D$73</f>
        <v>4470.79</v>
      </c>
      <c r="H18" s="46">
        <f>+IngresosBrutos!H18*$D$73</f>
        <v>4470.79</v>
      </c>
      <c r="I18" s="47">
        <f>+IngresosBrutos!I18*$D$73</f>
        <v>4042.5349999999999</v>
      </c>
      <c r="J18" s="46">
        <f>+IngresosBrutos!J18*$D$73</f>
        <v>4894.915</v>
      </c>
      <c r="K18" s="47">
        <f>+IngresosBrutos!K18*$D$73</f>
        <v>6129.5349999999999</v>
      </c>
      <c r="L18" s="46">
        <f>+IngresosBrutos!L18*$D$73</f>
        <v>5414.7149999999992</v>
      </c>
      <c r="M18" s="47">
        <f>+IngresosBrutos!M18*$D$73</f>
        <v>7374.3300000000008</v>
      </c>
      <c r="N18" s="46">
        <f>+IngresosBrutos!N18*$D$73</f>
        <v>7883.550000000002</v>
      </c>
      <c r="O18" s="47">
        <f>+IngresosBrutos!O18*$D$73</f>
        <v>9679.7750000000106</v>
      </c>
    </row>
    <row r="19" spans="2:15" s="32" customFormat="1" ht="9.75" customHeight="1">
      <c r="B19" s="53" t="str">
        <f>+IngresosBrutos!B19</f>
        <v>DID-Más de 35 t hasta 70 t</v>
      </c>
      <c r="C19" s="45">
        <f>+IngresosBrutos!C19*$D$73</f>
        <v>47349.171568064747</v>
      </c>
      <c r="D19" s="44">
        <f>+IngresosBrutos!D19*$D$73</f>
        <v>39306.095000000001</v>
      </c>
      <c r="E19" s="45">
        <f>+IngresosBrutos!E19*$D$73</f>
        <v>27002.86</v>
      </c>
      <c r="F19" s="44">
        <f>+IngresosBrutos!F19*$D$73</f>
        <v>22667.404999999999</v>
      </c>
      <c r="G19" s="45">
        <f>+IngresosBrutos!G19*$D$73</f>
        <v>37588.294999999998</v>
      </c>
      <c r="H19" s="44">
        <f>+IngresosBrutos!H19*$D$73</f>
        <v>37588.294999999998</v>
      </c>
      <c r="I19" s="45">
        <f>+IngresosBrutos!I19*$D$73</f>
        <v>59330.774999999718</v>
      </c>
      <c r="J19" s="44">
        <f>+IngresosBrutos!J19*$D$73</f>
        <v>115967.67</v>
      </c>
      <c r="K19" s="45">
        <f>+IngresosBrutos!K19*$D$73</f>
        <v>140339.58499999999</v>
      </c>
      <c r="L19" s="44">
        <f>+IngresosBrutos!L19*$D$73</f>
        <v>229790.61499999961</v>
      </c>
      <c r="M19" s="45">
        <f>+IngresosBrutos!M19*$D$73</f>
        <v>158122.77499999985</v>
      </c>
      <c r="N19" s="44">
        <f>+IngresosBrutos!N19*$D$73</f>
        <v>274207.97500000027</v>
      </c>
      <c r="O19" s="45">
        <f>+IngresosBrutos!O19*$D$73</f>
        <v>367606.77500001417</v>
      </c>
    </row>
    <row r="20" spans="2:15" s="32" customFormat="1" ht="9.75" customHeight="1">
      <c r="B20" s="60" t="str">
        <f>+IngresosBrutos!B20</f>
        <v>DID-Más de 70 t hasta 100 t</v>
      </c>
      <c r="C20" s="47">
        <f>+IngresosBrutos!C20*$D$73</f>
        <v>393655.78293596988</v>
      </c>
      <c r="D20" s="46">
        <f>+IngresosBrutos!D20*$D$73</f>
        <v>383014.57499999949</v>
      </c>
      <c r="E20" s="47">
        <f>+IngresosBrutos!E20*$D$73</f>
        <v>346498.6</v>
      </c>
      <c r="F20" s="46">
        <f>+IngresosBrutos!F20*$D$73</f>
        <v>389155.57500000048</v>
      </c>
      <c r="G20" s="47">
        <f>+IngresosBrutos!G20*$D$73</f>
        <v>435219.69500000047</v>
      </c>
      <c r="H20" s="46">
        <f>+IngresosBrutos!H20*$D$73</f>
        <v>435219.69500000047</v>
      </c>
      <c r="I20" s="47">
        <f>+IngresosBrutos!I20*$D$73</f>
        <v>371347.90500000463</v>
      </c>
      <c r="J20" s="46">
        <f>+IngresosBrutos!J20*$D$73</f>
        <v>427937.44999999931</v>
      </c>
      <c r="K20" s="47">
        <f>+IngresosBrutos!K20*$D$73</f>
        <v>500666.63499999966</v>
      </c>
      <c r="L20" s="46">
        <f>+IngresosBrutos!L20*$D$73</f>
        <v>563205.36999999732</v>
      </c>
      <c r="M20" s="47">
        <f>+IngresosBrutos!M20*$D$73</f>
        <v>668512.95000000345</v>
      </c>
      <c r="N20" s="46">
        <f>+IngresosBrutos!N20*$D$73</f>
        <v>799234.43500000506</v>
      </c>
      <c r="O20" s="47">
        <f>+IngresosBrutos!O20*$D$73</f>
        <v>824854.82499996957</v>
      </c>
    </row>
    <row r="21" spans="2:15" s="32" customFormat="1" ht="9.75" customHeight="1">
      <c r="B21" s="53" t="str">
        <f>+IngresosBrutos!B21</f>
        <v>DID-Más de 100 t</v>
      </c>
      <c r="C21" s="45">
        <f>+IngresosBrutos!C21*$D$73</f>
        <v>694622.74780985992</v>
      </c>
      <c r="D21" s="44">
        <f>+IngresosBrutos!D21*$D$73</f>
        <v>716495.27</v>
      </c>
      <c r="E21" s="45">
        <f>+IngresosBrutos!E21*$D$73</f>
        <v>823708.62</v>
      </c>
      <c r="F21" s="44">
        <f>+IngresosBrutos!F21*$D$73</f>
        <v>927977.89</v>
      </c>
      <c r="G21" s="45">
        <f>+IngresosBrutos!G21*$D$73</f>
        <v>1007388.45</v>
      </c>
      <c r="H21" s="44">
        <f>+IngresosBrutos!H21*$D$73</f>
        <v>1007388.45</v>
      </c>
      <c r="I21" s="45">
        <f>+IngresosBrutos!I21*$D$73</f>
        <v>955960.00000001315</v>
      </c>
      <c r="J21" s="44">
        <f>+IngresosBrutos!J21*$D$73</f>
        <v>1047325.4850000001</v>
      </c>
      <c r="K21" s="45">
        <f>+IngresosBrutos!K21*$D$73</f>
        <v>1076287.2499999998</v>
      </c>
      <c r="L21" s="44">
        <f>+IngresosBrutos!L21*$D$73</f>
        <v>1083470.1300000004</v>
      </c>
      <c r="M21" s="45">
        <f>+IngresosBrutos!M21*$D$73</f>
        <v>1261425.8300000005</v>
      </c>
      <c r="N21" s="44">
        <f>+IngresosBrutos!N21*$D$73</f>
        <v>1252852.8250000014</v>
      </c>
      <c r="O21" s="45">
        <f>+IngresosBrutos!O21*$D$73</f>
        <v>1557516.0149999438</v>
      </c>
    </row>
    <row r="22" spans="2:15" s="32" customFormat="1" ht="9.75" customHeight="1">
      <c r="B22" s="60" t="str">
        <f>+IngresosBrutos!B22</f>
        <v>DIN-Hasta 10 t</v>
      </c>
      <c r="C22" s="47">
        <f>+IngresosBrutos!C22*$D$73</f>
        <v>312.08526876571926</v>
      </c>
      <c r="D22" s="46">
        <f>+IngresosBrutos!D22*$D$73</f>
        <v>201.93</v>
      </c>
      <c r="E22" s="47">
        <f>+IngresosBrutos!E22*$D$73</f>
        <v>237.44499999999999</v>
      </c>
      <c r="F22" s="46">
        <f>+IngresosBrutos!F22*$D$73</f>
        <v>306.24</v>
      </c>
      <c r="G22" s="47">
        <f>+IngresosBrutos!G22*$D$73</f>
        <v>325.81</v>
      </c>
      <c r="H22" s="46">
        <f>+IngresosBrutos!H22*$D$73</f>
        <v>325.81</v>
      </c>
      <c r="I22" s="47">
        <f>+IngresosBrutos!I22*$D$73</f>
        <v>224.98499999999999</v>
      </c>
      <c r="J22" s="46">
        <f>+IngresosBrutos!J22*$D$73</f>
        <v>400.77499999999998</v>
      </c>
      <c r="K22" s="47">
        <f>+IngresosBrutos!K22*$D$73</f>
        <v>459.42499999999995</v>
      </c>
      <c r="L22" s="46">
        <f>+IngresosBrutos!L22*$D$73</f>
        <v>265.27499999999998</v>
      </c>
      <c r="M22" s="47">
        <f>+IngresosBrutos!M22*$D$73</f>
        <v>522.34500000000003</v>
      </c>
      <c r="N22" s="46">
        <f>+IngresosBrutos!N22*$D$73</f>
        <v>648.64</v>
      </c>
      <c r="O22" s="47">
        <f>+IngresosBrutos!O22*$D$73</f>
        <v>648.63999999999965</v>
      </c>
    </row>
    <row r="23" spans="2:15" s="32" customFormat="1" ht="9.75" customHeight="1">
      <c r="B23" s="53" t="str">
        <f>+IngresosBrutos!B23</f>
        <v>DIN-Más de 10 t hasta 35 t</v>
      </c>
      <c r="C23" s="45">
        <f>+IngresosBrutos!C23*$D$73</f>
        <v>896.48927615558159</v>
      </c>
      <c r="D23" s="44">
        <f>+IngresosBrutos!D23*$D$73</f>
        <v>1601.2149999999999</v>
      </c>
      <c r="E23" s="45">
        <f>+IngresosBrutos!E23*$D$73</f>
        <v>1581.97</v>
      </c>
      <c r="F23" s="44">
        <f>+IngresosBrutos!F23*$D$73</f>
        <v>1309.825</v>
      </c>
      <c r="G23" s="45">
        <f>+IngresosBrutos!G23*$D$73</f>
        <v>1117.3499999999999</v>
      </c>
      <c r="H23" s="44">
        <f>+IngresosBrutos!H23*$D$73</f>
        <v>1117.3499999999999</v>
      </c>
      <c r="I23" s="45">
        <f>+IngresosBrutos!I23*$D$73</f>
        <v>1878.9650000000001</v>
      </c>
      <c r="J23" s="44">
        <f>+IngresosBrutos!J23*$D$73</f>
        <v>1974.81</v>
      </c>
      <c r="K23" s="45">
        <f>+IngresosBrutos!K23*$D$73</f>
        <v>1702.87</v>
      </c>
      <c r="L23" s="44">
        <f>+IngresosBrutos!L23*$D$73</f>
        <v>1728.7850000000003</v>
      </c>
      <c r="M23" s="45">
        <f>+IngresosBrutos!M23*$D$73</f>
        <v>2403.2150000000001</v>
      </c>
      <c r="N23" s="44">
        <f>+IngresosBrutos!N23*$D$73</f>
        <v>2702.7550000000006</v>
      </c>
      <c r="O23" s="45">
        <f>+IngresosBrutos!O23*$D$73</f>
        <v>3323.4000000000015</v>
      </c>
    </row>
    <row r="24" spans="2:15" s="32" customFormat="1" ht="9.75" customHeight="1">
      <c r="B24" s="60" t="str">
        <f>+IngresosBrutos!B24</f>
        <v>DIN-Más de 35 t hasta 70 t</v>
      </c>
      <c r="C24" s="47">
        <f>+IngresosBrutos!C24*$D$73</f>
        <v>10637.381688390764</v>
      </c>
      <c r="D24" s="46">
        <f>+IngresosBrutos!D24*$D$73</f>
        <v>41803.879999999997</v>
      </c>
      <c r="E24" s="47">
        <f>+IngresosBrutos!E24*$D$73</f>
        <v>17347.025000000001</v>
      </c>
      <c r="F24" s="46">
        <f>+IngresosBrutos!F24*$D$73</f>
        <v>19701.025000000001</v>
      </c>
      <c r="G24" s="47">
        <f>+IngresosBrutos!G24*$D$73</f>
        <v>4372.59</v>
      </c>
      <c r="H24" s="46">
        <f>+IngresosBrutos!H24*$D$73</f>
        <v>4372.59</v>
      </c>
      <c r="I24" s="47">
        <f>+IngresosBrutos!I24*$D$73</f>
        <v>47487.125000000007</v>
      </c>
      <c r="J24" s="46">
        <f>+IngresosBrutos!J24*$D$73</f>
        <v>121609.39</v>
      </c>
      <c r="K24" s="47">
        <f>+IngresosBrutos!K24*$D$73</f>
        <v>137402.625</v>
      </c>
      <c r="L24" s="46">
        <f>+IngresosBrutos!L24*$D$73</f>
        <v>184620.11499999993</v>
      </c>
      <c r="M24" s="47">
        <f>+IngresosBrutos!M24*$D$73</f>
        <v>167570.78999999978</v>
      </c>
      <c r="N24" s="46">
        <f>+IngresosBrutos!N24*$D$73</f>
        <v>293923.75499999902</v>
      </c>
      <c r="O24" s="47">
        <f>+IngresosBrutos!O24*$D$73</f>
        <v>248309.50000000419</v>
      </c>
    </row>
    <row r="25" spans="2:15" s="32" customFormat="1" ht="9.75" customHeight="1">
      <c r="B25" s="53" t="str">
        <f>+IngresosBrutos!B25</f>
        <v>DIN-Más de 70 t hasta 100 t</v>
      </c>
      <c r="C25" s="45">
        <f>+IngresosBrutos!C25*$D$73</f>
        <v>289292.00927534484</v>
      </c>
      <c r="D25" s="44">
        <f>+IngresosBrutos!D25*$D$73</f>
        <v>242154.465</v>
      </c>
      <c r="E25" s="45">
        <f>+IngresosBrutos!E25*$D$73</f>
        <v>236277.91</v>
      </c>
      <c r="F25" s="44">
        <f>+IngresosBrutos!F25*$D$73</f>
        <v>281368.42</v>
      </c>
      <c r="G25" s="45">
        <f>+IngresosBrutos!G25*$D$73</f>
        <v>254989.89000000051</v>
      </c>
      <c r="H25" s="44">
        <f>+IngresosBrutos!H25*$D$73</f>
        <v>254989.89000000051</v>
      </c>
      <c r="I25" s="45">
        <f>+IngresosBrutos!I25*$D$73</f>
        <v>291339.37000000046</v>
      </c>
      <c r="J25" s="44">
        <f>+IngresosBrutos!J25*$D$73</f>
        <v>503431.24</v>
      </c>
      <c r="K25" s="45">
        <f>+IngresosBrutos!K25*$D$73</f>
        <v>603903.62000000011</v>
      </c>
      <c r="L25" s="44">
        <f>+IngresosBrutos!L25*$D$73</f>
        <v>552448.66000000015</v>
      </c>
      <c r="M25" s="45">
        <f>+IngresosBrutos!M25*$D$73</f>
        <v>712244.4399999989</v>
      </c>
      <c r="N25" s="44">
        <f>+IngresosBrutos!N25*$D$73</f>
        <v>781613.83499999996</v>
      </c>
      <c r="O25" s="45">
        <f>+IngresosBrutos!O25*$D$73</f>
        <v>852035.50000005262</v>
      </c>
    </row>
    <row r="26" spans="2:15" s="32" customFormat="1" ht="9.75" customHeight="1">
      <c r="B26" s="60" t="str">
        <f>+IngresosBrutos!B26</f>
        <v>DIN-Más de 100 t</v>
      </c>
      <c r="C26" s="47">
        <f>+IngresosBrutos!C26*$D$73</f>
        <v>1279284.2525927054</v>
      </c>
      <c r="D26" s="46">
        <f>+IngresosBrutos!D26*$D$73</f>
        <v>1321159.675</v>
      </c>
      <c r="E26" s="47">
        <f>+IngresosBrutos!E26*$D$73</f>
        <v>1358441.655</v>
      </c>
      <c r="F26" s="46">
        <f>+IngresosBrutos!F26*$D$73</f>
        <v>1313574.1950000001</v>
      </c>
      <c r="G26" s="47">
        <f>+IngresosBrutos!G26*$D$73</f>
        <v>1768311.52</v>
      </c>
      <c r="H26" s="46">
        <f>+IngresosBrutos!H26*$D$73</f>
        <v>1768311.52</v>
      </c>
      <c r="I26" s="47">
        <f>+IngresosBrutos!I26*$D$73</f>
        <v>2157041.290000035</v>
      </c>
      <c r="J26" s="46">
        <f>+IngresosBrutos!J26*$D$73</f>
        <v>1944986.7349999957</v>
      </c>
      <c r="K26" s="47">
        <f>+IngresosBrutos!K26*$D$73</f>
        <v>1974760.6799999934</v>
      </c>
      <c r="L26" s="46">
        <f>+IngresosBrutos!L26*$D$73</f>
        <v>2232580.7499999921</v>
      </c>
      <c r="M26" s="47">
        <f>+IngresosBrutos!M26*$D$73</f>
        <v>2412645.4950000057</v>
      </c>
      <c r="N26" s="46">
        <f>+IngresosBrutos!N26*$D$73</f>
        <v>2446347.0600000122</v>
      </c>
      <c r="O26" s="47">
        <f>+IngresosBrutos!O26*$D$73</f>
        <v>2427816.779999841</v>
      </c>
    </row>
    <row r="27" spans="2:15" s="32" customFormat="1" ht="9.75" customHeight="1">
      <c r="B27" s="53" t="str">
        <f>+IngresosBrutos!B27</f>
        <v>AND-Hasta 10 t</v>
      </c>
      <c r="C27" s="45">
        <f>+IngresosBrutos!C27*$D$73</f>
        <v>6117.4343904286679</v>
      </c>
      <c r="D27" s="44">
        <f>+IngresosBrutos!D27*$D$73</f>
        <v>7346.62</v>
      </c>
      <c r="E27" s="45">
        <f>+IngresosBrutos!E27*$D$73</f>
        <v>6834.87</v>
      </c>
      <c r="F27" s="44">
        <f>+IngresosBrutos!F27*$D$73</f>
        <v>13224.2250000001</v>
      </c>
      <c r="G27" s="45">
        <f>+IngresosBrutos!G27*$D$73</f>
        <v>12290.6150000001</v>
      </c>
      <c r="H27" s="44">
        <f>+IngresosBrutos!H27*$D$73</f>
        <v>12290.6150000001</v>
      </c>
      <c r="I27" s="45">
        <f>+IngresosBrutos!I27*$D$73</f>
        <v>15981.209999999101</v>
      </c>
      <c r="J27" s="44">
        <f>+IngresosBrutos!J27*$D$73</f>
        <v>14968.625000000106</v>
      </c>
      <c r="K27" s="45">
        <f>+IngresosBrutos!K27*$D$73</f>
        <v>17544.75000000008</v>
      </c>
      <c r="L27" s="44">
        <f>+IngresosBrutos!L27*$D$73</f>
        <v>19686.620000000094</v>
      </c>
      <c r="M27" s="45">
        <f>+IngresosBrutos!M27*$D$73</f>
        <v>20120.080000000144</v>
      </c>
      <c r="N27" s="44">
        <f>+IngresosBrutos!N27*$D$73</f>
        <v>15151.800000000019</v>
      </c>
      <c r="O27" s="45">
        <f>+IngresosBrutos!O27*$D$73</f>
        <v>10691.149999999372</v>
      </c>
    </row>
    <row r="28" spans="2:15" s="32" customFormat="1" ht="9.75" customHeight="1">
      <c r="B28" s="60" t="str">
        <f>+IngresosBrutos!B28</f>
        <v>AND-Más de 10 t hasta 35 t</v>
      </c>
      <c r="C28" s="47">
        <f>+IngresosBrutos!C28*$D$73</f>
        <v>17308.610350127437</v>
      </c>
      <c r="D28" s="46">
        <f>+IngresosBrutos!D28*$D$73</f>
        <v>17652.724999999999</v>
      </c>
      <c r="E28" s="47">
        <f>+IngresosBrutos!E28*$D$73</f>
        <v>23462.17</v>
      </c>
      <c r="F28" s="46">
        <f>+IngresosBrutos!F28*$D$73</f>
        <v>19567.224999999951</v>
      </c>
      <c r="G28" s="47">
        <f>+IngresosBrutos!G28*$D$73</f>
        <v>17969.665000000001</v>
      </c>
      <c r="H28" s="46">
        <f>+IngresosBrutos!H28*$D$73</f>
        <v>17969.665000000001</v>
      </c>
      <c r="I28" s="47">
        <f>+IngresosBrutos!I28*$D$73</f>
        <v>22471.03500000004</v>
      </c>
      <c r="J28" s="46">
        <f>+IngresosBrutos!J28*$D$73</f>
        <v>36914.630000000092</v>
      </c>
      <c r="K28" s="47">
        <f>+IngresosBrutos!K28*$D$73</f>
        <v>27429.025000000034</v>
      </c>
      <c r="L28" s="46">
        <f>+IngresosBrutos!L28*$D$73</f>
        <v>21169.73</v>
      </c>
      <c r="M28" s="47">
        <f>+IngresosBrutos!M28*$D$73</f>
        <v>25835.994999999974</v>
      </c>
      <c r="N28" s="46">
        <f>+IngresosBrutos!N28*$D$73</f>
        <v>30266.429999999957</v>
      </c>
      <c r="O28" s="47">
        <f>+IngresosBrutos!O28*$D$73</f>
        <v>62896.084999997242</v>
      </c>
    </row>
    <row r="29" spans="2:15" s="32" customFormat="1" ht="9.75" customHeight="1">
      <c r="B29" s="53" t="str">
        <f>+IngresosBrutos!B29</f>
        <v>AND-Más de 35 t hasta 70 t</v>
      </c>
      <c r="C29" s="45">
        <f>+IngresosBrutos!C29*$D$73</f>
        <v>95377.876387817174</v>
      </c>
      <c r="D29" s="44">
        <f>+IngresosBrutos!D29*$D$73</f>
        <v>60197.77</v>
      </c>
      <c r="E29" s="45">
        <f>+IngresosBrutos!E29*$D$73</f>
        <v>63092.06</v>
      </c>
      <c r="F29" s="44">
        <f>+IngresosBrutos!F29*$D$73</f>
        <v>50237.525000000001</v>
      </c>
      <c r="G29" s="45">
        <f>+IngresosBrutos!G29*$D$73</f>
        <v>107720.965</v>
      </c>
      <c r="H29" s="44">
        <f>+IngresosBrutos!H29*$D$73</f>
        <v>107720.965</v>
      </c>
      <c r="I29" s="45">
        <f>+IngresosBrutos!I29*$D$73</f>
        <v>208392.24999999892</v>
      </c>
      <c r="J29" s="44">
        <f>+IngresosBrutos!J29*$D$73</f>
        <v>328604.7300000012</v>
      </c>
      <c r="K29" s="45">
        <f>+IngresosBrutos!K29*$D$73</f>
        <v>401866.37500000326</v>
      </c>
      <c r="L29" s="44">
        <f>+IngresosBrutos!L29*$D$73</f>
        <v>453166.94500000152</v>
      </c>
      <c r="M29" s="45">
        <f>+IngresosBrutos!M29*$D$73</f>
        <v>572541.10999999661</v>
      </c>
      <c r="N29" s="44">
        <f>+IngresosBrutos!N29*$D$73</f>
        <v>677448.53499999922</v>
      </c>
      <c r="O29" s="45">
        <f>+IngresosBrutos!O29*$D$73</f>
        <v>741342.2399999951</v>
      </c>
    </row>
    <row r="30" spans="2:15" s="32" customFormat="1" ht="9.75" customHeight="1">
      <c r="B30" s="60" t="str">
        <f>+IngresosBrutos!B30</f>
        <v>AND-Más de 70 t hasta 100 t</v>
      </c>
      <c r="C30" s="47">
        <f>+IngresosBrutos!C30*$D$73</f>
        <v>55610.581326637868</v>
      </c>
      <c r="D30" s="46">
        <f>+IngresosBrutos!D30*$D$73</f>
        <v>93122.79</v>
      </c>
      <c r="E30" s="47">
        <f>+IngresosBrutos!E30*$D$73</f>
        <v>93559.679999999993</v>
      </c>
      <c r="F30" s="46">
        <f>+IngresosBrutos!F30*$D$73</f>
        <v>106989.81499999949</v>
      </c>
      <c r="G30" s="47">
        <f>+IngresosBrutos!G30*$D$73</f>
        <v>161922.885000001</v>
      </c>
      <c r="H30" s="46">
        <f>+IngresosBrutos!H30*$D$73</f>
        <v>161922.885000001</v>
      </c>
      <c r="I30" s="47">
        <f>+IngresosBrutos!I30*$D$73</f>
        <v>100739.81000000059</v>
      </c>
      <c r="J30" s="46">
        <f>+IngresosBrutos!J30*$D$73</f>
        <v>23920.334999999999</v>
      </c>
      <c r="K30" s="47">
        <f>+IngresosBrutos!K30*$D$73</f>
        <v>34285.135000000009</v>
      </c>
      <c r="L30" s="46">
        <f>+IngresosBrutos!L30*$D$73</f>
        <v>31713.454999999998</v>
      </c>
      <c r="M30" s="47">
        <f>+IngresosBrutos!M30*$D$73</f>
        <v>47480.135000000031</v>
      </c>
      <c r="N30" s="46">
        <f>+IngresosBrutos!N30*$D$73</f>
        <v>48169.990000000034</v>
      </c>
      <c r="O30" s="47">
        <f>+IngresosBrutos!O30*$D$73</f>
        <v>87052.805000000226</v>
      </c>
    </row>
    <row r="31" spans="2:15" s="32" customFormat="1" ht="9.75" customHeight="1">
      <c r="B31" s="53" t="str">
        <f>+IngresosBrutos!B31</f>
        <v>AND-Más de 100 t</v>
      </c>
      <c r="C31" s="45">
        <f>+IngresosBrutos!C31*$D$73</f>
        <v>7601.0420468278526</v>
      </c>
      <c r="D31" s="44">
        <f>+IngresosBrutos!D31*$D$73</f>
        <v>3784.0549999999998</v>
      </c>
      <c r="E31" s="45">
        <f>+IngresosBrutos!E31*$D$73</f>
        <v>1535.91</v>
      </c>
      <c r="F31" s="44">
        <f>+IngresosBrutos!F31*$D$73</f>
        <v>10107.825000000001</v>
      </c>
      <c r="G31" s="45">
        <f>+IngresosBrutos!G31*$D$73</f>
        <v>1622.885</v>
      </c>
      <c r="H31" s="44">
        <f>+IngresosBrutos!H31*$D$73</f>
        <v>1622.885</v>
      </c>
      <c r="I31" s="45">
        <f>+IngresosBrutos!I31*$D$73</f>
        <v>1696.135</v>
      </c>
      <c r="J31" s="44">
        <f>+IngresosBrutos!J31*$D$73</f>
        <v>967.54499999999996</v>
      </c>
      <c r="K31" s="45">
        <f>+IngresosBrutos!K31*$D$73</f>
        <v>1920.9450000000002</v>
      </c>
      <c r="L31" s="44">
        <f>+IngresosBrutos!L31*$D$73</f>
        <v>1083.81</v>
      </c>
      <c r="M31" s="45">
        <f>+IngresosBrutos!M31*$D$73</f>
        <v>1020.75</v>
      </c>
      <c r="N31" s="44">
        <f>+IngresosBrutos!N31*$D$73</f>
        <v>1026.21</v>
      </c>
      <c r="O31" s="45">
        <f>+IngresosBrutos!O31*$D$73</f>
        <v>140.97999999999999</v>
      </c>
    </row>
    <row r="32" spans="2:15" s="32" customFormat="1" ht="9.75" customHeight="1">
      <c r="B32" s="60" t="str">
        <f>+IngresosBrutos!B32</f>
        <v>ANN-Hasta 10 t</v>
      </c>
      <c r="C32" s="47">
        <f>+IngresosBrutos!C32*$D$73</f>
        <v>1365.1621526535091</v>
      </c>
      <c r="D32" s="46">
        <f>+IngresosBrutos!D32*$D$73</f>
        <v>1595.885</v>
      </c>
      <c r="E32" s="47">
        <f>+IngresosBrutos!E32*$D$73</f>
        <v>1615.09</v>
      </c>
      <c r="F32" s="46">
        <f>+IngresosBrutos!F32*$D$73</f>
        <v>2810.17</v>
      </c>
      <c r="G32" s="47">
        <f>+IngresosBrutos!G32*$D$73</f>
        <v>3605.9950000000049</v>
      </c>
      <c r="H32" s="46">
        <f>+IngresosBrutos!H32*$D$73</f>
        <v>3605.9950000000049</v>
      </c>
      <c r="I32" s="47">
        <f>+IngresosBrutos!I32*$D$73</f>
        <v>3911.3749999999718</v>
      </c>
      <c r="J32" s="46">
        <f>+IngresosBrutos!J32*$D$73</f>
        <v>4002.8900000000035</v>
      </c>
      <c r="K32" s="47">
        <f>+IngresosBrutos!K32*$D$73</f>
        <v>3934.4600000000037</v>
      </c>
      <c r="L32" s="46">
        <f>+IngresosBrutos!L32*$D$73</f>
        <v>3872.0550000000053</v>
      </c>
      <c r="M32" s="47">
        <f>+IngresosBrutos!M32*$D$73</f>
        <v>3537.5150000000012</v>
      </c>
      <c r="N32" s="46">
        <f>+IngresosBrutos!N32*$D$73</f>
        <v>2844.5499999999993</v>
      </c>
      <c r="O32" s="47">
        <f>+IngresosBrutos!O32*$D$73</f>
        <v>1579.6400000000087</v>
      </c>
    </row>
    <row r="33" spans="2:15" s="32" customFormat="1" ht="9.75" customHeight="1">
      <c r="B33" s="53" t="str">
        <f>+IngresosBrutos!B33</f>
        <v>ANN-Más de 10 t hasta 35 t</v>
      </c>
      <c r="C33" s="45">
        <f>+IngresosBrutos!C33*$D$73</f>
        <v>5509.5616462587377</v>
      </c>
      <c r="D33" s="44">
        <f>+IngresosBrutos!D33*$D$73</f>
        <v>5398.79</v>
      </c>
      <c r="E33" s="45">
        <f>+IngresosBrutos!E33*$D$73</f>
        <v>7201.25</v>
      </c>
      <c r="F33" s="44">
        <f>+IngresosBrutos!F33*$D$73</f>
        <v>7490.3850000000002</v>
      </c>
      <c r="G33" s="45">
        <f>+IngresosBrutos!G33*$D$73</f>
        <v>4943.38</v>
      </c>
      <c r="H33" s="44">
        <f>+IngresosBrutos!H33*$D$73</f>
        <v>4943.38</v>
      </c>
      <c r="I33" s="45">
        <f>+IngresosBrutos!I33*$D$73</f>
        <v>6564.09</v>
      </c>
      <c r="J33" s="44">
        <f>+IngresosBrutos!J33*$D$73</f>
        <v>8734.3449999999993</v>
      </c>
      <c r="K33" s="45">
        <f>+IngresosBrutos!K33*$D$73</f>
        <v>5185.57</v>
      </c>
      <c r="L33" s="44">
        <f>+IngresosBrutos!L33*$D$73</f>
        <v>3721.6750000000002</v>
      </c>
      <c r="M33" s="45">
        <f>+IngresosBrutos!M33*$D$73</f>
        <v>5495.5200000000013</v>
      </c>
      <c r="N33" s="44">
        <f>+IngresosBrutos!N33*$D$73</f>
        <v>6142.34</v>
      </c>
      <c r="O33" s="45">
        <f>+IngresosBrutos!O33*$D$73</f>
        <v>10734.080000000013</v>
      </c>
    </row>
    <row r="34" spans="2:15" s="32" customFormat="1" ht="9.75" customHeight="1">
      <c r="B34" s="60" t="str">
        <f>+IngresosBrutos!B34</f>
        <v>ANN-Más de 35 t hasta 70 t</v>
      </c>
      <c r="C34" s="47">
        <f>+IngresosBrutos!C34*$D$73</f>
        <v>52404.968180124095</v>
      </c>
      <c r="D34" s="46">
        <f>+IngresosBrutos!D34*$D$73</f>
        <v>38066.775000000001</v>
      </c>
      <c r="E34" s="47">
        <f>+IngresosBrutos!E34*$D$73</f>
        <v>37677.870000000003</v>
      </c>
      <c r="F34" s="46">
        <f>+IngresosBrutos!F34*$D$73</f>
        <v>29061.06</v>
      </c>
      <c r="G34" s="47">
        <f>+IngresosBrutos!G34*$D$73</f>
        <v>45409.24</v>
      </c>
      <c r="H34" s="46">
        <f>+IngresosBrutos!H34*$D$73</f>
        <v>45409.24</v>
      </c>
      <c r="I34" s="47">
        <f>+IngresosBrutos!I34*$D$73</f>
        <v>144286.55000000267</v>
      </c>
      <c r="J34" s="46">
        <f>+IngresosBrutos!J34*$D$73</f>
        <v>244708.66999999704</v>
      </c>
      <c r="K34" s="47">
        <f>+IngresosBrutos!K34*$D$73</f>
        <v>266949.86999999703</v>
      </c>
      <c r="L34" s="46">
        <f>+IngresosBrutos!L34*$D$73</f>
        <v>298575.3350000034</v>
      </c>
      <c r="M34" s="47">
        <f>+IngresosBrutos!M34*$D$73</f>
        <v>400596.8999999995</v>
      </c>
      <c r="N34" s="46">
        <f>+IngresosBrutos!N34*$D$73</f>
        <v>454781.59499999828</v>
      </c>
      <c r="O34" s="47">
        <f>+IngresosBrutos!O34*$D$73</f>
        <v>452422.27499993454</v>
      </c>
    </row>
    <row r="35" spans="2:15" s="32" customFormat="1" ht="9.75" customHeight="1">
      <c r="B35" s="53" t="str">
        <f>+IngresosBrutos!B35</f>
        <v>ANN-Más de 70 t hasta 100 t</v>
      </c>
      <c r="C35" s="45">
        <f>+IngresosBrutos!C35*$D$73</f>
        <v>17941.432551553607</v>
      </c>
      <c r="D35" s="44">
        <f>+IngresosBrutos!D35*$D$73</f>
        <v>37121.615000000049</v>
      </c>
      <c r="E35" s="45">
        <f>+IngresosBrutos!E35*$D$73</f>
        <v>36510.019999999997</v>
      </c>
      <c r="F35" s="44">
        <f>+IngresosBrutos!F35*$D$73</f>
        <v>60727.764999999999</v>
      </c>
      <c r="G35" s="45">
        <f>+IngresosBrutos!G35*$D$73</f>
        <v>102028.88499999999</v>
      </c>
      <c r="H35" s="44">
        <f>+IngresosBrutos!H35*$D$73</f>
        <v>102028.88499999999</v>
      </c>
      <c r="I35" s="45">
        <f>+IngresosBrutos!I35*$D$73</f>
        <v>65108.794999998892</v>
      </c>
      <c r="J35" s="44">
        <f>+IngresosBrutos!J35*$D$73</f>
        <v>3587.42</v>
      </c>
      <c r="K35" s="45">
        <f>+IngresosBrutos!K35*$D$73</f>
        <v>6098.6250000000009</v>
      </c>
      <c r="L35" s="44">
        <f>+IngresosBrutos!L35*$D$73</f>
        <v>4016.0549999999998</v>
      </c>
      <c r="M35" s="45">
        <f>+IngresosBrutos!M35*$D$73</f>
        <v>6638.1050000000005</v>
      </c>
      <c r="N35" s="44">
        <f>+IngresosBrutos!N35*$D$73</f>
        <v>14161.199999999999</v>
      </c>
      <c r="O35" s="45">
        <f>+IngresosBrutos!O35*$D$73</f>
        <v>31465.185000000081</v>
      </c>
    </row>
    <row r="36" spans="2:15" s="32" customFormat="1" ht="9.75" customHeight="1">
      <c r="B36" s="60" t="str">
        <f>+IngresosBrutos!B36</f>
        <v>ANN-Más de 100 t</v>
      </c>
      <c r="C36" s="47">
        <f>+IngresosBrutos!C36*$D$73</f>
        <v>9748.3422367006151</v>
      </c>
      <c r="D36" s="46">
        <f>+IngresosBrutos!D36*$D$73</f>
        <v>6521.53</v>
      </c>
      <c r="E36" s="47">
        <f>+IngresosBrutos!E36*$D$73</f>
        <v>3240.11</v>
      </c>
      <c r="F36" s="46">
        <f>+IngresosBrutos!F36*$D$73</f>
        <v>5857.11</v>
      </c>
      <c r="G36" s="47">
        <f>+IngresosBrutos!G36*$D$73</f>
        <v>7094.21</v>
      </c>
      <c r="H36" s="46">
        <f>+IngresosBrutos!H36*$D$73</f>
        <v>7094.21</v>
      </c>
      <c r="I36" s="47">
        <f>+IngresosBrutos!I36*$D$73</f>
        <v>5941.08</v>
      </c>
      <c r="J36" s="46">
        <f>+IngresosBrutos!J36*$D$73</f>
        <v>1471.08</v>
      </c>
      <c r="K36" s="47">
        <f>+IngresosBrutos!K36*$D$73</f>
        <v>2758.2749999999996</v>
      </c>
      <c r="L36" s="46">
        <f>+IngresosBrutos!L36*$D$73</f>
        <v>1986.5349999999999</v>
      </c>
      <c r="M36" s="47">
        <f>+IngresosBrutos!M36*$D$73</f>
        <v>4294.8499999999995</v>
      </c>
      <c r="N36" s="46">
        <f>+IngresosBrutos!N36*$D$73</f>
        <v>4110.99</v>
      </c>
      <c r="O36" s="47">
        <f>+IngresosBrutos!O36*$D$73</f>
        <v>699.34</v>
      </c>
    </row>
    <row r="37" spans="2:15" s="32" customFormat="1" ht="9.75" customHeight="1">
      <c r="B37" s="53" t="str">
        <f>+IngresosBrutos!B37</f>
        <v>DND-Hasta 10 t</v>
      </c>
      <c r="C37" s="45">
        <f>+IngresosBrutos!C37*$D$73</f>
        <v>6376.0427409335898</v>
      </c>
      <c r="D37" s="44">
        <f>+IngresosBrutos!D37*$D$73</f>
        <v>7893.03</v>
      </c>
      <c r="E37" s="45">
        <f>+IngresosBrutos!E37*$D$73</f>
        <v>7263.51</v>
      </c>
      <c r="F37" s="44">
        <f>+IngresosBrutos!F37*$D$73</f>
        <v>13543.190000000101</v>
      </c>
      <c r="G37" s="45">
        <f>+IngresosBrutos!G37*$D$73</f>
        <v>13174.595000000099</v>
      </c>
      <c r="H37" s="44">
        <f>+IngresosBrutos!H37*$D$73</f>
        <v>13174.595000000099</v>
      </c>
      <c r="I37" s="45">
        <f>+IngresosBrutos!I37*$D$73</f>
        <v>16717.944999999039</v>
      </c>
      <c r="J37" s="44">
        <f>+IngresosBrutos!J37*$D$73</f>
        <v>17699.880000000117</v>
      </c>
      <c r="K37" s="45">
        <f>+IngresosBrutos!K37*$D$73</f>
        <v>18243.100000000097</v>
      </c>
      <c r="L37" s="44">
        <f>+IngresosBrutos!L37*$D$73</f>
        <v>19250.98000000008</v>
      </c>
      <c r="M37" s="45">
        <f>+IngresosBrutos!M37*$D$73</f>
        <v>20172.935000000143</v>
      </c>
      <c r="N37" s="44">
        <f>+IngresosBrutos!N37*$D$73</f>
        <v>16040.700000000044</v>
      </c>
      <c r="O37" s="45">
        <f>+IngresosBrutos!O37*$D$73</f>
        <v>12179.609999999202</v>
      </c>
    </row>
    <row r="38" spans="2:15" s="32" customFormat="1" ht="9.75" customHeight="1">
      <c r="B38" s="60" t="str">
        <f>+IngresosBrutos!B38</f>
        <v>DND-Más de 10 t hasta 35 t</v>
      </c>
      <c r="C38" s="47">
        <f>+IngresosBrutos!C38*$D$73</f>
        <v>20806.57579202974</v>
      </c>
      <c r="D38" s="46">
        <f>+IngresosBrutos!D38*$D$73</f>
        <v>21056.09</v>
      </c>
      <c r="E38" s="47">
        <f>+IngresosBrutos!E38*$D$73</f>
        <v>28484.505000000048</v>
      </c>
      <c r="F38" s="46">
        <f>+IngresosBrutos!F38*$D$73</f>
        <v>23558.23</v>
      </c>
      <c r="G38" s="47">
        <f>+IngresosBrutos!G38*$D$73</f>
        <v>20969.849999999999</v>
      </c>
      <c r="H38" s="46">
        <f>+IngresosBrutos!H38*$D$73</f>
        <v>20969.849999999999</v>
      </c>
      <c r="I38" s="47">
        <f>+IngresosBrutos!I38*$D$73</f>
        <v>26334.285000000047</v>
      </c>
      <c r="J38" s="46">
        <f>+IngresosBrutos!J38*$D$73</f>
        <v>42502.325000000114</v>
      </c>
      <c r="K38" s="47">
        <f>+IngresosBrutos!K38*$D$73</f>
        <v>30527.915000000048</v>
      </c>
      <c r="L38" s="46">
        <f>+IngresosBrutos!L38*$D$73</f>
        <v>24108.469999999998</v>
      </c>
      <c r="M38" s="47">
        <f>+IngresosBrutos!M38*$D$73</f>
        <v>30159.019999999942</v>
      </c>
      <c r="N38" s="46">
        <f>+IngresosBrutos!N38*$D$73</f>
        <v>35361.909999999902</v>
      </c>
      <c r="O38" s="47">
        <f>+IngresosBrutos!O38*$D$73</f>
        <v>65918.394999997588</v>
      </c>
    </row>
    <row r="39" spans="2:15" s="32" customFormat="1" ht="9.75" customHeight="1">
      <c r="B39" s="53" t="str">
        <f>+IngresosBrutos!B39</f>
        <v>DND-Más de 35 t hasta 70 t</v>
      </c>
      <c r="C39" s="45">
        <f>+IngresosBrutos!C39*$D$73</f>
        <v>130972.03022544415</v>
      </c>
      <c r="D39" s="44">
        <f>+IngresosBrutos!D39*$D$73</f>
        <v>87287.014999999505</v>
      </c>
      <c r="E39" s="45">
        <f>+IngresosBrutos!E39*$D$73</f>
        <v>89080.339999999502</v>
      </c>
      <c r="F39" s="44">
        <f>+IngresosBrutos!F39*$D$73</f>
        <v>63114.62</v>
      </c>
      <c r="G39" s="45">
        <f>+IngresosBrutos!G39*$D$73</f>
        <v>128484.02000000002</v>
      </c>
      <c r="H39" s="44">
        <f>+IngresosBrutos!H39*$D$73</f>
        <v>128484.02000000002</v>
      </c>
      <c r="I39" s="45">
        <f>+IngresosBrutos!I39*$D$73</f>
        <v>299973.35000000196</v>
      </c>
      <c r="J39" s="44">
        <f>+IngresosBrutos!J39*$D$73</f>
        <v>389920.99000000296</v>
      </c>
      <c r="K39" s="45">
        <f>+IngresosBrutos!K39*$D$73</f>
        <v>404422.39000000304</v>
      </c>
      <c r="L39" s="44">
        <f>+IngresosBrutos!L39*$D$73</f>
        <v>453805.05500000191</v>
      </c>
      <c r="M39" s="45">
        <f>+IngresosBrutos!M39*$D$73</f>
        <v>599921.24499999627</v>
      </c>
      <c r="N39" s="44">
        <f>+IngresosBrutos!N39*$D$73</f>
        <v>793605.08499999938</v>
      </c>
      <c r="O39" s="45">
        <f>+IngresosBrutos!O39*$D$73</f>
        <v>860298.00000000256</v>
      </c>
    </row>
    <row r="40" spans="2:15" s="32" customFormat="1" ht="9.75" customHeight="1">
      <c r="B40" s="60" t="str">
        <f>+IngresosBrutos!B40</f>
        <v>DND-Más de 70 t hasta 100 t</v>
      </c>
      <c r="C40" s="47">
        <f>+IngresosBrutos!C40*$D$73</f>
        <v>63016.962711339176</v>
      </c>
      <c r="D40" s="46">
        <f>+IngresosBrutos!D40*$D$73</f>
        <v>114523.1699999995</v>
      </c>
      <c r="E40" s="47">
        <f>+IngresosBrutos!E40*$D$73</f>
        <v>107057.0549999995</v>
      </c>
      <c r="F40" s="46">
        <f>+IngresosBrutos!F40*$D$73</f>
        <v>129303.23499999949</v>
      </c>
      <c r="G40" s="47">
        <f>+IngresosBrutos!G40*$D$73</f>
        <v>185271.8650000015</v>
      </c>
      <c r="H40" s="46">
        <f>+IngresosBrutos!H40*$D$73</f>
        <v>185271.8650000015</v>
      </c>
      <c r="I40" s="47">
        <f>+IngresosBrutos!I40*$D$73</f>
        <v>156201.59500000198</v>
      </c>
      <c r="J40" s="46">
        <f>+IngresosBrutos!J40*$D$73</f>
        <v>25766.105</v>
      </c>
      <c r="K40" s="47">
        <f>+IngresosBrutos!K40*$D$73</f>
        <v>30923.270000000004</v>
      </c>
      <c r="L40" s="46">
        <f>+IngresosBrutos!L40*$D$73</f>
        <v>27025.52</v>
      </c>
      <c r="M40" s="47">
        <f>+IngresosBrutos!M40*$D$73</f>
        <v>46688.260000000053</v>
      </c>
      <c r="N40" s="46">
        <f>+IngresosBrutos!N40*$D$73</f>
        <v>55124.53500000004</v>
      </c>
      <c r="O40" s="47">
        <f>+IngresosBrutos!O40*$D$73</f>
        <v>96736.600000000835</v>
      </c>
    </row>
    <row r="41" spans="2:15" s="32" customFormat="1" ht="9.75" customHeight="1">
      <c r="B41" s="53" t="str">
        <f>+IngresosBrutos!B41</f>
        <v>DND-Más de 100 t</v>
      </c>
      <c r="C41" s="45">
        <f>+IngresosBrutos!C41*$D$73</f>
        <v>11514.91953449098</v>
      </c>
      <c r="D41" s="44">
        <f>+IngresosBrutos!D41*$D$73</f>
        <v>6466.04</v>
      </c>
      <c r="E41" s="45">
        <f>+IngresosBrutos!E41*$D$73</f>
        <v>2435.71</v>
      </c>
      <c r="F41" s="44">
        <f>+IngresosBrutos!F41*$D$73</f>
        <v>13287.375</v>
      </c>
      <c r="G41" s="45">
        <f>+IngresosBrutos!G41*$D$73</f>
        <v>5536.0150000000003</v>
      </c>
      <c r="H41" s="44">
        <f>+IngresosBrutos!H41*$D$73</f>
        <v>5536.0150000000003</v>
      </c>
      <c r="I41" s="45">
        <f>+IngresosBrutos!I41*$D$73</f>
        <v>2336.67</v>
      </c>
      <c r="J41" s="44">
        <f>+IngresosBrutos!J41*$D$73</f>
        <v>1923.4449999999999</v>
      </c>
      <c r="K41" s="45">
        <f>+IngresosBrutos!K41*$D$73</f>
        <v>3361.9400000000005</v>
      </c>
      <c r="L41" s="44">
        <f>+IngresosBrutos!L41*$D$73</f>
        <v>2416.3900000000003</v>
      </c>
      <c r="M41" s="45">
        <f>+IngresosBrutos!M41*$D$73</f>
        <v>4583.57</v>
      </c>
      <c r="N41" s="44">
        <f>+IngresosBrutos!N41*$D$73</f>
        <v>2217.79</v>
      </c>
      <c r="O41" s="45">
        <f>+IngresosBrutos!O41*$D$73</f>
        <v>456.85500000000002</v>
      </c>
    </row>
    <row r="42" spans="2:15" s="32" customFormat="1" ht="9.75" customHeight="1">
      <c r="B42" s="60" t="str">
        <f>+IngresosBrutos!B42</f>
        <v>DNN-Hasta 10 t</v>
      </c>
      <c r="C42" s="47">
        <f>+IngresosBrutos!C42*$D$73</f>
        <v>1020.5694804415115</v>
      </c>
      <c r="D42" s="46">
        <f>+IngresosBrutos!D42*$D$73</f>
        <v>941.34500000000003</v>
      </c>
      <c r="E42" s="47">
        <f>+IngresosBrutos!E42*$D$73</f>
        <v>1130.645</v>
      </c>
      <c r="F42" s="46">
        <f>+IngresosBrutos!F42*$D$73</f>
        <v>2430.5050000000001</v>
      </c>
      <c r="G42" s="47">
        <f>+IngresosBrutos!G42*$D$73</f>
        <v>2590.3150000000001</v>
      </c>
      <c r="H42" s="46">
        <f>+IngresosBrutos!H42*$D$73</f>
        <v>2590.3150000000001</v>
      </c>
      <c r="I42" s="47">
        <f>+IngresosBrutos!I42*$D$73</f>
        <v>3072.43</v>
      </c>
      <c r="J42" s="46">
        <f>+IngresosBrutos!J42*$D$73</f>
        <v>3748.720000000003</v>
      </c>
      <c r="K42" s="47">
        <f>+IngresosBrutos!K42*$D$73</f>
        <v>3144.6699999999996</v>
      </c>
      <c r="L42" s="46">
        <f>+IngresosBrutos!L42*$D$73</f>
        <v>4371.1550000000061</v>
      </c>
      <c r="M42" s="47">
        <f>+IngresosBrutos!M42*$D$73</f>
        <v>3597.7500000000023</v>
      </c>
      <c r="N42" s="46">
        <f>+IngresosBrutos!N42*$D$73</f>
        <v>1875.8399999999988</v>
      </c>
      <c r="O42" s="47">
        <f>+IngresosBrutos!O42*$D$73</f>
        <v>496.57000000000136</v>
      </c>
    </row>
    <row r="43" spans="2:15" s="32" customFormat="1" ht="9.75" customHeight="1">
      <c r="B43" s="53" t="str">
        <f>+IngresosBrutos!B43</f>
        <v>DNN-Más de 10 t hasta 35 t</v>
      </c>
      <c r="C43" s="45">
        <f>+IngresosBrutos!C43*$D$73</f>
        <v>1344.3186568181977</v>
      </c>
      <c r="D43" s="44">
        <f>+IngresosBrutos!D43*$D$73</f>
        <v>1364.19</v>
      </c>
      <c r="E43" s="45">
        <f>+IngresosBrutos!E43*$D$73</f>
        <v>1404.96</v>
      </c>
      <c r="F43" s="44">
        <f>+IngresosBrutos!F43*$D$73</f>
        <v>2908.6</v>
      </c>
      <c r="G43" s="45">
        <f>+IngresosBrutos!G43*$D$73</f>
        <v>1550.0150000000001</v>
      </c>
      <c r="H43" s="44">
        <f>+IngresosBrutos!H43*$D$73</f>
        <v>1550.0150000000001</v>
      </c>
      <c r="I43" s="45">
        <f>+IngresosBrutos!I43*$D$73</f>
        <v>2098.9250000000052</v>
      </c>
      <c r="J43" s="44">
        <f>+IngresosBrutos!J43*$D$73</f>
        <v>2259.4250000000002</v>
      </c>
      <c r="K43" s="45">
        <f>+IngresosBrutos!K43*$D$73</f>
        <v>1709.355</v>
      </c>
      <c r="L43" s="44">
        <f>+IngresosBrutos!L43*$D$73</f>
        <v>405.73999999999995</v>
      </c>
      <c r="M43" s="45">
        <f>+IngresosBrutos!M43*$D$73</f>
        <v>567.005</v>
      </c>
      <c r="N43" s="44">
        <f>+IngresosBrutos!N43*$D$73</f>
        <v>430.84000000000003</v>
      </c>
      <c r="O43" s="45">
        <f>+IngresosBrutos!O43*$D$73</f>
        <v>6682.1699999999983</v>
      </c>
    </row>
    <row r="44" spans="2:15" s="32" customFormat="1" ht="9.75" customHeight="1">
      <c r="B44" s="60" t="str">
        <f>+IngresosBrutos!B44</f>
        <v>DNN-Más de 35 t hasta 70 t</v>
      </c>
      <c r="C44" s="47">
        <f>+IngresosBrutos!C44*$D$73</f>
        <v>11069.425521112234</v>
      </c>
      <c r="D44" s="46">
        <f>+IngresosBrutos!D44*$D$73</f>
        <v>6761.9250000000002</v>
      </c>
      <c r="E44" s="47">
        <f>+IngresosBrutos!E44*$D$73</f>
        <v>7873.7349999999997</v>
      </c>
      <c r="F44" s="46">
        <f>+IngresosBrutos!F44*$D$73</f>
        <v>14142.12</v>
      </c>
      <c r="G44" s="47">
        <f>+IngresosBrutos!G44*$D$73</f>
        <v>21403.57</v>
      </c>
      <c r="H44" s="46">
        <f>+IngresosBrutos!H44*$D$73</f>
        <v>21403.57</v>
      </c>
      <c r="I44" s="47">
        <f>+IngresosBrutos!I44*$D$73</f>
        <v>86430.884999999689</v>
      </c>
      <c r="J44" s="46">
        <f>+IngresosBrutos!J44*$D$73</f>
        <v>174373.79999999874</v>
      </c>
      <c r="K44" s="47">
        <f>+IngresosBrutos!K44*$D$73</f>
        <v>263947.17999999714</v>
      </c>
      <c r="L44" s="46">
        <f>+IngresosBrutos!L44*$D$73</f>
        <v>297591.46500000369</v>
      </c>
      <c r="M44" s="47">
        <f>+IngresosBrutos!M44*$D$73</f>
        <v>371365.5199999988</v>
      </c>
      <c r="N44" s="46">
        <f>+IngresosBrutos!N44*$D$73</f>
        <v>323763.50499999925</v>
      </c>
      <c r="O44" s="47">
        <f>+IngresosBrutos!O44*$D$73</f>
        <v>314277.6299999677</v>
      </c>
    </row>
    <row r="45" spans="2:15" s="32" customFormat="1" ht="9.75" customHeight="1">
      <c r="B45" s="53" t="str">
        <f>+IngresosBrutos!B45</f>
        <v>DNN-Más de 70 t hasta 100 t</v>
      </c>
      <c r="C45" s="45">
        <f>+IngresosBrutos!C45*$D$73</f>
        <v>9194.2391019161078</v>
      </c>
      <c r="D45" s="44">
        <f>+IngresosBrutos!D45*$D$73</f>
        <v>11377.73</v>
      </c>
      <c r="E45" s="45">
        <f>+IngresosBrutos!E45*$D$73</f>
        <v>18143.264999999999</v>
      </c>
      <c r="F45" s="44">
        <f>+IngresosBrutos!F45*$D$73</f>
        <v>29259.125</v>
      </c>
      <c r="G45" s="45">
        <f>+IngresosBrutos!G45*$D$73</f>
        <v>66249.09</v>
      </c>
      <c r="H45" s="44">
        <f>+IngresosBrutos!H45*$D$73</f>
        <v>66249.09</v>
      </c>
      <c r="I45" s="45">
        <f>+IngresosBrutos!I45*$D$73</f>
        <v>47005.789999999346</v>
      </c>
      <c r="J45" s="44">
        <f>+IngresosBrutos!J45*$D$73</f>
        <v>1347.365</v>
      </c>
      <c r="K45" s="45">
        <f>+IngresosBrutos!K45*$D$73</f>
        <v>9905.9850000000006</v>
      </c>
      <c r="L45" s="44">
        <f>+IngresosBrutos!L45*$D$73</f>
        <v>9021.4750000000022</v>
      </c>
      <c r="M45" s="45">
        <f>+IngresosBrutos!M45*$D$73</f>
        <v>7547.2649999999994</v>
      </c>
      <c r="N45" s="44">
        <f>+IngresosBrutos!N45*$D$73</f>
        <v>5936.8949999999995</v>
      </c>
      <c r="O45" s="45">
        <f>+IngresosBrutos!O45*$D$73</f>
        <v>20516.345000000059</v>
      </c>
    </row>
    <row r="46" spans="2:15" s="32" customFormat="1" ht="9.75" customHeight="1">
      <c r="B46" s="60" t="str">
        <f>+IngresosBrutos!B46</f>
        <v>DNN-Más de 100 t</v>
      </c>
      <c r="C46" s="47">
        <f>+IngresosBrutos!C46*$D$73</f>
        <v>4235.8733680988153</v>
      </c>
      <c r="D46" s="46">
        <f>+IngresosBrutos!D46*$D$73</f>
        <v>3581.52</v>
      </c>
      <c r="E46" s="47">
        <f>+IngresosBrutos!E46*$D$73</f>
        <v>3971.66</v>
      </c>
      <c r="F46" s="46">
        <f>+IngresosBrutos!F46*$D$73</f>
        <v>2450.08</v>
      </c>
      <c r="G46" s="47">
        <f>+IngresosBrutos!G46*$D$73</f>
        <v>3791.48</v>
      </c>
      <c r="H46" s="46">
        <f>+IngresosBrutos!H46*$D$73</f>
        <v>3791.48</v>
      </c>
      <c r="I46" s="47">
        <f>+IngresosBrutos!I46*$D$73</f>
        <v>8702.6550000000007</v>
      </c>
      <c r="J46" s="46">
        <f>+IngresosBrutos!J46*$D$73</f>
        <v>6068.2049999999999</v>
      </c>
      <c r="K46" s="47">
        <f>+IngresosBrutos!K46*$D$73</f>
        <v>9931.9750000000004</v>
      </c>
      <c r="L46" s="46">
        <f>+IngresosBrutos!L46*$D$73</f>
        <v>7046.79</v>
      </c>
      <c r="M46" s="47">
        <f>+IngresosBrutos!M46*$D$73</f>
        <v>7606.0199999999995</v>
      </c>
      <c r="N46" s="46">
        <f>+IngresosBrutos!N46*$D$73</f>
        <v>6463.7649999999994</v>
      </c>
      <c r="O46" s="47">
        <f>+IngresosBrutos!O46*$D$73</f>
        <v>174.83500000000001</v>
      </c>
    </row>
    <row r="47" spans="2:15" s="32" customFormat="1" ht="9.75" customHeight="1">
      <c r="B47" s="53" t="str">
        <f>+IngresosBrutos!B47</f>
        <v>Parking Internacional</v>
      </c>
      <c r="C47" s="63">
        <v>0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</row>
    <row r="48" spans="2:15" s="32" customFormat="1" ht="9.75" customHeight="1">
      <c r="B48" s="60" t="str">
        <f>+IngresosBrutos!B48</f>
        <v>Parking Nacional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64">
        <v>0</v>
      </c>
    </row>
    <row r="49" spans="2:15" s="32" customFormat="1" ht="9.75" customHeight="1">
      <c r="B49" s="53" t="str">
        <f>+IngresosBrutos!B49</f>
        <v>Boarding Bridges (PLB)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</row>
    <row r="50" spans="2:15" s="32" customFormat="1" ht="9.75" customHeight="1">
      <c r="B50" s="60" t="str">
        <f>+IngresosBrutos!B50</f>
        <v>Cargo</v>
      </c>
      <c r="C50" s="64">
        <v>0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64">
        <v>0</v>
      </c>
      <c r="N50" s="64">
        <v>0</v>
      </c>
      <c r="O50" s="64">
        <v>0</v>
      </c>
    </row>
    <row r="51" spans="2:15" s="32" customFormat="1" ht="9.75" customHeight="1">
      <c r="B51" s="53" t="str">
        <f>+IngresosBrutos!B51</f>
        <v>Ground Handling</v>
      </c>
      <c r="C51" s="63">
        <v>0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</row>
    <row r="52" spans="2:15" s="32" customFormat="1" ht="9.75" customHeight="1">
      <c r="B52" s="60" t="str">
        <f>+IngresosBrutos!B52</f>
        <v>Catering</v>
      </c>
      <c r="C52" s="64">
        <v>0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4">
        <v>0</v>
      </c>
      <c r="N52" s="64">
        <v>0</v>
      </c>
      <c r="O52" s="64">
        <v>0</v>
      </c>
    </row>
    <row r="53" spans="2:15" s="32" customFormat="1" ht="9.75" customHeight="1">
      <c r="B53" s="53" t="str">
        <f>+IngresosBrutos!B53</f>
        <v>Fuel</v>
      </c>
      <c r="C53" s="63">
        <v>0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</row>
    <row r="54" spans="2:15" s="32" customFormat="1" ht="9.75" customHeight="1">
      <c r="B54" s="60" t="str">
        <f>+IngresosBrutos!B54</f>
        <v>Parking Lot</v>
      </c>
      <c r="C54" s="64">
        <v>0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64">
        <v>0</v>
      </c>
      <c r="N54" s="64">
        <v>0</v>
      </c>
      <c r="O54" s="64">
        <v>0</v>
      </c>
    </row>
    <row r="55" spans="2:15" s="32" customFormat="1" ht="9.75" customHeight="1">
      <c r="B55" s="53" t="str">
        <f>+IngresosBrutos!B55</f>
        <v>Counter - Terminal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63">
        <v>0</v>
      </c>
      <c r="O55" s="63">
        <v>0</v>
      </c>
    </row>
    <row r="56" spans="2:15" s="32" customFormat="1" ht="9.75" customHeight="1">
      <c r="B56" s="60" t="str">
        <f>+IngresosBrutos!B56</f>
        <v>Oficinas - Terminal</v>
      </c>
      <c r="C56" s="64">
        <v>0</v>
      </c>
      <c r="D56" s="64">
        <v>0</v>
      </c>
      <c r="E56" s="64">
        <v>0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4">
        <v>0</v>
      </c>
      <c r="O56" s="64">
        <v>0</v>
      </c>
    </row>
    <row r="57" spans="2:15" s="32" customFormat="1" ht="9.75" customHeight="1">
      <c r="B57" s="53" t="str">
        <f>+IngresosBrutos!B57</f>
        <v>Oficinas - Fuera Terminal</v>
      </c>
      <c r="C57" s="63">
        <v>0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</row>
    <row r="58" spans="2:15" s="32" customFormat="1" ht="9.75" customHeight="1">
      <c r="B58" s="60" t="str">
        <f>+IngresosBrutos!B58</f>
        <v xml:space="preserve">Almacen </v>
      </c>
      <c r="C58" s="64">
        <v>0</v>
      </c>
      <c r="D58" s="64">
        <v>0</v>
      </c>
      <c r="E58" s="64">
        <v>0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64">
        <v>0</v>
      </c>
      <c r="N58" s="64">
        <v>0</v>
      </c>
      <c r="O58" s="64">
        <v>0</v>
      </c>
    </row>
    <row r="59" spans="2:15" s="32" customFormat="1" ht="9.75" customHeight="1">
      <c r="B59" s="53" t="str">
        <f>+IngresosBrutos!B59</f>
        <v>Talleres</v>
      </c>
      <c r="C59" s="63">
        <v>0</v>
      </c>
      <c r="D59" s="63">
        <v>0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63">
        <v>0</v>
      </c>
      <c r="N59" s="63">
        <v>0</v>
      </c>
      <c r="O59" s="63">
        <v>0</v>
      </c>
    </row>
    <row r="60" spans="2:15" s="32" customFormat="1" ht="9.75" customHeight="1">
      <c r="B60" s="60" t="str">
        <f>+IngresosBrutos!B60</f>
        <v>Terrenos</v>
      </c>
      <c r="C60" s="64">
        <v>0</v>
      </c>
      <c r="D60" s="64">
        <v>0</v>
      </c>
      <c r="E60" s="64">
        <v>0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64">
        <v>0</v>
      </c>
      <c r="O60" s="64">
        <v>0</v>
      </c>
    </row>
    <row r="61" spans="2:15" s="32" customFormat="1" ht="9.75" customHeight="1">
      <c r="B61" s="53" t="str">
        <f>+IngresosBrutos!B61</f>
        <v>Bancos</v>
      </c>
      <c r="C61" s="63">
        <v>0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</row>
    <row r="62" spans="2:15" s="32" customFormat="1" ht="9.75" customHeight="1">
      <c r="B62" s="60" t="str">
        <f>+IngresosBrutos!B62</f>
        <v xml:space="preserve">Arrendamiento de locales </v>
      </c>
      <c r="C62" s="64">
        <v>0</v>
      </c>
      <c r="D62" s="64">
        <v>0</v>
      </c>
      <c r="E62" s="64">
        <v>0</v>
      </c>
      <c r="F62" s="64">
        <v>0</v>
      </c>
      <c r="G62" s="64">
        <v>0</v>
      </c>
      <c r="H62" s="64">
        <v>0</v>
      </c>
      <c r="I62" s="64">
        <v>0</v>
      </c>
      <c r="J62" s="64">
        <v>0</v>
      </c>
      <c r="K62" s="64">
        <v>0</v>
      </c>
      <c r="L62" s="64">
        <v>0</v>
      </c>
      <c r="M62" s="64">
        <v>0</v>
      </c>
      <c r="N62" s="64">
        <v>0</v>
      </c>
      <c r="O62" s="64">
        <v>0</v>
      </c>
    </row>
    <row r="63" spans="2:15" s="32" customFormat="1" ht="9.75" customHeight="1">
      <c r="B63" s="53" t="str">
        <f>+IngresosBrutos!B63</f>
        <v>Tiendas Comerciales</v>
      </c>
      <c r="C63" s="63">
        <v>0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v>0</v>
      </c>
      <c r="M63" s="63">
        <v>0</v>
      </c>
      <c r="N63" s="63">
        <v>0</v>
      </c>
      <c r="O63" s="63">
        <v>0</v>
      </c>
    </row>
    <row r="64" spans="2:15" s="32" customFormat="1" ht="9.75" customHeight="1">
      <c r="B64" s="60" t="str">
        <f>+IngresosBrutos!B64</f>
        <v>Duty Free</v>
      </c>
      <c r="C64" s="64">
        <v>0</v>
      </c>
      <c r="D64" s="64">
        <v>0</v>
      </c>
      <c r="E64" s="64">
        <v>0</v>
      </c>
      <c r="F64" s="64">
        <v>0</v>
      </c>
      <c r="G64" s="64">
        <v>0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64">
        <v>0</v>
      </c>
      <c r="N64" s="64">
        <v>0</v>
      </c>
      <c r="O64" s="64">
        <v>0</v>
      </c>
    </row>
    <row r="65" spans="1:16" s="32" customFormat="1" ht="9.75" customHeight="1">
      <c r="B65" s="53" t="str">
        <f>+IngresosBrutos!B65</f>
        <v>Comidas y bebidas</v>
      </c>
      <c r="C65" s="63">
        <v>0</v>
      </c>
      <c r="D65" s="63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0</v>
      </c>
      <c r="M65" s="63">
        <v>0</v>
      </c>
      <c r="N65" s="63">
        <v>0</v>
      </c>
      <c r="O65" s="63">
        <v>0</v>
      </c>
    </row>
    <row r="66" spans="1:16" s="32" customFormat="1" ht="9.75" customHeight="1">
      <c r="B66" s="60" t="str">
        <f>+IngresosBrutos!B66</f>
        <v>Transporte terrestre de pasajeros</v>
      </c>
      <c r="C66" s="64">
        <v>0</v>
      </c>
      <c r="D66" s="64">
        <v>0</v>
      </c>
      <c r="E66" s="64">
        <v>0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v>0</v>
      </c>
      <c r="L66" s="64">
        <v>0</v>
      </c>
      <c r="M66" s="64">
        <v>0</v>
      </c>
      <c r="N66" s="64">
        <v>0</v>
      </c>
      <c r="O66" s="64">
        <v>0</v>
      </c>
    </row>
    <row r="67" spans="1:16" s="32" customFormat="1" ht="9.75" customHeight="1">
      <c r="B67" s="53" t="str">
        <f>+IngresosBrutos!B67</f>
        <v>Publicidad</v>
      </c>
      <c r="C67" s="63">
        <v>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</row>
    <row r="68" spans="1:16" s="32" customFormat="1" ht="9.75" customHeight="1">
      <c r="B68" s="60" t="str">
        <f>+IngresosBrutos!B68</f>
        <v>Otros Comerciales</v>
      </c>
      <c r="C68" s="64">
        <v>0</v>
      </c>
      <c r="D68" s="64">
        <v>0</v>
      </c>
      <c r="E68" s="64">
        <v>0</v>
      </c>
      <c r="F68" s="64">
        <v>0</v>
      </c>
      <c r="G68" s="64">
        <v>0</v>
      </c>
      <c r="H68" s="64">
        <v>0</v>
      </c>
      <c r="I68" s="64">
        <v>0</v>
      </c>
      <c r="J68" s="64">
        <v>0</v>
      </c>
      <c r="K68" s="64">
        <v>0</v>
      </c>
      <c r="L68" s="64">
        <v>0</v>
      </c>
      <c r="M68" s="64">
        <v>0</v>
      </c>
      <c r="N68" s="64">
        <v>0</v>
      </c>
      <c r="O68" s="64">
        <v>0</v>
      </c>
    </row>
    <row r="69" spans="1:16" s="1" customFormat="1" ht="9.75" thickBot="1">
      <c r="A69" s="3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11"/>
    </row>
    <row r="70" spans="1:16" s="32" customFormat="1" ht="9.75" customHeight="1" thickTop="1">
      <c r="B70" s="39" t="s">
        <v>416</v>
      </c>
    </row>
    <row r="71" spans="1:16" s="32" customFormat="1" ht="9.75" customHeight="1">
      <c r="B71" s="39"/>
    </row>
    <row r="72" spans="1:16" s="32" customFormat="1" ht="9.75" customHeight="1" thickBot="1">
      <c r="B72" s="58"/>
      <c r="C72" s="52" t="s">
        <v>25</v>
      </c>
      <c r="D72" s="52" t="s">
        <v>26</v>
      </c>
    </row>
    <row r="73" spans="1:16" s="32" customFormat="1" ht="9.75" customHeight="1" thickTop="1">
      <c r="B73" s="59" t="s">
        <v>27</v>
      </c>
      <c r="C73" s="54">
        <v>0.2</v>
      </c>
      <c r="D73" s="54">
        <v>0.5</v>
      </c>
    </row>
  </sheetData>
  <mergeCells count="1">
    <mergeCell ref="E2:H2"/>
  </mergeCells>
  <hyperlinks>
    <hyperlink ref="E2:H2" location="Indice!D3" display="ÍNDICE"/>
  </hyperlinks>
  <pageMargins left="0.7" right="0.7" top="0.75" bottom="0.75" header="0.3" footer="0.3"/>
  <pageSetup orientation="portrait" r:id="rId1"/>
  <ignoredErrors>
    <ignoredError sqref="I4:O4 C4:F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>
    <tabColor rgb="FF00B050"/>
  </sheetPr>
  <dimension ref="A1:O75"/>
  <sheetViews>
    <sheetView showGridLines="0" workbookViewId="0">
      <selection activeCell="E2" sqref="E2:H2"/>
    </sheetView>
  </sheetViews>
  <sheetFormatPr baseColWidth="10" defaultRowHeight="9.75" customHeight="1"/>
  <cols>
    <col min="1" max="1" width="14.140625" style="32" customWidth="1"/>
    <col min="2" max="2" width="19.140625" style="32" customWidth="1"/>
    <col min="3" max="15" width="7.7109375" style="32" customWidth="1"/>
    <col min="16" max="16" width="11.42578125" style="32"/>
    <col min="17" max="20" width="7.140625" style="32" customWidth="1"/>
    <col min="21" max="16384" width="11.42578125" style="32"/>
  </cols>
  <sheetData>
    <row r="1" spans="2:15" ht="9.75" customHeight="1">
      <c r="B1" s="37" t="s">
        <v>337</v>
      </c>
    </row>
    <row r="2" spans="2:15" ht="9.75" customHeight="1">
      <c r="B2" s="38" t="s">
        <v>393</v>
      </c>
      <c r="E2" s="444" t="s">
        <v>555</v>
      </c>
      <c r="F2" s="444"/>
      <c r="G2" s="444"/>
      <c r="H2" s="444"/>
    </row>
    <row r="4" spans="2:15" ht="9.75" customHeight="1" thickBot="1">
      <c r="B4" s="42" t="s">
        <v>374</v>
      </c>
      <c r="C4" s="42" t="s">
        <v>380</v>
      </c>
      <c r="D4" s="42" t="s">
        <v>381</v>
      </c>
      <c r="E4" s="42" t="s">
        <v>382</v>
      </c>
      <c r="F4" s="42" t="s">
        <v>383</v>
      </c>
      <c r="G4" s="49" t="s">
        <v>469</v>
      </c>
      <c r="H4" s="88">
        <v>2005</v>
      </c>
      <c r="I4" s="42" t="s">
        <v>384</v>
      </c>
      <c r="J4" s="42" t="s">
        <v>385</v>
      </c>
      <c r="K4" s="42" t="s">
        <v>386</v>
      </c>
      <c r="L4" s="42" t="s">
        <v>387</v>
      </c>
      <c r="M4" s="42" t="s">
        <v>388</v>
      </c>
      <c r="N4" s="42" t="s">
        <v>389</v>
      </c>
      <c r="O4" s="43" t="s">
        <v>390</v>
      </c>
    </row>
    <row r="5" spans="2:15" ht="9.75" customHeight="1" thickTop="1">
      <c r="B5" s="53" t="str">
        <f>+IngresosBrutos!B5</f>
        <v>Terminal - International (TUUA)</v>
      </c>
      <c r="C5" s="63">
        <f>+$C$75*(IngresosBrutos!C5-PagoCorpac!C5)</f>
        <v>8567413.4510676581</v>
      </c>
      <c r="D5" s="63">
        <f>+$C$75*(IngresosBrutos!D5-PagoCorpac!D5)</f>
        <v>9006949.7124443203</v>
      </c>
      <c r="E5" s="63">
        <f>+$C$75*(IngresosBrutos!E5-PagoCorpac!E5)</f>
        <v>10214679.350199681</v>
      </c>
      <c r="F5" s="63">
        <f>+$C$75*(IngresosBrutos!F5-PagoCorpac!F5)</f>
        <v>11418850.1783252</v>
      </c>
      <c r="G5" s="63">
        <f>+$C$75*(IngresosBrutos!G5-PagoCorpac!G5)</f>
        <v>12828082.755289041</v>
      </c>
      <c r="H5" s="63">
        <f>+$C$75*(IngresosBrutos!H5-PagoCorpac!H5)</f>
        <v>12828082.755289041</v>
      </c>
      <c r="I5" s="63">
        <f>+$C$75*(IngresosBrutos!I5-PagoCorpac!I5)</f>
        <v>14131600.223612161</v>
      </c>
      <c r="J5" s="63">
        <f>+$C$75*(IngresosBrutos!J5-PagoCorpac!J5)</f>
        <v>17025834.564874556</v>
      </c>
      <c r="K5" s="63">
        <f>+$C$75*(IngresosBrutos!K5-PagoCorpac!K5)</f>
        <v>18667108.709801685</v>
      </c>
      <c r="L5" s="63">
        <f>+$C$75*(IngresosBrutos!L5-PagoCorpac!L5)</f>
        <v>19708170.989060502</v>
      </c>
      <c r="M5" s="63">
        <f>+$C$75*(IngresosBrutos!M5-PagoCorpac!M5)</f>
        <v>20613373.153657515</v>
      </c>
      <c r="N5" s="63">
        <f>+$C$75*(IngresosBrutos!N5-PagoCorpac!N5)</f>
        <v>22839371.597054299</v>
      </c>
      <c r="O5" s="63">
        <f>+$C$75*(IngresosBrutos!O5-PagoCorpac!O5)</f>
        <v>25081262.259003595</v>
      </c>
    </row>
    <row r="6" spans="2:15" ht="9.75" customHeight="1">
      <c r="B6" s="60" t="str">
        <f>+IngresosBrutos!B6</f>
        <v>Terminal - National (TUUA)</v>
      </c>
      <c r="C6" s="64">
        <f>+$C$75*(IngresosBrutos!C6-PagoCorpac!C6)</f>
        <v>1348751.5381688729</v>
      </c>
      <c r="D6" s="64">
        <f>+$C$75*(IngresosBrutos!D6-PagoCorpac!D6)</f>
        <v>1495211.9818076</v>
      </c>
      <c r="E6" s="64">
        <f>+$C$75*(IngresosBrutos!E6-PagoCorpac!E6)</f>
        <v>1929714.2229249002</v>
      </c>
      <c r="F6" s="64">
        <f>+$C$75*(IngresosBrutos!F6-PagoCorpac!F6)</f>
        <v>2153584.5076120002</v>
      </c>
      <c r="G6" s="64">
        <f>+$C$75*(IngresosBrutos!G6-PagoCorpac!G6)</f>
        <v>2322584.2400383004</v>
      </c>
      <c r="H6" s="64">
        <f>+$C$75*(IngresosBrutos!H6-PagoCorpac!H6)</f>
        <v>2322584.2400383004</v>
      </c>
      <c r="I6" s="64">
        <f>+$C$75*(IngresosBrutos!I6-PagoCorpac!I6)</f>
        <v>3102540.6639728001</v>
      </c>
      <c r="J6" s="64">
        <f>+$C$75*(IngresosBrutos!J6-PagoCorpac!J6)</f>
        <v>4034289.6805401002</v>
      </c>
      <c r="K6" s="64">
        <f>+$C$75*(IngresosBrutos!K6-PagoCorpac!K6)</f>
        <v>4433205.6385063035</v>
      </c>
      <c r="L6" s="64">
        <f>+$C$75*(IngresosBrutos!L6-PagoCorpac!L6)</f>
        <v>4573526.9296035292</v>
      </c>
      <c r="M6" s="64">
        <f>+$C$75*(IngresosBrutos!M6-PagoCorpac!M6)</f>
        <v>6797264.6066876268</v>
      </c>
      <c r="N6" s="64">
        <f>+$C$75*(IngresosBrutos!N6-PagoCorpac!N6)</f>
        <v>8670394.2216652408</v>
      </c>
      <c r="O6" s="64">
        <f>+$C$75*(IngresosBrutos!O6-PagoCorpac!O6)</f>
        <v>11939949.012734555</v>
      </c>
    </row>
    <row r="7" spans="2:15" ht="9.75" customHeight="1">
      <c r="B7" s="53" t="str">
        <f>+IngresosBrutos!B7</f>
        <v>AID-Hasta 10 t</v>
      </c>
      <c r="C7" s="63">
        <f>+$C$75*(IngresosBrutos!C7-PagoCorpac!C7)</f>
        <v>1221.05190573871</v>
      </c>
      <c r="D7" s="63">
        <f>+$C$75*(IngresosBrutos!D7-PagoCorpac!D7)</f>
        <v>977.5402914</v>
      </c>
      <c r="E7" s="63">
        <f>+$C$75*(IngresosBrutos!E7-PagoCorpac!E7)</f>
        <v>1079.6621685499999</v>
      </c>
      <c r="F7" s="63">
        <f>+$C$75*(IngresosBrutos!F7-PagoCorpac!F7)</f>
        <v>1073.9529433000002</v>
      </c>
      <c r="G7" s="63">
        <f>+$C$75*(IngresosBrutos!G7-PagoCorpac!G7)</f>
        <v>1086.1527786000001</v>
      </c>
      <c r="H7" s="63">
        <f>+$C$75*(IngresosBrutos!H7-PagoCorpac!H7)</f>
        <v>1086.1527786000001</v>
      </c>
      <c r="I7" s="63">
        <f>+$C$75*(IngresosBrutos!I7-PagoCorpac!I7)</f>
        <v>1203.0628282</v>
      </c>
      <c r="J7" s="63">
        <f>+$C$75*(IngresosBrutos!J7-PagoCorpac!J7)</f>
        <v>1518.11904</v>
      </c>
      <c r="K7" s="63">
        <f>+$C$75*(IngresosBrutos!K7-PagoCorpac!K7)</f>
        <v>1830.4404050000001</v>
      </c>
      <c r="L7" s="63">
        <f>+$C$75*(IngresosBrutos!L7-PagoCorpac!L7)</f>
        <v>2018.9773946000005</v>
      </c>
      <c r="M7" s="63">
        <f>+$C$75*(IngresosBrutos!M7-PagoCorpac!M7)</f>
        <v>2238.8372171499996</v>
      </c>
      <c r="N7" s="63">
        <f>+$C$75*(IngresosBrutos!N7-PagoCorpac!N7)</f>
        <v>2037.6724910499997</v>
      </c>
      <c r="O7" s="63">
        <f>+$C$75*(IngresosBrutos!O7-PagoCorpac!O7)</f>
        <v>2306.4060723999919</v>
      </c>
    </row>
    <row r="8" spans="2:15" ht="9.75" customHeight="1">
      <c r="B8" s="60" t="str">
        <f>+IngresosBrutos!B8</f>
        <v>AID-Más de 10 t hasta 35 t</v>
      </c>
      <c r="C8" s="64">
        <f>+$C$75*(IngresosBrutos!C8-PagoCorpac!C8)</f>
        <v>2274.9767876643327</v>
      </c>
      <c r="D8" s="64">
        <f>+$C$75*(IngresosBrutos!D8-PagoCorpac!D8)</f>
        <v>3405.06798445</v>
      </c>
      <c r="E8" s="64">
        <f>+$C$75*(IngresosBrutos!E8-PagoCorpac!E8)</f>
        <v>3014.1500061000002</v>
      </c>
      <c r="F8" s="64">
        <f>+$C$75*(IngresosBrutos!F8-PagoCorpac!F8)</f>
        <v>2489.9361528500003</v>
      </c>
      <c r="G8" s="64">
        <f>+$C$75*(IngresosBrutos!G8-PagoCorpac!G8)</f>
        <v>1829.8799474500001</v>
      </c>
      <c r="H8" s="64">
        <f>+$C$75*(IngresosBrutos!H8-PagoCorpac!H8)</f>
        <v>1829.8799474500001</v>
      </c>
      <c r="I8" s="64">
        <f>+$C$75*(IngresosBrutos!I8-PagoCorpac!I8)</f>
        <v>1557.38130065</v>
      </c>
      <c r="J8" s="64">
        <f>+$C$75*(IngresosBrutos!J8-PagoCorpac!J8)</f>
        <v>1916.2183167500002</v>
      </c>
      <c r="K8" s="64">
        <f>+$C$75*(IngresosBrutos!K8-PagoCorpac!K8)</f>
        <v>2209.9097007</v>
      </c>
      <c r="L8" s="64">
        <f>+$C$75*(IngresosBrutos!L8-PagoCorpac!L8)</f>
        <v>1862.0330017500003</v>
      </c>
      <c r="M8" s="64">
        <f>+$C$75*(IngresosBrutos!M8-PagoCorpac!M8)</f>
        <v>2870.2914831000007</v>
      </c>
      <c r="N8" s="64">
        <f>+$C$75*(IngresosBrutos!N8-PagoCorpac!N8)</f>
        <v>2827.9432176</v>
      </c>
      <c r="O8" s="64">
        <f>+$C$75*(IngresosBrutos!O8-PagoCorpac!O8)</f>
        <v>3563.0728280999979</v>
      </c>
    </row>
    <row r="9" spans="2:15" ht="9.75" customHeight="1">
      <c r="B9" s="53" t="str">
        <f>+IngresosBrutos!B9</f>
        <v>AID-Más de 35 t hasta 70 t</v>
      </c>
      <c r="C9" s="63">
        <f>+$C$75*(IngresosBrutos!C9-PagoCorpac!C9)</f>
        <v>12332.375836297704</v>
      </c>
      <c r="D9" s="63">
        <f>+$C$75*(IngresosBrutos!D9-PagoCorpac!D9)</f>
        <v>10787.65203915</v>
      </c>
      <c r="E9" s="63">
        <f>+$C$75*(IngresosBrutos!E9-PagoCorpac!E9)</f>
        <v>9348.0435671499999</v>
      </c>
      <c r="F9" s="63">
        <f>+$C$75*(IngresosBrutos!F9-PagoCorpac!F9)</f>
        <v>7054.49778625</v>
      </c>
      <c r="G9" s="63">
        <f>+$C$75*(IngresosBrutos!G9-PagoCorpac!G9)</f>
        <v>1965.5502088999999</v>
      </c>
      <c r="H9" s="63">
        <f>+$C$75*(IngresosBrutos!H9-PagoCorpac!H9)</f>
        <v>1965.5502088999999</v>
      </c>
      <c r="I9" s="63">
        <f>+$C$75*(IngresosBrutos!I9-PagoCorpac!I9)</f>
        <v>12922.683680949976</v>
      </c>
      <c r="J9" s="63">
        <f>+$C$75*(IngresosBrutos!J9-PagoCorpac!J9)</f>
        <v>32678.979758050005</v>
      </c>
      <c r="K9" s="63">
        <f>+$C$75*(IngresosBrutos!K9-PagoCorpac!K9)</f>
        <v>51452.126317150018</v>
      </c>
      <c r="L9" s="63">
        <f>+$C$75*(IngresosBrutos!L9-PagoCorpac!L9)</f>
        <v>86563.001151149932</v>
      </c>
      <c r="M9" s="63">
        <f>+$C$75*(IngresosBrutos!M9-PagoCorpac!M9)</f>
        <v>79818.464296649923</v>
      </c>
      <c r="N9" s="63">
        <f>+$C$75*(IngresosBrutos!N9-PagoCorpac!N9)</f>
        <v>136109.61133265027</v>
      </c>
      <c r="O9" s="63">
        <f>+$C$75*(IngresosBrutos!O9-PagoCorpac!O9)</f>
        <v>144611.32213940093</v>
      </c>
    </row>
    <row r="10" spans="2:15" ht="9.75" customHeight="1">
      <c r="B10" s="60" t="str">
        <f>+IngresosBrutos!B10</f>
        <v>AID-Más de 70 t hasta 100 t</v>
      </c>
      <c r="C10" s="64">
        <f>+$C$75*(IngresosBrutos!C10-PagoCorpac!C10)</f>
        <v>189362.30412232681</v>
      </c>
      <c r="D10" s="64">
        <f>+$C$75*(IngresosBrutos!D10-PagoCorpac!D10)</f>
        <v>138232.63383424978</v>
      </c>
      <c r="E10" s="64">
        <f>+$C$75*(IngresosBrutos!E10-PagoCorpac!E10)</f>
        <v>111510.89458259978</v>
      </c>
      <c r="F10" s="64">
        <f>+$C$75*(IngresosBrutos!F10-PagoCorpac!F10)</f>
        <v>131570.2051736</v>
      </c>
      <c r="G10" s="64">
        <f>+$C$75*(IngresosBrutos!G10-PagoCorpac!G10)</f>
        <v>120266.22057015024</v>
      </c>
      <c r="H10" s="64">
        <f>+$C$75*(IngresosBrutos!H10-PagoCorpac!H10)</f>
        <v>120266.22057015024</v>
      </c>
      <c r="I10" s="64">
        <f>+$C$75*(IngresosBrutos!I10-PagoCorpac!I10)</f>
        <v>110302.22252780157</v>
      </c>
      <c r="J10" s="64">
        <f>+$C$75*(IngresosBrutos!J10-PagoCorpac!J10)</f>
        <v>181670.0520723497</v>
      </c>
      <c r="K10" s="64">
        <f>+$C$75*(IngresosBrutos!K10-PagoCorpac!K10)</f>
        <v>234918.90064504981</v>
      </c>
      <c r="L10" s="64">
        <f>+$C$75*(IngresosBrutos!L10-PagoCorpac!L10)</f>
        <v>265495.15065079863</v>
      </c>
      <c r="M10" s="64">
        <f>+$C$75*(IngresosBrutos!M10-PagoCorpac!M10)</f>
        <v>307567.95940440189</v>
      </c>
      <c r="N10" s="64">
        <f>+$C$75*(IngresosBrutos!N10-PagoCorpac!N10)</f>
        <v>356961.09956475324</v>
      </c>
      <c r="O10" s="64">
        <f>+$C$75*(IngresosBrutos!O10-PagoCorpac!O10)</f>
        <v>384822.43040842976</v>
      </c>
    </row>
    <row r="11" spans="2:15" ht="9.75" customHeight="1">
      <c r="B11" s="53" t="str">
        <f>+IngresosBrutos!B11</f>
        <v>AID-Más de 100 t</v>
      </c>
      <c r="C11" s="63">
        <f>+$C$75*(IngresosBrutos!C11-PagoCorpac!C11)</f>
        <v>287874.69496514287</v>
      </c>
      <c r="D11" s="63">
        <f>+$C$75*(IngresosBrutos!D11-PagoCorpac!D11)</f>
        <v>269229.90255654999</v>
      </c>
      <c r="E11" s="63">
        <f>+$C$75*(IngresosBrutos!E11-PagoCorpac!E11)</f>
        <v>317380.89436984999</v>
      </c>
      <c r="F11" s="63">
        <f>+$C$75*(IngresosBrutos!F11-PagoCorpac!F11)</f>
        <v>352061.18199360004</v>
      </c>
      <c r="G11" s="63">
        <f>+$C$75*(IngresosBrutos!G11-PagoCorpac!G11)</f>
        <v>443371.15859460004</v>
      </c>
      <c r="H11" s="63">
        <f>+$C$75*(IngresosBrutos!H11-PagoCorpac!H11)</f>
        <v>443371.15859460004</v>
      </c>
      <c r="I11" s="63">
        <f>+$C$75*(IngresosBrutos!I11-PagoCorpac!I11)</f>
        <v>369113.87503495323</v>
      </c>
      <c r="J11" s="63">
        <f>+$C$75*(IngresosBrutos!J11-PagoCorpac!J11)</f>
        <v>426492.33529900003</v>
      </c>
      <c r="K11" s="63">
        <f>+$C$75*(IngresosBrutos!K11-PagoCorpac!K11)</f>
        <v>508715.28573929996</v>
      </c>
      <c r="L11" s="63">
        <f>+$C$75*(IngresosBrutos!L11-PagoCorpac!L11)</f>
        <v>492467.65159695008</v>
      </c>
      <c r="M11" s="63">
        <f>+$C$75*(IngresosBrutos!M11-PagoCorpac!M11)</f>
        <v>552719.9521333999</v>
      </c>
      <c r="N11" s="63">
        <f>+$C$75*(IngresosBrutos!N11-PagoCorpac!N11)</f>
        <v>578713.63609765051</v>
      </c>
      <c r="O11" s="63">
        <f>+$C$75*(IngresosBrutos!O11-PagoCorpac!O11)</f>
        <v>692743.15714343393</v>
      </c>
    </row>
    <row r="12" spans="2:15" ht="9.75" customHeight="1">
      <c r="B12" s="60" t="str">
        <f>+IngresosBrutos!B12</f>
        <v>AIN-Hasta 10 t</v>
      </c>
      <c r="C12" s="64">
        <f>+$C$75*(IngresosBrutos!C12-PagoCorpac!C12)</f>
        <v>321.93674862995226</v>
      </c>
      <c r="D12" s="64">
        <f>+$C$75*(IngresosBrutos!D12-PagoCorpac!D12)</f>
        <v>399.55041994999999</v>
      </c>
      <c r="E12" s="64">
        <f>+$C$75*(IngresosBrutos!E12-PagoCorpac!E12)</f>
        <v>312.28648175000001</v>
      </c>
      <c r="F12" s="64">
        <f>+$C$75*(IngresosBrutos!F12-PagoCorpac!F12)</f>
        <v>419.14317870000002</v>
      </c>
      <c r="G12" s="64">
        <f>+$C$75*(IngresosBrutos!G12-PagoCorpac!G12)</f>
        <v>349.84876535000001</v>
      </c>
      <c r="H12" s="64">
        <f>+$C$75*(IngresosBrutos!H12-PagoCorpac!H12)</f>
        <v>349.84876535000001</v>
      </c>
      <c r="I12" s="64">
        <f>+$C$75*(IngresosBrutos!I12-PagoCorpac!I12)</f>
        <v>309.47024070000009</v>
      </c>
      <c r="J12" s="64">
        <f>+$C$75*(IngresosBrutos!J12-PagoCorpac!J12)</f>
        <v>463.73792550000002</v>
      </c>
      <c r="K12" s="64">
        <f>+$C$75*(IngresosBrutos!K12-PagoCorpac!K12)</f>
        <v>509.202428</v>
      </c>
      <c r="L12" s="64">
        <f>+$C$75*(IngresosBrutos!L12-PagoCorpac!L12)</f>
        <v>370.14616574999997</v>
      </c>
      <c r="M12" s="64">
        <f>+$C$75*(IngresosBrutos!M12-PagoCorpac!M12)</f>
        <v>514.03492090000009</v>
      </c>
      <c r="N12" s="64">
        <f>+$C$75*(IngresosBrutos!N12-PagoCorpac!N12)</f>
        <v>560.95289214999991</v>
      </c>
      <c r="O12" s="64">
        <f>+$C$75*(IngresosBrutos!O12-PagoCorpac!O12)</f>
        <v>560.95289214999968</v>
      </c>
    </row>
    <row r="13" spans="2:15" ht="9.75" customHeight="1">
      <c r="B13" s="53" t="str">
        <f>+IngresosBrutos!B13</f>
        <v>AIN-Más de 10 t hasta 35 t</v>
      </c>
      <c r="C13" s="63">
        <f>+$C$75*(IngresosBrutos!C13-PagoCorpac!C13)</f>
        <v>1317.1670922512744</v>
      </c>
      <c r="D13" s="63">
        <f>+$C$75*(IngresosBrutos!D13-PagoCorpac!D13)</f>
        <v>1377.9744203499999</v>
      </c>
      <c r="E13" s="63">
        <f>+$C$75*(IngresosBrutos!E13-PagoCorpac!E13)</f>
        <v>2892.4074636</v>
      </c>
      <c r="F13" s="63">
        <f>+$C$75*(IngresosBrutos!F13-PagoCorpac!F13)</f>
        <v>1815.61037265</v>
      </c>
      <c r="G13" s="63">
        <f>+$C$75*(IngresosBrutos!G13-PagoCorpac!G13)</f>
        <v>827.2097627500001</v>
      </c>
      <c r="H13" s="63">
        <f>+$C$75*(IngresosBrutos!H13-PagoCorpac!H13)</f>
        <v>827.2097627500001</v>
      </c>
      <c r="I13" s="63">
        <f>+$C$75*(IngresosBrutos!I13-PagoCorpac!I13)</f>
        <v>1288.7314391000002</v>
      </c>
      <c r="J13" s="63">
        <f>+$C$75*(IngresosBrutos!J13-PagoCorpac!J13)</f>
        <v>1312.7357662000002</v>
      </c>
      <c r="K13" s="63">
        <f>+$C$75*(IngresosBrutos!K13-PagoCorpac!K13)</f>
        <v>1561.4975241500001</v>
      </c>
      <c r="L13" s="63">
        <f>+$C$75*(IngresosBrutos!L13-PagoCorpac!L13)</f>
        <v>1546.7163283500001</v>
      </c>
      <c r="M13" s="63">
        <f>+$C$75*(IngresosBrutos!M13-PagoCorpac!M13)</f>
        <v>1829.0078662000005</v>
      </c>
      <c r="N13" s="63">
        <f>+$C$75*(IngresosBrutos!N13-PagoCorpac!N13)</f>
        <v>2240.9534676500002</v>
      </c>
      <c r="O13" s="63">
        <f>+$C$75*(IngresosBrutos!O13-PagoCorpac!O13)</f>
        <v>2735.3816765000001</v>
      </c>
    </row>
    <row r="14" spans="2:15" ht="9.75" customHeight="1">
      <c r="B14" s="60" t="str">
        <f>+IngresosBrutos!B14</f>
        <v>AIN-Más de 35 t hasta 70 t</v>
      </c>
      <c r="C14" s="64">
        <f>+$C$75*(IngresosBrutos!C14-PagoCorpac!C14)</f>
        <v>15696.192850967474</v>
      </c>
      <c r="D14" s="64">
        <f>+$C$75*(IngresosBrutos!D14-PagoCorpac!D14)</f>
        <v>27514.300644949999</v>
      </c>
      <c r="E14" s="64">
        <f>+$C$75*(IngresosBrutos!E14-PagoCorpac!E14)</f>
        <v>11941.58064695</v>
      </c>
      <c r="F14" s="64">
        <f>+$C$75*(IngresosBrutos!F14-PagoCorpac!F14)</f>
        <v>13303.115754349999</v>
      </c>
      <c r="G14" s="64">
        <f>+$C$75*(IngresosBrutos!G14-PagoCorpac!G14)</f>
        <v>20065.140744850003</v>
      </c>
      <c r="H14" s="64">
        <f>+$C$75*(IngresosBrutos!H14-PagoCorpac!H14)</f>
        <v>20065.140744850003</v>
      </c>
      <c r="I14" s="64">
        <f>+$C$75*(IngresosBrutos!I14-PagoCorpac!I14)</f>
        <v>38948.464886299764</v>
      </c>
      <c r="J14" s="64">
        <f>+$C$75*(IngresosBrutos!J14-PagoCorpac!J14)</f>
        <v>81295.495519250006</v>
      </c>
      <c r="K14" s="64">
        <f>+$C$75*(IngresosBrutos!K14-PagoCorpac!K14)</f>
        <v>80379.498583049994</v>
      </c>
      <c r="L14" s="64">
        <f>+$C$75*(IngresosBrutos!L14-PagoCorpac!L14)</f>
        <v>109019.37473019988</v>
      </c>
      <c r="M14" s="64">
        <f>+$C$75*(IngresosBrutos!M14-PagoCorpac!M14)</f>
        <v>71159.918397899935</v>
      </c>
      <c r="N14" s="64">
        <f>+$C$75*(IngresosBrutos!N14-PagoCorpac!N14)</f>
        <v>126688.2013140996</v>
      </c>
      <c r="O14" s="64">
        <f>+$C$75*(IngresosBrutos!O14-PagoCorpac!O14)</f>
        <v>146316.70609314891</v>
      </c>
    </row>
    <row r="15" spans="2:15" ht="9.75" customHeight="1">
      <c r="B15" s="53" t="str">
        <f>+IngresosBrutos!B15</f>
        <v>AIN-Más de 70 t hasta 100 t</v>
      </c>
      <c r="C15" s="63">
        <f>+$C$75*(IngresosBrutos!C15-PagoCorpac!C15)</f>
        <v>126457.62244884831</v>
      </c>
      <c r="D15" s="63">
        <f>+$C$75*(IngresosBrutos!D15-PagoCorpac!D15)</f>
        <v>158793.00975380046</v>
      </c>
      <c r="E15" s="63">
        <f>+$C$75*(IngresosBrutos!E15-PagoCorpac!E15)</f>
        <v>166834.44537900024</v>
      </c>
      <c r="F15" s="63">
        <f>+$C$75*(IngresosBrutos!F15-PagoCorpac!F15)</f>
        <v>188092.67466810023</v>
      </c>
      <c r="G15" s="63">
        <f>+$C$75*(IngresosBrutos!G15-PagoCorpac!G15)</f>
        <v>213143.56205795001</v>
      </c>
      <c r="H15" s="63">
        <f>+$C$75*(IngresosBrutos!H15-PagoCorpac!H15)</f>
        <v>213143.56205795001</v>
      </c>
      <c r="I15" s="63">
        <f>+$C$75*(IngresosBrutos!I15-PagoCorpac!I15)</f>
        <v>207227.4023922988</v>
      </c>
      <c r="J15" s="63">
        <f>+$C$75*(IngresosBrutos!J15-PagoCorpac!J15)</f>
        <v>253333.52181175005</v>
      </c>
      <c r="K15" s="63">
        <f>+$C$75*(IngresosBrutos!K15-PagoCorpac!K15)</f>
        <v>257521.05830250002</v>
      </c>
      <c r="L15" s="63">
        <f>+$C$75*(IngresosBrutos!L15-PagoCorpac!L15)</f>
        <v>252347.27931225006</v>
      </c>
      <c r="M15" s="63">
        <f>+$C$75*(IngresosBrutos!M15-PagoCorpac!M15)</f>
        <v>335070.67648479994</v>
      </c>
      <c r="N15" s="63">
        <f>+$C$75*(IngresosBrutos!N15-PagoCorpac!N15)</f>
        <v>380258.14318995096</v>
      </c>
      <c r="O15" s="63">
        <f>+$C$75*(IngresosBrutos!O15-PagoCorpac!O15)</f>
        <v>394751.74287257571</v>
      </c>
    </row>
    <row r="16" spans="2:15" ht="9.75" customHeight="1">
      <c r="B16" s="60" t="str">
        <f>+IngresosBrutos!B16</f>
        <v>AIN-Más de 100 t</v>
      </c>
      <c r="C16" s="64">
        <f>+$C$75*(IngresosBrutos!C16-PagoCorpac!C16)</f>
        <v>633529.7918519543</v>
      </c>
      <c r="D16" s="64">
        <f>+$C$75*(IngresosBrutos!D16-PagoCorpac!D16)</f>
        <v>692689.2578711001</v>
      </c>
      <c r="E16" s="64">
        <f>+$C$75*(IngresosBrutos!E16-PagoCorpac!E16)</f>
        <v>678825.86130855</v>
      </c>
      <c r="F16" s="64">
        <f>+$C$75*(IngresosBrutos!F16-PagoCorpac!F16)</f>
        <v>783327.25749740005</v>
      </c>
      <c r="G16" s="64">
        <f>+$C$75*(IngresosBrutos!G16-PagoCorpac!G16)</f>
        <v>899449.97819160006</v>
      </c>
      <c r="H16" s="64">
        <f>+$C$75*(IngresosBrutos!H16-PagoCorpac!H16)</f>
        <v>899449.97819160006</v>
      </c>
      <c r="I16" s="64">
        <f>+$C$75*(IngresosBrutos!I16-PagoCorpac!I16)</f>
        <v>922405.85432962351</v>
      </c>
      <c r="J16" s="64">
        <f>+$C$75*(IngresosBrutos!J16-PagoCorpac!J16)</f>
        <v>922511.33197539998</v>
      </c>
      <c r="K16" s="64">
        <f>+$C$75*(IngresosBrutos!K16-PagoCorpac!K16)</f>
        <v>941089.66953654692</v>
      </c>
      <c r="L16" s="64">
        <f>+$C$75*(IngresosBrutos!L16-PagoCorpac!L16)</f>
        <v>1056699.7250587961</v>
      </c>
      <c r="M16" s="64">
        <f>+$C$75*(IngresosBrutos!M16-PagoCorpac!M16)</f>
        <v>1170862.600118252</v>
      </c>
      <c r="N16" s="64">
        <f>+$C$75*(IngresosBrutos!N16-PagoCorpac!N16)</f>
        <v>1146830.9105969565</v>
      </c>
      <c r="O16" s="64">
        <f>+$C$75*(IngresosBrutos!O16-PagoCorpac!O16)</f>
        <v>1165173.4513413054</v>
      </c>
    </row>
    <row r="17" spans="2:15" ht="9.75" customHeight="1">
      <c r="B17" s="53" t="str">
        <f>+IngresosBrutos!B17</f>
        <v>DID-Hasta 10 t</v>
      </c>
      <c r="C17" s="63">
        <f>+$C$75*(IngresosBrutos!C17-PagoCorpac!C17)</f>
        <v>1421.3304988561895</v>
      </c>
      <c r="D17" s="63">
        <f>+$C$75*(IngresosBrutos!D17-PagoCorpac!D17)</f>
        <v>1239.79954155</v>
      </c>
      <c r="E17" s="63">
        <f>+$C$75*(IngresosBrutos!E17-PagoCorpac!E17)</f>
        <v>1251.2807819</v>
      </c>
      <c r="F17" s="63">
        <f>+$C$75*(IngresosBrutos!F17-PagoCorpac!F17)</f>
        <v>1299.6289663999999</v>
      </c>
      <c r="G17" s="63">
        <f>+$C$75*(IngresosBrutos!G17-PagoCorpac!G17)</f>
        <v>1243.5622814500002</v>
      </c>
      <c r="H17" s="63">
        <f>+$C$75*(IngresosBrutos!H17-PagoCorpac!H17)</f>
        <v>1243.5622814500002</v>
      </c>
      <c r="I17" s="63">
        <f>+$C$75*(IngresosBrutos!I17-PagoCorpac!I17)</f>
        <v>1377.1837333500002</v>
      </c>
      <c r="J17" s="63">
        <f>+$C$75*(IngresosBrutos!J17-PagoCorpac!J17)</f>
        <v>1751.371705</v>
      </c>
      <c r="K17" s="63">
        <f>+$C$75*(IngresosBrutos!K17-PagoCorpac!K17)</f>
        <v>2067.6465050000002</v>
      </c>
      <c r="L17" s="63">
        <f>+$C$75*(IngresosBrutos!L17-PagoCorpac!L17)</f>
        <v>2193.8494524000002</v>
      </c>
      <c r="M17" s="63">
        <f>+$C$75*(IngresosBrutos!M17-PagoCorpac!M17)</f>
        <v>2494.7616690999998</v>
      </c>
      <c r="N17" s="63">
        <f>+$C$75*(IngresosBrutos!N17-PagoCorpac!N17)</f>
        <v>2197.5703324000001</v>
      </c>
      <c r="O17" s="63">
        <f>+$C$75*(IngresosBrutos!O17-PagoCorpac!O17)</f>
        <v>2504.0359624999828</v>
      </c>
    </row>
    <row r="18" spans="2:15" ht="9.75" customHeight="1">
      <c r="B18" s="60" t="str">
        <f>+IngresosBrutos!B18</f>
        <v>DID-Más de 10 t hasta 35 t</v>
      </c>
      <c r="C18" s="64">
        <f>+$C$75*(IngresosBrutos!C18-PagoCorpac!C18)</f>
        <v>3231.1153982210976</v>
      </c>
      <c r="D18" s="64">
        <f>+$C$75*(IngresosBrutos!D18-PagoCorpac!D18)</f>
        <v>3980.6276561500003</v>
      </c>
      <c r="E18" s="64">
        <f>+$C$75*(IngresosBrutos!E18-PagoCorpac!E18)</f>
        <v>4929.1590368500001</v>
      </c>
      <c r="F18" s="64">
        <f>+$C$75*(IngresosBrutos!F18-PagoCorpac!F18)</f>
        <v>3571.1424866000002</v>
      </c>
      <c r="G18" s="64">
        <f>+$C$75*(IngresosBrutos!G18-PagoCorpac!G18)</f>
        <v>2079.4091369000002</v>
      </c>
      <c r="H18" s="64">
        <f>+$C$75*(IngresosBrutos!H18-PagoCorpac!H18)</f>
        <v>2079.4091369000002</v>
      </c>
      <c r="I18" s="64">
        <f>+$C$75*(IngresosBrutos!I18-PagoCorpac!I18)</f>
        <v>1880.2234538499999</v>
      </c>
      <c r="J18" s="64">
        <f>+$C$75*(IngresosBrutos!J18-PagoCorpac!J18)</f>
        <v>2276.6739156500003</v>
      </c>
      <c r="K18" s="64">
        <f>+$C$75*(IngresosBrutos!K18-PagoCorpac!K18)</f>
        <v>2850.9080238500001</v>
      </c>
      <c r="L18" s="64">
        <f>+$C$75*(IngresosBrutos!L18-PagoCorpac!L18)</f>
        <v>2518.4380936499997</v>
      </c>
      <c r="M18" s="64">
        <f>+$C$75*(IngresosBrutos!M18-PagoCorpac!M18)</f>
        <v>3429.8746263000007</v>
      </c>
      <c r="N18" s="64">
        <f>+$C$75*(IngresosBrutos!N18-PagoCorpac!N18)</f>
        <v>3666.7179405000011</v>
      </c>
      <c r="O18" s="64">
        <f>+$C$75*(IngresosBrutos!O18-PagoCorpac!O18)</f>
        <v>4502.1601502500052</v>
      </c>
    </row>
    <row r="19" spans="2:15" ht="9.75" customHeight="1">
      <c r="B19" s="53" t="str">
        <f>+IngresosBrutos!B19</f>
        <v>DID-Más de 35 t hasta 70 t</v>
      </c>
      <c r="C19" s="63">
        <f>+$C$75*(IngresosBrutos!C19-PagoCorpac!C19)</f>
        <v>22022.573188022594</v>
      </c>
      <c r="D19" s="63">
        <f>+$C$75*(IngresosBrutos!D19-PagoCorpac!D19)</f>
        <v>18281.657845450001</v>
      </c>
      <c r="E19" s="63">
        <f>+$C$75*(IngresosBrutos!E19-PagoCorpac!E19)</f>
        <v>12559.300214600002</v>
      </c>
      <c r="F19" s="63">
        <f>+$C$75*(IngresosBrutos!F19-PagoCorpac!F19)</f>
        <v>10542.836739550001</v>
      </c>
      <c r="G19" s="63">
        <f>+$C$75*(IngresosBrutos!G19-PagoCorpac!G19)</f>
        <v>17482.691887450001</v>
      </c>
      <c r="H19" s="63">
        <f>+$C$75*(IngresosBrutos!H19-PagoCorpac!H19)</f>
        <v>17482.691887450001</v>
      </c>
      <c r="I19" s="63">
        <f>+$C$75*(IngresosBrutos!I19-PagoCorpac!I19)</f>
        <v>27595.336760249869</v>
      </c>
      <c r="J19" s="63">
        <f>+$C$75*(IngresosBrutos!J19-PagoCorpac!J19)</f>
        <v>53937.722993700001</v>
      </c>
      <c r="K19" s="63">
        <f>+$C$75*(IngresosBrutos!K19-PagoCorpac!K19)</f>
        <v>65273.344379349997</v>
      </c>
      <c r="L19" s="63">
        <f>+$C$75*(IngresosBrutos!L19-PagoCorpac!L19)</f>
        <v>106877.91294264983</v>
      </c>
      <c r="M19" s="63">
        <f>+$C$75*(IngresosBrutos!M19-PagoCorpac!M19)</f>
        <v>73544.483880249929</v>
      </c>
      <c r="N19" s="63">
        <f>+$C$75*(IngresosBrutos!N19-PagoCorpac!N19)</f>
        <v>127536.87125225013</v>
      </c>
      <c r="O19" s="63">
        <f>+$C$75*(IngresosBrutos!O19-PagoCorpac!O19)</f>
        <v>170977.58712025659</v>
      </c>
    </row>
    <row r="20" spans="2:15" ht="9.75" customHeight="1">
      <c r="B20" s="60" t="str">
        <f>+IngresosBrutos!B20</f>
        <v>DID-Más de 70 t hasta 100 t</v>
      </c>
      <c r="C20" s="64">
        <f>+$C$75*(IngresosBrutos!C20-PagoCorpac!C20)</f>
        <v>183093.24120134895</v>
      </c>
      <c r="D20" s="64">
        <f>+$C$75*(IngresosBrutos!D20-PagoCorpac!D20)</f>
        <v>178143.90897824976</v>
      </c>
      <c r="E20" s="64">
        <f>+$C$75*(IngresosBrutos!E20-PagoCorpac!E20)</f>
        <v>161159.963846</v>
      </c>
      <c r="F20" s="64">
        <f>+$C$75*(IngresosBrutos!F20-PagoCorpac!F20)</f>
        <v>181000.14948825023</v>
      </c>
      <c r="G20" s="64">
        <f>+$C$75*(IngresosBrutos!G20-PagoCorpac!G20)</f>
        <v>202425.03234145022</v>
      </c>
      <c r="H20" s="64">
        <f>+$C$75*(IngresosBrutos!H20-PagoCorpac!H20)</f>
        <v>202425.03234145022</v>
      </c>
      <c r="I20" s="64">
        <f>+$C$75*(IngresosBrutos!I20-PagoCorpac!I20)</f>
        <v>172717.62409455216</v>
      </c>
      <c r="J20" s="64">
        <f>+$C$75*(IngresosBrutos!J20-PagoCorpac!J20)</f>
        <v>199037.98736949969</v>
      </c>
      <c r="K20" s="64">
        <f>+$C$75*(IngresosBrutos!K20-PagoCorpac!K20)</f>
        <v>232865.05860484985</v>
      </c>
      <c r="L20" s="64">
        <f>+$C$75*(IngresosBrutos!L20-PagoCorpac!L20)</f>
        <v>261952.44964069876</v>
      </c>
      <c r="M20" s="64">
        <f>+$C$75*(IngresosBrutos!M20-PagoCorpac!M20)</f>
        <v>310932.05817450164</v>
      </c>
      <c r="N20" s="64">
        <f>+$C$75*(IngresosBrutos!N20-PagoCorpac!N20)</f>
        <v>371731.92806285236</v>
      </c>
      <c r="O20" s="64">
        <f>+$C$75*(IngresosBrutos!O20-PagoCorpac!O20)</f>
        <v>383648.22765573586</v>
      </c>
    </row>
    <row r="21" spans="2:15" ht="9.75" customHeight="1">
      <c r="B21" s="53" t="str">
        <f>+IngresosBrutos!B21</f>
        <v>DID-Más de 100 t</v>
      </c>
      <c r="C21" s="63">
        <f>+$C$75*(IngresosBrutos!C21-PagoCorpac!C21)</f>
        <v>323075.98623384396</v>
      </c>
      <c r="D21" s="63">
        <f>+$C$75*(IngresosBrutos!D21-PagoCorpac!D21)</f>
        <v>333249.11502970004</v>
      </c>
      <c r="E21" s="63">
        <f>+$C$75*(IngresosBrutos!E21-PagoCorpac!E21)</f>
        <v>383115.11624820001</v>
      </c>
      <c r="F21" s="63">
        <f>+$C$75*(IngresosBrutos!F21-PagoCorpac!F21)</f>
        <v>431611.79641790001</v>
      </c>
      <c r="G21" s="63">
        <f>+$C$75*(IngresosBrutos!G21-PagoCorpac!G21)</f>
        <v>468546.4419795</v>
      </c>
      <c r="H21" s="63">
        <f>+$C$75*(IngresosBrutos!H21-PagoCorpac!H21)</f>
        <v>468546.4419795</v>
      </c>
      <c r="I21" s="63">
        <f>+$C$75*(IngresosBrutos!I21-PagoCorpac!I21)</f>
        <v>444626.55560000613</v>
      </c>
      <c r="J21" s="63">
        <f>+$C$75*(IngresosBrutos!J21-PagoCorpac!J21)</f>
        <v>487121.5563283501</v>
      </c>
      <c r="K21" s="63">
        <f>+$C$75*(IngresosBrutos!K21-PagoCorpac!K21)</f>
        <v>500591.96284749993</v>
      </c>
      <c r="L21" s="63">
        <f>+$C$75*(IngresosBrutos!L21-PagoCorpac!L21)</f>
        <v>503932.79216430016</v>
      </c>
      <c r="M21" s="63">
        <f>+$C$75*(IngresosBrutos!M21-PagoCorpac!M21)</f>
        <v>586701.76779130031</v>
      </c>
      <c r="N21" s="63">
        <f>+$C$75*(IngresosBrutos!N21-PagoCorpac!N21)</f>
        <v>582714.37743575068</v>
      </c>
      <c r="O21" s="63">
        <f>+$C$75*(IngresosBrutos!O21-PagoCorpac!O21)</f>
        <v>724416.27373662393</v>
      </c>
    </row>
    <row r="22" spans="2:15" ht="9.75" customHeight="1">
      <c r="B22" s="60" t="str">
        <f>+IngresosBrutos!B22</f>
        <v>DIN-Hasta 10 t</v>
      </c>
      <c r="C22" s="64">
        <f>+$C$75*(IngresosBrutos!C22-PagoCorpac!C22)</f>
        <v>145.1539793556237</v>
      </c>
      <c r="D22" s="64">
        <f>+$C$75*(IngresosBrutos!D22-PagoCorpac!D22)</f>
        <v>93.919662300000013</v>
      </c>
      <c r="E22" s="64">
        <f>+$C$75*(IngresosBrutos!E22-PagoCorpac!E22)</f>
        <v>110.43804395000001</v>
      </c>
      <c r="F22" s="64">
        <f>+$C$75*(IngresosBrutos!F22-PagoCorpac!F22)</f>
        <v>142.43528640000002</v>
      </c>
      <c r="G22" s="64">
        <f>+$C$75*(IngresosBrutos!G22-PagoCorpac!G22)</f>
        <v>151.53748910000002</v>
      </c>
      <c r="H22" s="64">
        <f>+$C$75*(IngresosBrutos!H22-PagoCorpac!H22)</f>
        <v>151.53748910000002</v>
      </c>
      <c r="I22" s="64">
        <f>+$C$75*(IngresosBrutos!I22-PagoCorpac!I22)</f>
        <v>104.64277335</v>
      </c>
      <c r="J22" s="64">
        <f>+$C$75*(IngresosBrutos!J22-PagoCorpac!J22)</f>
        <v>186.40446025</v>
      </c>
      <c r="K22" s="64">
        <f>+$C$75*(IngresosBrutos!K22-PagoCorpac!K22)</f>
        <v>213.68316174999998</v>
      </c>
      <c r="L22" s="64">
        <f>+$C$75*(IngresosBrutos!L22-PagoCorpac!L22)</f>
        <v>123.38205524999999</v>
      </c>
      <c r="M22" s="64">
        <f>+$C$75*(IngresosBrutos!M22-PagoCorpac!M22)</f>
        <v>242.94788295000004</v>
      </c>
      <c r="N22" s="64">
        <f>+$C$75*(IngresosBrutos!N22-PagoCorpac!N22)</f>
        <v>301.68895040000001</v>
      </c>
      <c r="O22" s="64">
        <f>+$C$75*(IngresosBrutos!O22-PagoCorpac!O22)</f>
        <v>301.68895039999984</v>
      </c>
    </row>
    <row r="23" spans="2:15" ht="9.75" customHeight="1">
      <c r="B23" s="53" t="str">
        <f>+IngresosBrutos!B23</f>
        <v>DIN-Más de 10 t hasta 35 t</v>
      </c>
      <c r="C23" s="63">
        <f>+$C$75*(IngresosBrutos!C23-PagoCorpac!C23)</f>
        <v>416.96612723272256</v>
      </c>
      <c r="D23" s="63">
        <f>+$C$75*(IngresosBrutos!D23-PagoCorpac!D23)</f>
        <v>744.74110865</v>
      </c>
      <c r="E23" s="63">
        <f>+$C$75*(IngresosBrutos!E23-PagoCorpac!E23)</f>
        <v>735.79006670000001</v>
      </c>
      <c r="F23" s="63">
        <f>+$C$75*(IngresosBrutos!F23-PagoCorpac!F23)</f>
        <v>609.21270575000005</v>
      </c>
      <c r="G23" s="63">
        <f>+$C$75*(IngresosBrutos!G23-PagoCorpac!G23)</f>
        <v>519.69065850000004</v>
      </c>
      <c r="H23" s="63">
        <f>+$C$75*(IngresosBrutos!H23-PagoCorpac!H23)</f>
        <v>519.69065850000004</v>
      </c>
      <c r="I23" s="63">
        <f>+$C$75*(IngresosBrutos!I23-PagoCorpac!I23)</f>
        <v>873.92541115000006</v>
      </c>
      <c r="J23" s="63">
        <f>+$C$75*(IngresosBrutos!J23-PagoCorpac!J23)</f>
        <v>918.50387910000006</v>
      </c>
      <c r="K23" s="63">
        <f>+$C$75*(IngresosBrutos!K23-PagoCorpac!K23)</f>
        <v>792.02186570000003</v>
      </c>
      <c r="L23" s="63">
        <f>+$C$75*(IngresosBrutos!L23-PagoCorpac!L23)</f>
        <v>804.07519135000018</v>
      </c>
      <c r="M23" s="63">
        <f>+$C$75*(IngresosBrutos!M23-PagoCorpac!M23)</f>
        <v>1117.75932865</v>
      </c>
      <c r="N23" s="63">
        <f>+$C$75*(IngresosBrutos!N23-PagoCorpac!N23)</f>
        <v>1257.0783780500003</v>
      </c>
      <c r="O23" s="63">
        <f>+$C$75*(IngresosBrutos!O23-PagoCorpac!O23)</f>
        <v>1545.7465740000007</v>
      </c>
    </row>
    <row r="24" spans="2:15" ht="9.75" customHeight="1">
      <c r="B24" s="60" t="str">
        <f>+IngresosBrutos!B24</f>
        <v>DIN-Más de 35 t hasta 70 t</v>
      </c>
      <c r="C24" s="64">
        <f>+$C$75*(IngresosBrutos!C24-PagoCorpac!C24)</f>
        <v>4947.5525970874287</v>
      </c>
      <c r="D24" s="64">
        <f>+$C$75*(IngresosBrutos!D24-PagoCorpac!D24)</f>
        <v>19443.402626799998</v>
      </c>
      <c r="E24" s="64">
        <f>+$C$75*(IngresosBrutos!E24-PagoCorpac!E24)</f>
        <v>8068.2747977500012</v>
      </c>
      <c r="F24" s="64">
        <f>+$C$75*(IngresosBrutos!F24-PagoCorpac!F24)</f>
        <v>9163.1437377500006</v>
      </c>
      <c r="G24" s="64">
        <f>+$C$75*(IngresosBrutos!G24-PagoCorpac!G24)</f>
        <v>2033.7353349000002</v>
      </c>
      <c r="H24" s="64">
        <f>+$C$75*(IngresosBrutos!H24-PagoCorpac!H24)</f>
        <v>2033.7353349000002</v>
      </c>
      <c r="I24" s="64">
        <f>+$C$75*(IngresosBrutos!I24-PagoCorpac!I24)</f>
        <v>22086.736708750006</v>
      </c>
      <c r="J24" s="64">
        <f>+$C$75*(IngresosBrutos!J24-PagoCorpac!J24)</f>
        <v>56561.7433829</v>
      </c>
      <c r="K24" s="64">
        <f>+$C$75*(IngresosBrutos!K24-PagoCorpac!K24)</f>
        <v>63907.334913750004</v>
      </c>
      <c r="L24" s="64">
        <f>+$C$75*(IngresosBrutos!L24-PagoCorpac!L24)</f>
        <v>85868.661687649976</v>
      </c>
      <c r="M24" s="64">
        <f>+$C$75*(IngresosBrutos!M24-PagoCorpac!M24)</f>
        <v>77938.850136899899</v>
      </c>
      <c r="N24" s="64">
        <f>+$C$75*(IngresosBrutos!N24-PagoCorpac!N24)</f>
        <v>136706.87768804954</v>
      </c>
      <c r="O24" s="64">
        <f>+$C$75*(IngresosBrutos!O24-PagoCorpac!O24)</f>
        <v>115491.23154500195</v>
      </c>
    </row>
    <row r="25" spans="2:15" ht="9.75" customHeight="1">
      <c r="B25" s="53" t="str">
        <f>+IngresosBrutos!B25</f>
        <v>DIN-Más de 70 t hasta 100 t</v>
      </c>
      <c r="C25" s="63">
        <f>+$C$75*(IngresosBrutos!C25-PagoCorpac!C25)</f>
        <v>134552.60643405563</v>
      </c>
      <c r="D25" s="63">
        <f>+$C$75*(IngresosBrutos!D25-PagoCorpac!D25)</f>
        <v>112628.46321615</v>
      </c>
      <c r="E25" s="63">
        <f>+$C$75*(IngresosBrutos!E25-PagoCorpac!E25)</f>
        <v>109895.21872010001</v>
      </c>
      <c r="F25" s="63">
        <f>+$C$75*(IngresosBrutos!F25-PagoCorpac!F25)</f>
        <v>130867.2658262</v>
      </c>
      <c r="G25" s="63">
        <f>+$C$75*(IngresosBrutos!G25-PagoCorpac!G25)</f>
        <v>118598.34773790024</v>
      </c>
      <c r="H25" s="63">
        <f>+$C$75*(IngresosBrutos!H25-PagoCorpac!H25)</f>
        <v>118598.34773790024</v>
      </c>
      <c r="I25" s="63">
        <f>+$C$75*(IngresosBrutos!I25-PagoCorpac!I25)</f>
        <v>135504.85438070021</v>
      </c>
      <c r="J25" s="63">
        <f>+$C$75*(IngresosBrutos!J25-PagoCorpac!J25)</f>
        <v>234150.9040364</v>
      </c>
      <c r="K25" s="63">
        <f>+$C$75*(IngresosBrutos!K25-PagoCorpac!K25)</f>
        <v>280881.61269820004</v>
      </c>
      <c r="L25" s="63">
        <f>+$C$75*(IngresosBrutos!L25-PagoCorpac!L25)</f>
        <v>256949.39625260007</v>
      </c>
      <c r="M25" s="63">
        <f>+$C$75*(IngresosBrutos!M25-PagoCorpac!M25)</f>
        <v>331272.01148839953</v>
      </c>
      <c r="N25" s="63">
        <f>+$C$75*(IngresosBrutos!N25-PagoCorpac!N25)</f>
        <v>363536.41079684999</v>
      </c>
      <c r="O25" s="63">
        <f>+$C$75*(IngresosBrutos!O25-PagoCorpac!O25)</f>
        <v>396290.23140502447</v>
      </c>
    </row>
    <row r="26" spans="2:15" ht="9.75" customHeight="1">
      <c r="B26" s="60" t="str">
        <f>+IngresosBrutos!B26</f>
        <v>DIN-Más de 100 t</v>
      </c>
      <c r="C26" s="64">
        <f>+$C$75*(IngresosBrutos!C26-PagoCorpac!C26)</f>
        <v>595007.89872339321</v>
      </c>
      <c r="D26" s="64">
        <f>+$C$75*(IngresosBrutos!D26-PagoCorpac!D26)</f>
        <v>614484.57643925003</v>
      </c>
      <c r="E26" s="64">
        <f>+$C$75*(IngresosBrutos!E26-PagoCorpac!E26)</f>
        <v>631824.79815705004</v>
      </c>
      <c r="F26" s="64">
        <f>+$C$75*(IngresosBrutos!F26-PagoCorpac!F26)</f>
        <v>610956.49383645004</v>
      </c>
      <c r="G26" s="64">
        <f>+$C$75*(IngresosBrutos!G26-PagoCorpac!G26)</f>
        <v>822459.37106720009</v>
      </c>
      <c r="H26" s="64">
        <f>+$C$75*(IngresosBrutos!H26-PagoCorpac!H26)</f>
        <v>822459.37106720009</v>
      </c>
      <c r="I26" s="64">
        <f>+$C$75*(IngresosBrutos!I26-PagoCorpac!I26)</f>
        <v>1003261.4743919163</v>
      </c>
      <c r="J26" s="64">
        <f>+$C$75*(IngresosBrutos!J26-PagoCorpac!J26)</f>
        <v>904632.78031584807</v>
      </c>
      <c r="K26" s="64">
        <f>+$C$75*(IngresosBrutos!K26-PagoCorpac!K26)</f>
        <v>918480.93987479701</v>
      </c>
      <c r="L26" s="64">
        <f>+$C$75*(IngresosBrutos!L26-PagoCorpac!L26)</f>
        <v>1038395.6326324964</v>
      </c>
      <c r="M26" s="64">
        <f>+$C$75*(IngresosBrutos!M26-PagoCorpac!M26)</f>
        <v>1122145.5461794527</v>
      </c>
      <c r="N26" s="64">
        <f>+$C$75*(IngresosBrutos!N26-PagoCorpac!N26)</f>
        <v>1137820.4810766056</v>
      </c>
      <c r="O26" s="64">
        <f>+$C$75*(IngresosBrutos!O26-PagoCorpac!O26)</f>
        <v>1129201.8625457261</v>
      </c>
    </row>
    <row r="27" spans="2:15" ht="9.75" customHeight="1">
      <c r="B27" s="53" t="str">
        <f>+IngresosBrutos!B27</f>
        <v>AND-Hasta 10 t</v>
      </c>
      <c r="C27" s="63">
        <f>+$C$75*(IngresosBrutos!C27-PagoCorpac!C27)</f>
        <v>2845.2799093322778</v>
      </c>
      <c r="D27" s="63">
        <f>+$C$75*(IngresosBrutos!D27-PagoCorpac!D27)</f>
        <v>3416.9864282000003</v>
      </c>
      <c r="E27" s="63">
        <f>+$C$75*(IngresosBrutos!E27-PagoCorpac!E27)</f>
        <v>3178.9663857</v>
      </c>
      <c r="F27" s="63">
        <f>+$C$75*(IngresosBrutos!F27-PagoCorpac!F27)</f>
        <v>6150.7192897500472</v>
      </c>
      <c r="G27" s="63">
        <f>+$C$75*(IngresosBrutos!G27-PagoCorpac!G27)</f>
        <v>5716.4879426500465</v>
      </c>
      <c r="H27" s="63">
        <f>+$C$75*(IngresosBrutos!H27-PagoCorpac!H27)</f>
        <v>5716.4879426500465</v>
      </c>
      <c r="I27" s="63">
        <f>+$C$75*(IngresosBrutos!I27-PagoCorpac!I27)</f>
        <v>7433.0205830995819</v>
      </c>
      <c r="J27" s="63">
        <f>+$C$75*(IngresosBrutos!J27-PagoCorpac!J27)</f>
        <v>6962.0571737500495</v>
      </c>
      <c r="K27" s="63">
        <f>+$C$75*(IngresosBrutos!K27-PagoCorpac!K27)</f>
        <v>8160.2386725000379</v>
      </c>
      <c r="L27" s="63">
        <f>+$C$75*(IngresosBrutos!L27-PagoCorpac!L27)</f>
        <v>9156.4438282000447</v>
      </c>
      <c r="M27" s="63">
        <f>+$C$75*(IngresosBrutos!M27-PagoCorpac!M27)</f>
        <v>9358.0504088000671</v>
      </c>
      <c r="N27" s="63">
        <f>+$C$75*(IngresosBrutos!N27-PagoCorpac!N27)</f>
        <v>7047.2536980000095</v>
      </c>
      <c r="O27" s="63">
        <f>+$C$75*(IngresosBrutos!O27-PagoCorpac!O27)</f>
        <v>4972.5607764997085</v>
      </c>
    </row>
    <row r="28" spans="2:15" ht="9.75" customHeight="1">
      <c r="B28" s="60" t="str">
        <f>+IngresosBrutos!B28</f>
        <v>AND-Más de 10 t hasta 35 t</v>
      </c>
      <c r="C28" s="64">
        <f>+$C$75*(IngresosBrutos!C28-PagoCorpac!C28)</f>
        <v>8050.4077599477732</v>
      </c>
      <c r="D28" s="64">
        <f>+$C$75*(IngresosBrutos!D28-PagoCorpac!D28)</f>
        <v>8210.4589247499989</v>
      </c>
      <c r="E28" s="64">
        <f>+$C$75*(IngresosBrutos!E28-PagoCorpac!E28)</f>
        <v>10912.4898887</v>
      </c>
      <c r="F28" s="64">
        <f>+$C$75*(IngresosBrutos!F28-PagoCorpac!F28)</f>
        <v>9100.9120197499778</v>
      </c>
      <c r="G28" s="64">
        <f>+$C$75*(IngresosBrutos!G28-PagoCorpac!G28)</f>
        <v>8357.8708881500006</v>
      </c>
      <c r="H28" s="64">
        <f>+$C$75*(IngresosBrutos!H28-PagoCorpac!H28)</f>
        <v>8357.8708881500006</v>
      </c>
      <c r="I28" s="64">
        <f>+$C$75*(IngresosBrutos!I28-PagoCorpac!I28)</f>
        <v>10451.503088850019</v>
      </c>
      <c r="J28" s="64">
        <f>+$C$75*(IngresosBrutos!J28-PagoCorpac!J28)</f>
        <v>17169.363559300044</v>
      </c>
      <c r="K28" s="64">
        <f>+$C$75*(IngresosBrutos!K28-PagoCorpac!K28)</f>
        <v>12757.513817750016</v>
      </c>
      <c r="L28" s="64">
        <f>+$C$75*(IngresosBrutos!L28-PagoCorpac!L28)</f>
        <v>9846.2531202999999</v>
      </c>
      <c r="M28" s="64">
        <f>+$C$75*(IngresosBrutos!M28-PagoCorpac!M28)</f>
        <v>12016.579634449989</v>
      </c>
      <c r="N28" s="64">
        <f>+$C$75*(IngresosBrutos!N28-PagoCorpac!N28)</f>
        <v>14077.219257299981</v>
      </c>
      <c r="O28" s="64">
        <f>+$C$75*(IngresosBrutos!O28-PagoCorpac!O28)</f>
        <v>29253.598094348719</v>
      </c>
    </row>
    <row r="29" spans="2:15" ht="9.75" customHeight="1">
      <c r="B29" s="53" t="str">
        <f>+IngresosBrutos!B29</f>
        <v>AND-Más de 35 t hasta 70 t</v>
      </c>
      <c r="C29" s="63">
        <f>+$C$75*(IngresosBrutos!C29-PagoCorpac!C29)</f>
        <v>44361.204086737649</v>
      </c>
      <c r="D29" s="63">
        <f>+$C$75*(IngresosBrutos!D29-PagoCorpac!D29)</f>
        <v>27998.5848047</v>
      </c>
      <c r="E29" s="63">
        <f>+$C$75*(IngresosBrutos!E29-PagoCorpac!E29)</f>
        <v>29344.748026600002</v>
      </c>
      <c r="F29" s="63">
        <f>+$C$75*(IngresosBrutos!F29-PagoCorpac!F29)</f>
        <v>23365.975252750002</v>
      </c>
      <c r="G29" s="63">
        <f>+$C$75*(IngresosBrutos!G29-PagoCorpac!G29)</f>
        <v>50102.098031150002</v>
      </c>
      <c r="H29" s="63">
        <f>+$C$75*(IngresosBrutos!H29-PagoCorpac!H29)</f>
        <v>50102.098031150002</v>
      </c>
      <c r="I29" s="63">
        <f>+$C$75*(IngresosBrutos!I29-PagoCorpac!I29)</f>
        <v>96925.319397499508</v>
      </c>
      <c r="J29" s="63">
        <f>+$C$75*(IngresosBrutos!J29-PagoCorpac!J29)</f>
        <v>152837.34597030058</v>
      </c>
      <c r="K29" s="63">
        <f>+$C$75*(IngresosBrutos!K29-PagoCorpac!K29)</f>
        <v>186912.06967625153</v>
      </c>
      <c r="L29" s="63">
        <f>+$C$75*(IngresosBrutos!L29-PagoCorpac!L29)</f>
        <v>210772.47778895072</v>
      </c>
      <c r="M29" s="63">
        <f>+$C$75*(IngresosBrutos!M29-PagoCorpac!M29)</f>
        <v>266294.59567209845</v>
      </c>
      <c r="N29" s="63">
        <f>+$C$75*(IngresosBrutos!N29-PagoCorpac!N29)</f>
        <v>315088.08811384963</v>
      </c>
      <c r="O29" s="63">
        <f>+$C$75*(IngresosBrutos!O29-PagoCorpac!O29)</f>
        <v>344805.68924639776</v>
      </c>
    </row>
    <row r="30" spans="2:15" ht="9.75" customHeight="1">
      <c r="B30" s="60" t="str">
        <f>+IngresosBrutos!B30</f>
        <v>AND-Más de 70 t hasta 100 t</v>
      </c>
      <c r="C30" s="64">
        <f>+$C$75*(IngresosBrutos!C30-PagoCorpac!C30)</f>
        <v>25865.03748083254</v>
      </c>
      <c r="D30" s="64">
        <f>+$C$75*(IngresosBrutos!D30-PagoCorpac!D30)</f>
        <v>43312.340856900002</v>
      </c>
      <c r="E30" s="64">
        <f>+$C$75*(IngresosBrutos!E30-PagoCorpac!E30)</f>
        <v>43515.542764799997</v>
      </c>
      <c r="F30" s="64">
        <f>+$C$75*(IngresosBrutos!F30-PagoCorpac!F30)</f>
        <v>49762.032854649769</v>
      </c>
      <c r="G30" s="64">
        <f>+$C$75*(IngresosBrutos!G30-PagoCorpac!G30)</f>
        <v>75311.953042350462</v>
      </c>
      <c r="H30" s="64">
        <f>+$C$75*(IngresosBrutos!H30-PagoCorpac!H30)</f>
        <v>75311.953042350462</v>
      </c>
      <c r="I30" s="64">
        <f>+$C$75*(IngresosBrutos!I30-PagoCorpac!I30)</f>
        <v>46855.093029100281</v>
      </c>
      <c r="J30" s="64">
        <f>+$C$75*(IngresosBrutos!J30-PagoCorpac!J30)</f>
        <v>11125.587011850001</v>
      </c>
      <c r="K30" s="64">
        <f>+$C$75*(IngresosBrutos!K30-PagoCorpac!K30)</f>
        <v>15946.359139850005</v>
      </c>
      <c r="L30" s="64">
        <f>+$C$75*(IngresosBrutos!L30-PagoCorpac!L30)</f>
        <v>14750.24505505</v>
      </c>
      <c r="M30" s="64">
        <f>+$C$75*(IngresosBrutos!M30-PagoCorpac!M30)</f>
        <v>22083.485589850017</v>
      </c>
      <c r="N30" s="64">
        <f>+$C$75*(IngresosBrutos!N30-PagoCorpac!N30)</f>
        <v>22404.344048900017</v>
      </c>
      <c r="O30" s="64">
        <f>+$C$75*(IngresosBrutos!O30-PagoCorpac!O30)</f>
        <v>40489.130133550105</v>
      </c>
    </row>
    <row r="31" spans="2:15" ht="9.75" customHeight="1">
      <c r="B31" s="53" t="str">
        <f>+IngresosBrutos!B31</f>
        <v>AND-Más de 100 t</v>
      </c>
      <c r="C31" s="63">
        <f>+$C$75*(IngresosBrutos!C31-PagoCorpac!C31)</f>
        <v>3535.3206664001027</v>
      </c>
      <c r="D31" s="63">
        <f>+$C$75*(IngresosBrutos!D31-PagoCorpac!D31)</f>
        <v>1760.00182105</v>
      </c>
      <c r="E31" s="63">
        <f>+$C$75*(IngresosBrutos!E31-PagoCorpac!E31)</f>
        <v>714.36710010000013</v>
      </c>
      <c r="F31" s="63">
        <f>+$C$75*(IngresosBrutos!F31-PagoCorpac!F31)</f>
        <v>4701.2504857500007</v>
      </c>
      <c r="G31" s="63">
        <f>+$C$75*(IngresosBrutos!G31-PagoCorpac!G31)</f>
        <v>754.82004234999999</v>
      </c>
      <c r="H31" s="63">
        <f>+$C$75*(IngresosBrutos!H31-PagoCorpac!H31)</f>
        <v>754.82004234999999</v>
      </c>
      <c r="I31" s="63">
        <f>+$C$75*(IngresosBrutos!I31-PagoCorpac!I31)</f>
        <v>788.88934985000003</v>
      </c>
      <c r="J31" s="63">
        <f>+$C$75*(IngresosBrutos!J31-PagoCorpac!J31)</f>
        <v>450.01485495000003</v>
      </c>
      <c r="K31" s="63">
        <f>+$C$75*(IngresosBrutos!K31-PagoCorpac!K31)</f>
        <v>893.4507289500001</v>
      </c>
      <c r="L31" s="63">
        <f>+$C$75*(IngresosBrutos!L31-PagoCorpac!L31)</f>
        <v>504.09086910000002</v>
      </c>
      <c r="M31" s="63">
        <f>+$C$75*(IngresosBrutos!M31-PagoCorpac!M31)</f>
        <v>474.7610325</v>
      </c>
      <c r="N31" s="63">
        <f>+$C$75*(IngresosBrutos!N31-PagoCorpac!N31)</f>
        <v>477.30053310000005</v>
      </c>
      <c r="O31" s="63">
        <f>+$C$75*(IngresosBrutos!O31-PagoCorpac!O31)</f>
        <v>65.571207799999996</v>
      </c>
    </row>
    <row r="32" spans="2:15" ht="9.75" customHeight="1">
      <c r="B32" s="60" t="str">
        <f>+IngresosBrutos!B32</f>
        <v>ANN-Hasta 10 t</v>
      </c>
      <c r="C32" s="64">
        <f>+$C$75*(IngresosBrutos!C32-PagoCorpac!C32)</f>
        <v>634.95056882067365</v>
      </c>
      <c r="D32" s="64">
        <f>+$C$75*(IngresosBrutos!D32-PagoCorpac!D32)</f>
        <v>742.26207235000004</v>
      </c>
      <c r="E32" s="64">
        <f>+$C$75*(IngresosBrutos!E32-PagoCorpac!E32)</f>
        <v>751.19450989999996</v>
      </c>
      <c r="F32" s="64">
        <f>+$C$75*(IngresosBrutos!F32-PagoCorpac!F32)</f>
        <v>1307.0381687000001</v>
      </c>
      <c r="G32" s="64">
        <f>+$C$75*(IngresosBrutos!G32-PagoCorpac!G32)</f>
        <v>1677.1843344500023</v>
      </c>
      <c r="H32" s="64">
        <f>+$C$75*(IngresosBrutos!H32-PagoCorpac!H32)</f>
        <v>1677.1843344500023</v>
      </c>
      <c r="I32" s="64">
        <f>+$C$75*(IngresosBrutos!I32-PagoCorpac!I32)</f>
        <v>1819.219626249987</v>
      </c>
      <c r="J32" s="64">
        <f>+$C$75*(IngresosBrutos!J32-PagoCorpac!J32)</f>
        <v>1861.7841679000016</v>
      </c>
      <c r="K32" s="64">
        <f>+$C$75*(IngresosBrutos!K32-PagoCorpac!K32)</f>
        <v>1829.9566906000018</v>
      </c>
      <c r="L32" s="64">
        <f>+$C$75*(IngresosBrutos!L32-PagoCorpac!L32)</f>
        <v>1800.9315010500025</v>
      </c>
      <c r="M32" s="64">
        <f>+$C$75*(IngresosBrutos!M32-PagoCorpac!M32)</f>
        <v>1645.3336016500007</v>
      </c>
      <c r="N32" s="64">
        <f>+$C$75*(IngresosBrutos!N32-PagoCorpac!N32)</f>
        <v>1323.0286504999997</v>
      </c>
      <c r="O32" s="64">
        <f>+$C$75*(IngresosBrutos!O32-PagoCorpac!O32)</f>
        <v>734.70636040000409</v>
      </c>
    </row>
    <row r="33" spans="2:15" ht="9.75" customHeight="1">
      <c r="B33" s="53" t="str">
        <f>+IngresosBrutos!B33</f>
        <v>ANN-Más de 10 t hasta 35 t</v>
      </c>
      <c r="C33" s="63">
        <f>+$C$75*(IngresosBrutos!C33-PagoCorpac!C33)</f>
        <v>2562.5522172914016</v>
      </c>
      <c r="D33" s="63">
        <f>+$C$75*(IngresosBrutos!D33-PagoCorpac!D33)</f>
        <v>2511.0312168999999</v>
      </c>
      <c r="E33" s="63">
        <f>+$C$75*(IngresosBrutos!E33-PagoCorpac!E33)</f>
        <v>3349.3733875000003</v>
      </c>
      <c r="F33" s="63">
        <f>+$C$75*(IngresosBrutos!F33-PagoCorpac!F33)</f>
        <v>3483.8529673500002</v>
      </c>
      <c r="G33" s="63">
        <f>+$C$75*(IngresosBrutos!G33-PagoCorpac!G33)</f>
        <v>2299.2154718000002</v>
      </c>
      <c r="H33" s="63">
        <f>+$C$75*(IngresosBrutos!H33-PagoCorpac!H33)</f>
        <v>2299.2154718000002</v>
      </c>
      <c r="I33" s="63">
        <f>+$C$75*(IngresosBrutos!I33-PagoCorpac!I33)</f>
        <v>3053.0238999000003</v>
      </c>
      <c r="J33" s="63">
        <f>+$C$75*(IngresosBrutos!J33-PagoCorpac!J33)</f>
        <v>4062.4312029499997</v>
      </c>
      <c r="K33" s="63">
        <f>+$C$75*(IngresosBrutos!K33-PagoCorpac!K33)</f>
        <v>2411.8604627</v>
      </c>
      <c r="L33" s="63">
        <f>+$C$75*(IngresosBrutos!L33-PagoCorpac!L33)</f>
        <v>1730.9882592500003</v>
      </c>
      <c r="M33" s="63">
        <f>+$C$75*(IngresosBrutos!M33-PagoCorpac!M33)</f>
        <v>2556.0213072000006</v>
      </c>
      <c r="N33" s="63">
        <f>+$C$75*(IngresosBrutos!N33-PagoCorpac!N33)</f>
        <v>2856.8637574000004</v>
      </c>
      <c r="O33" s="63">
        <f>+$C$75*(IngresosBrutos!O33-PagoCorpac!O33)</f>
        <v>4992.527948800006</v>
      </c>
    </row>
    <row r="34" spans="2:15" ht="9.75" customHeight="1">
      <c r="B34" s="60" t="str">
        <f>+IngresosBrutos!B34</f>
        <v>ANN-Más de 35 t hasta 70 t</v>
      </c>
      <c r="C34" s="64">
        <f>+$C$75*(IngresosBrutos!C34-PagoCorpac!C34)</f>
        <v>24374.074750257518</v>
      </c>
      <c r="D34" s="64">
        <f>+$C$75*(IngresosBrutos!D34-PagoCorpac!D34)</f>
        <v>17705.237720250003</v>
      </c>
      <c r="E34" s="64">
        <f>+$C$75*(IngresosBrutos!E34-PagoCorpac!E34)</f>
        <v>17524.354115700004</v>
      </c>
      <c r="F34" s="64">
        <f>+$C$75*(IngresosBrutos!F34-PagoCorpac!F34)</f>
        <v>13516.589616600002</v>
      </c>
      <c r="G34" s="64">
        <f>+$C$75*(IngresosBrutos!G34-PagoCorpac!G34)</f>
        <v>21120.291616400002</v>
      </c>
      <c r="H34" s="64">
        <f>+$C$75*(IngresosBrutos!H34-PagoCorpac!H34)</f>
        <v>21120.291616400002</v>
      </c>
      <c r="I34" s="64">
        <f>+$C$75*(IngresosBrutos!I34-PagoCorpac!I34)</f>
        <v>67109.117270501243</v>
      </c>
      <c r="J34" s="64">
        <f>+$C$75*(IngresosBrutos!J34-PagoCorpac!J34)</f>
        <v>113816.44950369863</v>
      </c>
      <c r="K34" s="64">
        <f>+$C$75*(IngresosBrutos!K34-PagoCorpac!K34)</f>
        <v>124161.05403569862</v>
      </c>
      <c r="L34" s="64">
        <f>+$C$75*(IngresosBrutos!L34-PagoCorpac!L34)</f>
        <v>138870.37406185159</v>
      </c>
      <c r="M34" s="64">
        <f>+$C$75*(IngresosBrutos!M34-PagoCorpac!M34)</f>
        <v>186321.62415899977</v>
      </c>
      <c r="N34" s="64">
        <f>+$C$75*(IngresosBrutos!N34-PagoCorpac!N34)</f>
        <v>211523.46765044922</v>
      </c>
      <c r="O34" s="64">
        <f>+$C$75*(IngresosBrutos!O34-PagoCorpac!O34)</f>
        <v>210426.12432521957</v>
      </c>
    </row>
    <row r="35" spans="2:15" ht="9.75" customHeight="1">
      <c r="B35" s="53" t="str">
        <f>+IngresosBrutos!B35</f>
        <v>ANN-Más de 70 t hasta 100 t</v>
      </c>
      <c r="C35" s="63">
        <f>+$C$75*(IngresosBrutos!C35-PagoCorpac!C35)</f>
        <v>8344.739694053098</v>
      </c>
      <c r="D35" s="63">
        <f>+$C$75*(IngresosBrutos!D35-PagoCorpac!D35)</f>
        <v>17265.634352650024</v>
      </c>
      <c r="E35" s="63">
        <f>+$C$75*(IngresosBrutos!E35-PagoCorpac!E35)</f>
        <v>16981.175402199999</v>
      </c>
      <c r="F35" s="63">
        <f>+$C$75*(IngresosBrutos!F35-PagoCorpac!F35)</f>
        <v>28245.090779149999</v>
      </c>
      <c r="G35" s="63">
        <f>+$C$75*(IngresosBrutos!G35-PagoCorpac!G35)</f>
        <v>47454.654702350002</v>
      </c>
      <c r="H35" s="63">
        <f>+$C$75*(IngresosBrutos!H35-PagoCorpac!H35)</f>
        <v>47454.654702350002</v>
      </c>
      <c r="I35" s="63">
        <f>+$C$75*(IngresosBrutos!I35-PagoCorpac!I35)</f>
        <v>30282.751642449486</v>
      </c>
      <c r="J35" s="63">
        <f>+$C$75*(IngresosBrutos!J35-PagoCorpac!J35)</f>
        <v>1668.5449162000002</v>
      </c>
      <c r="K35" s="63">
        <f>+$C$75*(IngresosBrutos!K35-PagoCorpac!K35)</f>
        <v>2836.5314737500007</v>
      </c>
      <c r="L35" s="63">
        <f>+$C$75*(IngresosBrutos!L35-PagoCorpac!L35)</f>
        <v>1867.90734105</v>
      </c>
      <c r="M35" s="63">
        <f>+$C$75*(IngresosBrutos!M35-PagoCorpac!M35)</f>
        <v>3087.4490165500006</v>
      </c>
      <c r="N35" s="63">
        <f>+$C$75*(IngresosBrutos!N35-PagoCorpac!N35)</f>
        <v>6586.5157319999998</v>
      </c>
      <c r="O35" s="63">
        <f>+$C$75*(IngresosBrutos!O35-PagoCorpac!O35)</f>
        <v>14634.772195350039</v>
      </c>
    </row>
    <row r="36" spans="2:15" ht="9.75" customHeight="1">
      <c r="B36" s="60" t="str">
        <f>+IngresosBrutos!B36</f>
        <v>ANN-Más de 100 t</v>
      </c>
      <c r="C36" s="64">
        <f>+$C$75*(IngresosBrutos!C36-PagoCorpac!C36)</f>
        <v>4534.0514577118229</v>
      </c>
      <c r="D36" s="64">
        <f>+$C$75*(IngresosBrutos!D36-PagoCorpac!D36)</f>
        <v>3033.2288183000001</v>
      </c>
      <c r="E36" s="64">
        <f>+$C$75*(IngresosBrutos!E36-PagoCorpac!E36)</f>
        <v>1507.0075621000001</v>
      </c>
      <c r="F36" s="64">
        <f>+$C$75*(IngresosBrutos!F36-PagoCorpac!F36)</f>
        <v>2724.2004320999999</v>
      </c>
      <c r="G36" s="64">
        <f>+$C$75*(IngresosBrutos!G36-PagoCorpac!G36)</f>
        <v>3299.5880131000004</v>
      </c>
      <c r="H36" s="64">
        <f>+$C$75*(IngresosBrutos!H36-PagoCorpac!H36)</f>
        <v>3299.5880131000004</v>
      </c>
      <c r="I36" s="64">
        <f>+$C$75*(IngresosBrutos!I36-PagoCorpac!I36)</f>
        <v>2763.2557188000001</v>
      </c>
      <c r="J36" s="64">
        <f>+$C$75*(IngresosBrutos!J36-PagoCorpac!J36)</f>
        <v>684.21401879999996</v>
      </c>
      <c r="K36" s="64">
        <f>+$C$75*(IngresosBrutos!K36-PagoCorpac!K36)</f>
        <v>1282.90128525</v>
      </c>
      <c r="L36" s="64">
        <f>+$C$75*(IngresosBrutos!L36-PagoCorpac!L36)</f>
        <v>923.95729384999993</v>
      </c>
      <c r="M36" s="64">
        <f>+$C$75*(IngresosBrutos!M36-PagoCorpac!M36)</f>
        <v>1997.5776834999999</v>
      </c>
      <c r="N36" s="64">
        <f>+$C$75*(IngresosBrutos!N36-PagoCorpac!N36)</f>
        <v>1912.0625588999999</v>
      </c>
      <c r="O36" s="64">
        <f>+$C$75*(IngresosBrutos!O36-PagoCorpac!O36)</f>
        <v>325.2700274</v>
      </c>
    </row>
    <row r="37" spans="2:15" ht="9.75" customHeight="1">
      <c r="B37" s="53" t="str">
        <f>+IngresosBrutos!B37</f>
        <v>DND-Hasta 10 t</v>
      </c>
      <c r="C37" s="63">
        <f>+$C$75*(IngresosBrutos!C37-PagoCorpac!C37)</f>
        <v>2965.561239235622</v>
      </c>
      <c r="D37" s="63">
        <f>+$C$75*(IngresosBrutos!D37-PagoCorpac!D37)</f>
        <v>3671.1271833000001</v>
      </c>
      <c r="E37" s="63">
        <f>+$C$75*(IngresosBrutos!E37-PagoCorpac!E37)</f>
        <v>3378.3311361000001</v>
      </c>
      <c r="F37" s="63">
        <f>+$C$75*(IngresosBrutos!F37-PagoCorpac!F37)</f>
        <v>6299.0731009000474</v>
      </c>
      <c r="G37" s="63">
        <f>+$C$75*(IngresosBrutos!G37-PagoCorpac!G37)</f>
        <v>6127.6358804500469</v>
      </c>
      <c r="H37" s="63">
        <f>+$C$75*(IngresosBrutos!H37-PagoCorpac!H37)</f>
        <v>6127.6358804500469</v>
      </c>
      <c r="I37" s="63">
        <f>+$C$75*(IngresosBrutos!I37-PagoCorpac!I37)</f>
        <v>7775.6833989495535</v>
      </c>
      <c r="J37" s="63">
        <f>+$C$75*(IngresosBrutos!J37-PagoCorpac!J37)</f>
        <v>8232.3911868000541</v>
      </c>
      <c r="K37" s="63">
        <f>+$C$75*(IngresosBrutos!K37-PagoCorpac!K37)</f>
        <v>8485.0482410000459</v>
      </c>
      <c r="L37" s="63">
        <f>+$C$75*(IngresosBrutos!L37-PagoCorpac!L37)</f>
        <v>8953.8233078000376</v>
      </c>
      <c r="M37" s="63">
        <f>+$C$75*(IngresosBrutos!M37-PagoCorpac!M37)</f>
        <v>9382.6337978500669</v>
      </c>
      <c r="N37" s="63">
        <f>+$C$75*(IngresosBrutos!N37-PagoCorpac!N37)</f>
        <v>7460.6899770000209</v>
      </c>
      <c r="O37" s="63">
        <f>+$C$75*(IngresosBrutos!O37-PagoCorpac!O37)</f>
        <v>5664.8584070996294</v>
      </c>
    </row>
    <row r="38" spans="2:15" ht="9.75" customHeight="1">
      <c r="B38" s="60" t="str">
        <f>+IngresosBrutos!B38</f>
        <v>DND-Más de 10 t hasta 35 t</v>
      </c>
      <c r="C38" s="64">
        <f>+$C$75*(IngresosBrutos!C38-PagoCorpac!C38)</f>
        <v>9677.3464666309537</v>
      </c>
      <c r="D38" s="64">
        <f>+$C$75*(IngresosBrutos!D38-PagoCorpac!D38)</f>
        <v>9793.3980198999998</v>
      </c>
      <c r="E38" s="64">
        <f>+$C$75*(IngresosBrutos!E38-PagoCorpac!E38)</f>
        <v>13248.428120550023</v>
      </c>
      <c r="F38" s="64">
        <f>+$C$75*(IngresosBrutos!F38-PagoCorpac!F38)</f>
        <v>10957.1683553</v>
      </c>
      <c r="G38" s="64">
        <f>+$C$75*(IngresosBrutos!G38-PagoCorpac!G38)</f>
        <v>9753.2869334999996</v>
      </c>
      <c r="H38" s="64">
        <f>+$C$75*(IngresosBrutos!H38-PagoCorpac!H38)</f>
        <v>9753.2869334999996</v>
      </c>
      <c r="I38" s="64">
        <f>+$C$75*(IngresosBrutos!I38-PagoCorpac!I38)</f>
        <v>12248.339296350023</v>
      </c>
      <c r="J38" s="64">
        <f>+$C$75*(IngresosBrutos!J38-PagoCorpac!J38)</f>
        <v>19768.256380750056</v>
      </c>
      <c r="K38" s="64">
        <f>+$C$75*(IngresosBrutos!K38-PagoCorpac!K38)</f>
        <v>14198.838545650024</v>
      </c>
      <c r="L38" s="64">
        <f>+$C$75*(IngresosBrutos!L38-PagoCorpac!L38)</f>
        <v>11213.090481699999</v>
      </c>
      <c r="M38" s="64">
        <f>+$C$75*(IngresosBrutos!M38-PagoCorpac!M38)</f>
        <v>14027.261792199974</v>
      </c>
      <c r="N38" s="64">
        <f>+$C$75*(IngresosBrutos!N38-PagoCorpac!N38)</f>
        <v>16447.177960099954</v>
      </c>
      <c r="O38" s="64">
        <f>+$C$75*(IngresosBrutos!O38-PagoCorpac!O38)</f>
        <v>30659.304698448879</v>
      </c>
    </row>
    <row r="39" spans="2:15" ht="9.75" customHeight="1">
      <c r="B39" s="53" t="str">
        <f>+IngresosBrutos!B39</f>
        <v>DND-Más de 35 t hasta 70 t</v>
      </c>
      <c r="C39" s="63">
        <f>+$C$75*(IngresosBrutos!C39-PagoCorpac!C39)</f>
        <v>60916.400978156329</v>
      </c>
      <c r="D39" s="63">
        <f>+$C$75*(IngresosBrutos!D39-PagoCorpac!D39)</f>
        <v>40598.06354664977</v>
      </c>
      <c r="E39" s="63">
        <f>+$C$75*(IngresosBrutos!E39-PagoCorpac!E39)</f>
        <v>41432.15693739977</v>
      </c>
      <c r="F39" s="63">
        <f>+$C$75*(IngresosBrutos!F39-PagoCorpac!F39)</f>
        <v>29355.240908200001</v>
      </c>
      <c r="G39" s="63">
        <f>+$C$75*(IngresosBrutos!G39-PagoCorpac!G39)</f>
        <v>59759.202542200015</v>
      </c>
      <c r="H39" s="63">
        <f>+$C$75*(IngresosBrutos!H39-PagoCorpac!H39)</f>
        <v>59759.202542200015</v>
      </c>
      <c r="I39" s="63">
        <f>+$C$75*(IngresosBrutos!I39-PagoCorpac!I39)</f>
        <v>139520.60481850093</v>
      </c>
      <c r="J39" s="63">
        <f>+$C$75*(IngresosBrutos!J39-PagoCorpac!J39)</f>
        <v>181356.15165890139</v>
      </c>
      <c r="K39" s="63">
        <f>+$C$75*(IngresosBrutos!K39-PagoCorpac!K39)</f>
        <v>188100.89781290141</v>
      </c>
      <c r="L39" s="63">
        <f>+$C$75*(IngresosBrutos!L39-PagoCorpac!L39)</f>
        <v>211069.26913105091</v>
      </c>
      <c r="M39" s="63">
        <f>+$C$75*(IngresosBrutos!M39-PagoCorpac!M39)</f>
        <v>279029.37026194826</v>
      </c>
      <c r="N39" s="63">
        <f>+$C$75*(IngresosBrutos!N39-PagoCorpac!N39)</f>
        <v>369113.66108434973</v>
      </c>
      <c r="O39" s="63">
        <f>+$C$75*(IngresosBrutos!O39-PagoCorpac!O39)</f>
        <v>400133.20278000121</v>
      </c>
    </row>
    <row r="40" spans="2:15" ht="9.75" customHeight="1">
      <c r="B40" s="60" t="str">
        <f>+IngresosBrutos!B40</f>
        <v>DND-Más de 70 t hasta 100 t</v>
      </c>
      <c r="C40" s="64">
        <f>+$C$75*(IngresosBrutos!C40-PagoCorpac!C40)</f>
        <v>29309.819526670966</v>
      </c>
      <c r="D40" s="64">
        <f>+$C$75*(IngresosBrutos!D40-PagoCorpac!D40)</f>
        <v>53265.87159869977</v>
      </c>
      <c r="E40" s="64">
        <f>+$C$75*(IngresosBrutos!E40-PagoCorpac!E40)</f>
        <v>49793.306851049769</v>
      </c>
      <c r="F40" s="64">
        <f>+$C$75*(IngresosBrutos!F40-PagoCorpac!F40)</f>
        <v>60140.227630849768</v>
      </c>
      <c r="G40" s="64">
        <f>+$C$75*(IngresosBrutos!G40-PagoCorpac!G40)</f>
        <v>86171.797130150706</v>
      </c>
      <c r="H40" s="64">
        <f>+$C$75*(IngresosBrutos!H40-PagoCorpac!H40)</f>
        <v>86171.797130150706</v>
      </c>
      <c r="I40" s="64">
        <f>+$C$75*(IngresosBrutos!I40-PagoCorpac!I40)</f>
        <v>72650.923850450927</v>
      </c>
      <c r="J40" s="64">
        <f>+$C$75*(IngresosBrutos!J40-PagoCorpac!J40)</f>
        <v>11984.073096550001</v>
      </c>
      <c r="K40" s="64">
        <f>+$C$75*(IngresosBrutos!K40-PagoCorpac!K40)</f>
        <v>14382.722109700002</v>
      </c>
      <c r="L40" s="64">
        <f>+$C$75*(IngresosBrutos!L40-PagoCorpac!L40)</f>
        <v>12569.839607200001</v>
      </c>
      <c r="M40" s="64">
        <f>+$C$75*(IngresosBrutos!M40-PagoCorpac!M40)</f>
        <v>21715.176608600024</v>
      </c>
      <c r="N40" s="64">
        <f>+$C$75*(IngresosBrutos!N40-PagoCorpac!N40)</f>
        <v>25638.972473850019</v>
      </c>
      <c r="O40" s="64">
        <f>+$C$75*(IngresosBrutos!O40-PagoCorpac!O40)</f>
        <v>44993.160026000391</v>
      </c>
    </row>
    <row r="41" spans="2:15" ht="9.75" customHeight="1">
      <c r="B41" s="53" t="str">
        <f>+IngresosBrutos!B41</f>
        <v>DND-Más de 100 t</v>
      </c>
      <c r="C41" s="63">
        <f>+$C$75*(IngresosBrutos!C41-PagoCorpac!C41)</f>
        <v>5355.7042246871006</v>
      </c>
      <c r="D41" s="63">
        <f>+$C$75*(IngresosBrutos!D41-PagoCorpac!D41)</f>
        <v>3007.4198644000003</v>
      </c>
      <c r="E41" s="63">
        <f>+$C$75*(IngresosBrutos!E41-PagoCorpac!E41)</f>
        <v>1132.8730781000002</v>
      </c>
      <c r="F41" s="63">
        <f>+$C$75*(IngresosBrutos!F41-PagoCorpac!F41)</f>
        <v>6180.0909862500002</v>
      </c>
      <c r="G41" s="63">
        <f>+$C$75*(IngresosBrutos!G41-PagoCorpac!G41)</f>
        <v>2574.8559366500003</v>
      </c>
      <c r="H41" s="63">
        <f>+$C$75*(IngresosBrutos!H41-PagoCorpac!H41)</f>
        <v>2574.8559366500003</v>
      </c>
      <c r="I41" s="63">
        <f>+$C$75*(IngresosBrutos!I41-PagoCorpac!I41)</f>
        <v>1086.8085837000001</v>
      </c>
      <c r="J41" s="63">
        <f>+$C$75*(IngresosBrutos!J41-PagoCorpac!J41)</f>
        <v>894.61350394999999</v>
      </c>
      <c r="K41" s="63">
        <f>+$C$75*(IngresosBrutos!K41-PagoCorpac!K41)</f>
        <v>1563.6719134000002</v>
      </c>
      <c r="L41" s="63">
        <f>+$C$75*(IngresosBrutos!L41-PagoCorpac!L41)</f>
        <v>1123.8871529000003</v>
      </c>
      <c r="M41" s="63">
        <f>+$C$75*(IngresosBrutos!M41-PagoCorpac!M41)</f>
        <v>2131.8642427</v>
      </c>
      <c r="N41" s="63">
        <f>+$C$75*(IngresosBrutos!N41-PagoCorpac!N41)</f>
        <v>1031.5163069</v>
      </c>
      <c r="O41" s="63">
        <f>+$C$75*(IngresosBrutos!O41-PagoCorpac!O41)</f>
        <v>212.48782905000002</v>
      </c>
    </row>
    <row r="42" spans="2:15" ht="9.75" customHeight="1">
      <c r="B42" s="60" t="str">
        <f>+IngresosBrutos!B42</f>
        <v>DNN-Hasta 10 t</v>
      </c>
      <c r="C42" s="64">
        <f>+$C$75*(IngresosBrutos!C42-PagoCorpac!C42)</f>
        <v>474.67707104815145</v>
      </c>
      <c r="D42" s="64">
        <f>+$C$75*(IngresosBrutos!D42-PagoCorpac!D42)</f>
        <v>437.82897295000004</v>
      </c>
      <c r="E42" s="64">
        <f>+$C$75*(IngresosBrutos!E42-PagoCorpac!E42)</f>
        <v>525.87429595000003</v>
      </c>
      <c r="F42" s="64">
        <f>+$C$75*(IngresosBrutos!F42-PagoCorpac!F42)</f>
        <v>1130.4521805500001</v>
      </c>
      <c r="G42" s="64">
        <f>+$C$75*(IngresosBrutos!G42-PagoCorpac!G42)</f>
        <v>1204.7814096500001</v>
      </c>
      <c r="H42" s="64">
        <f>+$C$75*(IngresosBrutos!H42-PagoCorpac!H42)</f>
        <v>1204.7814096500001</v>
      </c>
      <c r="I42" s="64">
        <f>+$C$75*(IngresosBrutos!I42-PagoCorpac!I42)</f>
        <v>1429.0179172999999</v>
      </c>
      <c r="J42" s="64">
        <f>+$C$75*(IngresosBrutos!J42-PagoCorpac!J42)</f>
        <v>1743.5671592000015</v>
      </c>
      <c r="K42" s="64">
        <f>+$C$75*(IngresosBrutos!K42-PagoCorpac!K42)</f>
        <v>1462.6174636999999</v>
      </c>
      <c r="L42" s="64">
        <f>+$C$75*(IngresosBrutos!L42-PagoCorpac!L42)</f>
        <v>2033.0679020500029</v>
      </c>
      <c r="M42" s="64">
        <f>+$C$75*(IngresosBrutos!M42-PagoCorpac!M42)</f>
        <v>1673.3495025000011</v>
      </c>
      <c r="N42" s="64">
        <f>+$C$75*(IngresosBrutos!N42-PagoCorpac!N42)</f>
        <v>872.47194239999942</v>
      </c>
      <c r="O42" s="64">
        <f>+$C$75*(IngresosBrutos!O42-PagoCorpac!O42)</f>
        <v>230.95967270000065</v>
      </c>
    </row>
    <row r="43" spans="2:15" ht="9.75" customHeight="1">
      <c r="B43" s="53" t="str">
        <f>+IngresosBrutos!B43</f>
        <v>DNN-Más de 10 t hasta 35 t</v>
      </c>
      <c r="C43" s="63">
        <f>+$C$75*(IngresosBrutos!C43-PagoCorpac!C43)</f>
        <v>625.25605047271199</v>
      </c>
      <c r="D43" s="63">
        <f>+$C$75*(IngresosBrutos!D43-PagoCorpac!D43)</f>
        <v>634.49841090000007</v>
      </c>
      <c r="E43" s="63">
        <f>+$C$75*(IngresosBrutos!E43-PagoCorpac!E43)</f>
        <v>653.46094560000006</v>
      </c>
      <c r="F43" s="63">
        <f>+$C$75*(IngresosBrutos!F43-PagoCorpac!F43)</f>
        <v>1352.8189460000001</v>
      </c>
      <c r="G43" s="63">
        <f>+$C$75*(IngresosBrutos!G43-PagoCorpac!G43)</f>
        <v>720.92747665000013</v>
      </c>
      <c r="H43" s="63">
        <f>+$C$75*(IngresosBrutos!H43-PagoCorpac!H43)</f>
        <v>720.92747665000013</v>
      </c>
      <c r="I43" s="63">
        <f>+$C$75*(IngresosBrutos!I43-PagoCorpac!I43)</f>
        <v>976.23100675000251</v>
      </c>
      <c r="J43" s="63">
        <f>+$C$75*(IngresosBrutos!J43-PagoCorpac!J43)</f>
        <v>1050.88116175</v>
      </c>
      <c r="K43" s="63">
        <f>+$C$75*(IngresosBrutos!K43-PagoCorpac!K43)</f>
        <v>795.03810405000002</v>
      </c>
      <c r="L43" s="63">
        <f>+$C$75*(IngresosBrutos!L43-PagoCorpac!L43)</f>
        <v>188.7137314</v>
      </c>
      <c r="M43" s="63">
        <f>+$C$75*(IngresosBrutos!M43-PagoCorpac!M43)</f>
        <v>263.71969554999998</v>
      </c>
      <c r="N43" s="63">
        <f>+$C$75*(IngresosBrutos!N43-PagoCorpac!N43)</f>
        <v>200.38799240000003</v>
      </c>
      <c r="O43" s="63">
        <f>+$C$75*(IngresosBrutos!O43-PagoCorpac!O43)</f>
        <v>3107.9440886999992</v>
      </c>
    </row>
    <row r="44" spans="2:15" ht="9.75" customHeight="1">
      <c r="B44" s="60" t="str">
        <f>+IngresosBrutos!B44</f>
        <v>DNN-Más de 35 t hasta 70 t</v>
      </c>
      <c r="C44" s="64">
        <f>+$C$75*(IngresosBrutos!C44-PagoCorpac!C44)</f>
        <v>5148.5005041245113</v>
      </c>
      <c r="D44" s="64">
        <f>+$C$75*(IngresosBrutos!D44-PagoCorpac!D44)</f>
        <v>3145.0389367500002</v>
      </c>
      <c r="E44" s="64">
        <f>+$C$75*(IngresosBrutos!E44-PagoCorpac!E44)</f>
        <v>3662.1528858500001</v>
      </c>
      <c r="F44" s="64">
        <f>+$C$75*(IngresosBrutos!F44-PagoCorpac!F44)</f>
        <v>6577.6414332000004</v>
      </c>
      <c r="G44" s="64">
        <f>+$C$75*(IngresosBrutos!G44-PagoCorpac!G44)</f>
        <v>9955.0144426999996</v>
      </c>
      <c r="H44" s="64">
        <f>+$C$75*(IngresosBrutos!H44-PagoCorpac!H44)</f>
        <v>9955.0144426999996</v>
      </c>
      <c r="I44" s="64">
        <f>+$C$75*(IngresosBrutos!I44-PagoCorpac!I44)</f>
        <v>40199.868922349859</v>
      </c>
      <c r="J44" s="64">
        <f>+$C$75*(IngresosBrutos!J44-PagoCorpac!J44)</f>
        <v>81102.998117999421</v>
      </c>
      <c r="K44" s="64">
        <f>+$C$75*(IngresosBrutos!K44-PagoCorpac!K44)</f>
        <v>122764.47288979868</v>
      </c>
      <c r="L44" s="64">
        <f>+$C$75*(IngresosBrutos!L44-PagoCorpac!L44)</f>
        <v>138412.76628615172</v>
      </c>
      <c r="M44" s="64">
        <f>+$C$75*(IngresosBrutos!M44-PagoCorpac!M44)</f>
        <v>172725.81700719945</v>
      </c>
      <c r="N44" s="64">
        <f>+$C$75*(IngresosBrutos!N44-PagoCorpac!N44)</f>
        <v>150585.64381054966</v>
      </c>
      <c r="O44" s="64">
        <f>+$C$75*(IngresosBrutos!O44-PagoCorpac!O44)</f>
        <v>146173.66848928499</v>
      </c>
    </row>
    <row r="45" spans="2:15" ht="9.75" customHeight="1">
      <c r="B45" s="53" t="str">
        <f>+IngresosBrutos!B45</f>
        <v>DNN-Más de 70 t hasta 100 t</v>
      </c>
      <c r="C45" s="63">
        <f>+$C$75*(IngresosBrutos!C45-PagoCorpac!C45)</f>
        <v>4276.3325486922013</v>
      </c>
      <c r="D45" s="63">
        <f>+$C$75*(IngresosBrutos!D45-PagoCorpac!D45)</f>
        <v>5291.8960003000002</v>
      </c>
      <c r="E45" s="63">
        <f>+$C$75*(IngresosBrutos!E45-PagoCorpac!E45)</f>
        <v>8438.6139841500008</v>
      </c>
      <c r="F45" s="63">
        <f>+$C$75*(IngresosBrutos!F45-PagoCorpac!F45)</f>
        <v>13608.711628750001</v>
      </c>
      <c r="G45" s="63">
        <f>+$C$75*(IngresosBrutos!G45-PagoCorpac!G45)</f>
        <v>30813.114249900002</v>
      </c>
      <c r="H45" s="63">
        <f>+$C$75*(IngresosBrutos!H45-PagoCorpac!H45)</f>
        <v>30813.114249900002</v>
      </c>
      <c r="I45" s="63">
        <f>+$C$75*(IngresosBrutos!I45-PagoCorpac!I45)</f>
        <v>21862.862986899698</v>
      </c>
      <c r="J45" s="63">
        <f>+$C$75*(IngresosBrutos!J45-PagoCorpac!J45)</f>
        <v>626.67293515000006</v>
      </c>
      <c r="K45" s="63">
        <f>+$C$75*(IngresosBrutos!K45-PagoCorpac!K45)</f>
        <v>4607.3726833500004</v>
      </c>
      <c r="L45" s="63">
        <f>+$C$75*(IngresosBrutos!L45-PagoCorpac!L45)</f>
        <v>4195.9782372500013</v>
      </c>
      <c r="M45" s="63">
        <f>+$C$75*(IngresosBrutos!M45-PagoCorpac!M45)</f>
        <v>3510.3084241500001</v>
      </c>
      <c r="N45" s="63">
        <f>+$C$75*(IngresosBrutos!N45-PagoCorpac!N45)</f>
        <v>2761.3092334499997</v>
      </c>
      <c r="O45" s="63">
        <f>+$C$75*(IngresosBrutos!O45-PagoCorpac!O45)</f>
        <v>9542.3572229500278</v>
      </c>
    </row>
    <row r="46" spans="2:15" ht="9.75" customHeight="1">
      <c r="B46" s="60" t="str">
        <f>+IngresosBrutos!B46</f>
        <v>DNN-Más de 100 t</v>
      </c>
      <c r="C46" s="64">
        <f>+$C$75*(IngresosBrutos!C46-PagoCorpac!C46)</f>
        <v>1970.14706223644</v>
      </c>
      <c r="D46" s="64">
        <f>+$C$75*(IngresosBrutos!D46-PagoCorpac!D46)</f>
        <v>1665.8007672000001</v>
      </c>
      <c r="E46" s="64">
        <f>+$C$75*(IngresosBrutos!E46-PagoCorpac!E46)</f>
        <v>1847.2587826000001</v>
      </c>
      <c r="F46" s="64">
        <f>+$C$75*(IngresosBrutos!F46-PagoCorpac!F46)</f>
        <v>1139.5567088</v>
      </c>
      <c r="G46" s="64">
        <f>+$C$75*(IngresosBrutos!G46-PagoCorpac!G46)</f>
        <v>1763.4552628000001</v>
      </c>
      <c r="H46" s="64">
        <f>+$C$75*(IngresosBrutos!H46-PagoCorpac!H46)</f>
        <v>1763.4552628000001</v>
      </c>
      <c r="I46" s="64">
        <f>+$C$75*(IngresosBrutos!I46-PagoCorpac!I46)</f>
        <v>4047.6918670500004</v>
      </c>
      <c r="J46" s="64">
        <f>+$C$75*(IngresosBrutos!J46-PagoCorpac!J46)</f>
        <v>2822.38282755</v>
      </c>
      <c r="K46" s="64">
        <f>+$C$75*(IngresosBrutos!K46-PagoCorpac!K46)</f>
        <v>4619.4608922500001</v>
      </c>
      <c r="L46" s="64">
        <f>+$C$75*(IngresosBrutos!L46-PagoCorpac!L46)</f>
        <v>3277.5324969000003</v>
      </c>
      <c r="M46" s="64">
        <f>+$C$75*(IngresosBrutos!M46-PagoCorpac!M46)</f>
        <v>3537.6359622</v>
      </c>
      <c r="N46" s="64">
        <f>+$C$75*(IngresosBrutos!N46-PagoCorpac!N46)</f>
        <v>3006.3617391499997</v>
      </c>
      <c r="O46" s="64">
        <f>+$C$75*(IngresosBrutos!O46-PagoCorpac!O46)</f>
        <v>81.317506850000001</v>
      </c>
    </row>
    <row r="47" spans="2:15" ht="9.75" customHeight="1">
      <c r="B47" s="53" t="str">
        <f>+IngresosBrutos!B47</f>
        <v>Parking Internacional</v>
      </c>
      <c r="C47" s="63">
        <f>+$C$75*(IngresosBrutos!C47-PagoCorpac!C47)</f>
        <v>327549.28971567715</v>
      </c>
      <c r="D47" s="63">
        <f>+$C$75*(IngresosBrutos!D47-PagoCorpac!D47)</f>
        <v>375085.94092260004</v>
      </c>
      <c r="E47" s="63">
        <f>+$C$75*(IngresosBrutos!E47-PagoCorpac!E47)</f>
        <v>343560.53396320005</v>
      </c>
      <c r="F47" s="63">
        <f>+$C$75*(IngresosBrutos!F47-PagoCorpac!F47)</f>
        <v>418412.38391470007</v>
      </c>
      <c r="G47" s="63">
        <f>+$C$75*(IngresosBrutos!G47-PagoCorpac!G47)</f>
        <v>493338.68402390002</v>
      </c>
      <c r="H47" s="63">
        <f>+$C$75*(IngresosBrutos!H47-PagoCorpac!H47)</f>
        <v>493338.68402390002</v>
      </c>
      <c r="I47" s="63">
        <f>+$C$75*(IngresosBrutos!I47-PagoCorpac!I47)</f>
        <v>533563.71772279998</v>
      </c>
      <c r="J47" s="63">
        <f>+$C$75*(IngresosBrutos!J47-PagoCorpac!J47)</f>
        <v>619989.65793360001</v>
      </c>
      <c r="K47" s="63">
        <f>+$C$75*(IngresosBrutos!K47-PagoCorpac!K47)</f>
        <v>679356.21926489996</v>
      </c>
      <c r="L47" s="63">
        <f>+$C$75*(IngresosBrutos!L47-PagoCorpac!L47)</f>
        <v>739318.71208590001</v>
      </c>
      <c r="M47" s="63">
        <f>+$C$75*(IngresosBrutos!M47-PagoCorpac!M47)</f>
        <v>831298.95405680011</v>
      </c>
      <c r="N47" s="63">
        <f>+$C$75*(IngresosBrutos!N47-PagoCorpac!N47)</f>
        <v>908723.54136889987</v>
      </c>
      <c r="O47" s="63">
        <f>+$C$75*(IngresosBrutos!O47-PagoCorpac!O47)</f>
        <v>1042180.2047959003</v>
      </c>
    </row>
    <row r="48" spans="2:15" ht="9.75" customHeight="1">
      <c r="B48" s="60" t="str">
        <f>+IngresosBrutos!B48</f>
        <v>Parking Nacional</v>
      </c>
      <c r="C48" s="64">
        <f>+$C$75*(IngresosBrutos!C48-PagoCorpac!C48)</f>
        <v>83115.96478033725</v>
      </c>
      <c r="D48" s="64">
        <f>+$C$75*(IngresosBrutos!D48-PagoCorpac!D48)</f>
        <v>109135.99176050001</v>
      </c>
      <c r="E48" s="64">
        <f>+$C$75*(IngresosBrutos!E48-PagoCorpac!E48)</f>
        <v>69281.613522799991</v>
      </c>
      <c r="F48" s="64">
        <f>+$C$75*(IngresosBrutos!F48-PagoCorpac!F48)</f>
        <v>58117.582843900003</v>
      </c>
      <c r="G48" s="64">
        <f>+$C$75*(IngresosBrutos!G48-PagoCorpac!G48)</f>
        <v>57631.840564300008</v>
      </c>
      <c r="H48" s="64">
        <f>+$C$75*(IngresosBrutos!H48-PagoCorpac!H48)</f>
        <v>57631.840564300008</v>
      </c>
      <c r="I48" s="64">
        <f>+$C$75*(IngresosBrutos!I48-PagoCorpac!I48)</f>
        <v>69245.032621299993</v>
      </c>
      <c r="J48" s="64">
        <f>+$C$75*(IngresosBrutos!J48-PagoCorpac!J48)</f>
        <v>72290.944989300013</v>
      </c>
      <c r="K48" s="64">
        <f>+$C$75*(IngresosBrutos!K48-PagoCorpac!K48)</f>
        <v>57268.454772400015</v>
      </c>
      <c r="L48" s="64">
        <f>+$C$75*(IngresosBrutos!L48-PagoCorpac!L48)</f>
        <v>62539.276638600008</v>
      </c>
      <c r="M48" s="64">
        <f>+$C$75*(IngresosBrutos!M48-PagoCorpac!M48)</f>
        <v>85115.441623699997</v>
      </c>
      <c r="N48" s="64">
        <f>+$C$75*(IngresosBrutos!N48-PagoCorpac!N48)</f>
        <v>129036.36496230002</v>
      </c>
      <c r="O48" s="64">
        <f>+$C$75*(IngresosBrutos!O48-PagoCorpac!O48)</f>
        <v>127003.28543250007</v>
      </c>
    </row>
    <row r="49" spans="2:15" ht="9.75" customHeight="1">
      <c r="B49" s="53" t="str">
        <f>+IngresosBrutos!B49</f>
        <v>Boarding Bridges (PLB)</v>
      </c>
      <c r="C49" s="63">
        <f>+$C$75*(IngresosBrutos!C49-PagoCorpac!C49)</f>
        <v>0</v>
      </c>
      <c r="D49" s="63">
        <f>+$C$75*(IngresosBrutos!D49-PagoCorpac!D49)</f>
        <v>0</v>
      </c>
      <c r="E49" s="63">
        <f>+$C$75*(IngresosBrutos!E49-PagoCorpac!E49)</f>
        <v>0</v>
      </c>
      <c r="F49" s="63">
        <f>+$C$75*(IngresosBrutos!F49-PagoCorpac!F49)</f>
        <v>0</v>
      </c>
      <c r="G49" s="63">
        <f>+$C$75*(IngresosBrutos!G49-PagoCorpac!G49)</f>
        <v>0</v>
      </c>
      <c r="H49" s="63">
        <f>+$C$75*(IngresosBrutos!H49-PagoCorpac!H49)</f>
        <v>852002.776877</v>
      </c>
      <c r="I49" s="63">
        <f>+$C$75*(IngresosBrutos!I49-PagoCorpac!I49)</f>
        <v>1027049.5113886003</v>
      </c>
      <c r="J49" s="63">
        <f>+$C$75*(IngresosBrutos!J49-PagoCorpac!J49)</f>
        <v>1210674.5254407001</v>
      </c>
      <c r="K49" s="63">
        <f>+$C$75*(IngresosBrutos!K49-PagoCorpac!K49)</f>
        <v>1428090.9205123</v>
      </c>
      <c r="L49" s="63">
        <f>+$C$75*(IngresosBrutos!L49-PagoCorpac!L49)</f>
        <v>3086466.9739938001</v>
      </c>
      <c r="M49" s="63">
        <f>+$C$75*(IngresosBrutos!M49-PagoCorpac!M49)</f>
        <v>2722209.5827212115</v>
      </c>
      <c r="N49" s="63">
        <f>+$C$75*(IngresosBrutos!N49-PagoCorpac!N49)</f>
        <v>3651296.1068371008</v>
      </c>
      <c r="O49" s="63">
        <f>+$C$75*(IngresosBrutos!O49-PagoCorpac!O49)</f>
        <v>4714718.3457919005</v>
      </c>
    </row>
    <row r="50" spans="2:15" ht="9.75" customHeight="1">
      <c r="B50" s="60" t="str">
        <f>+IngresosBrutos!B50</f>
        <v>Cargo</v>
      </c>
      <c r="C50" s="64">
        <f>+$C$75*(IngresosBrutos!C50-PagoCorpac!C50)</f>
        <v>531394.7546847061</v>
      </c>
      <c r="D50" s="64">
        <f>+$C$75*(IngresosBrutos!D50-PagoCorpac!D50)</f>
        <v>1141378.1074666001</v>
      </c>
      <c r="E50" s="64">
        <f>+$C$75*(IngresosBrutos!E50-PagoCorpac!E50)</f>
        <v>1491411.270048134</v>
      </c>
      <c r="F50" s="64">
        <f>+$C$75*(IngresosBrutos!F50-PagoCorpac!F50)</f>
        <v>1384607.6284749</v>
      </c>
      <c r="G50" s="64">
        <f>+$C$75*(IngresosBrutos!G50-PagoCorpac!G50)</f>
        <v>1481935.295929</v>
      </c>
      <c r="H50" s="64">
        <f>+$C$75*(IngresosBrutos!H50-PagoCorpac!H50)</f>
        <v>1481935.295929</v>
      </c>
      <c r="I50" s="64">
        <f>+$C$75*(IngresosBrutos!I50-PagoCorpac!I50)</f>
        <v>1712695.1438848102</v>
      </c>
      <c r="J50" s="64">
        <f>+$C$75*(IngresosBrutos!J50-PagoCorpac!J50)</f>
        <v>2009576.6052332998</v>
      </c>
      <c r="K50" s="64">
        <f>+$C$75*(IngresosBrutos!K50-PagoCorpac!K50)</f>
        <v>2190355.4995689997</v>
      </c>
      <c r="L50" s="64">
        <f>+$C$75*(IngresosBrutos!L50-PagoCorpac!L50)</f>
        <v>2158607.9839802003</v>
      </c>
      <c r="M50" s="64">
        <f>+$C$75*(IngresosBrutos!M50-PagoCorpac!M50)</f>
        <v>2591884.5579232997</v>
      </c>
      <c r="N50" s="64">
        <f>+$C$75*(IngresosBrutos!N50-PagoCorpac!N50)</f>
        <v>2783708.5217532008</v>
      </c>
      <c r="O50" s="64">
        <f>+$C$75*(IngresosBrutos!O50-PagoCorpac!O50)</f>
        <v>2965394.0503608007</v>
      </c>
    </row>
    <row r="51" spans="2:15" ht="9.75" customHeight="1">
      <c r="B51" s="53" t="str">
        <f>+IngresosBrutos!B51</f>
        <v>Ground Handling</v>
      </c>
      <c r="C51" s="63">
        <f>+$C$75*(IngresosBrutos!C51-PagoCorpac!C51)</f>
        <v>525735.6692500572</v>
      </c>
      <c r="D51" s="63">
        <f>+$C$75*(IngresosBrutos!D51-PagoCorpac!D51)</f>
        <v>557228.11452820012</v>
      </c>
      <c r="E51" s="63">
        <f>+$C$75*(IngresosBrutos!E51-PagoCorpac!E51)</f>
        <v>687896.08537049999</v>
      </c>
      <c r="F51" s="63">
        <f>+$C$75*(IngresosBrutos!F51-PagoCorpac!F51)</f>
        <v>901964.13029660005</v>
      </c>
      <c r="G51" s="63">
        <f>+$C$75*(IngresosBrutos!G51-PagoCorpac!G51)</f>
        <v>1208012.5939354</v>
      </c>
      <c r="H51" s="63">
        <f>+$C$75*(IngresosBrutos!H51-PagoCorpac!H51)</f>
        <v>1208012.5939354</v>
      </c>
      <c r="I51" s="63">
        <f>+$C$75*(IngresosBrutos!I51-PagoCorpac!I51)</f>
        <v>1228530.9169343</v>
      </c>
      <c r="J51" s="63">
        <f>+$C$75*(IngresosBrutos!J51-PagoCorpac!J51)</f>
        <v>1496810.3183693001</v>
      </c>
      <c r="K51" s="63">
        <f>+$C$75*(IngresosBrutos!K51-PagoCorpac!K51)</f>
        <v>1688883.9625494001</v>
      </c>
      <c r="L51" s="63">
        <f>+$C$75*(IngresosBrutos!L51-PagoCorpac!L51)</f>
        <v>1810656.3697625</v>
      </c>
      <c r="M51" s="63">
        <f>+$C$75*(IngresosBrutos!M51-PagoCorpac!M51)</f>
        <v>2038815.9872405005</v>
      </c>
      <c r="N51" s="63">
        <f>+$C$75*(IngresosBrutos!N51-PagoCorpac!N51)</f>
        <v>2327714.7940306999</v>
      </c>
      <c r="O51" s="63">
        <f>+$C$75*(IngresosBrutos!O51-PagoCorpac!O51)</f>
        <v>2554277.4005105007</v>
      </c>
    </row>
    <row r="52" spans="2:15" ht="9.75" customHeight="1">
      <c r="B52" s="60" t="str">
        <f>+IngresosBrutos!B52</f>
        <v>Catering</v>
      </c>
      <c r="C52" s="64">
        <f>+$C$75*(IngresosBrutos!C52-PagoCorpac!C52)</f>
        <v>298082.38114914292</v>
      </c>
      <c r="D52" s="64">
        <f>+$C$75*(IngresosBrutos!D52-PagoCorpac!D52)</f>
        <v>286963.56780000002</v>
      </c>
      <c r="E52" s="64">
        <f>+$C$75*(IngresosBrutos!E52-PagoCorpac!E52)</f>
        <v>337503.02429882408</v>
      </c>
      <c r="F52" s="64">
        <f>+$C$75*(IngresosBrutos!F52-PagoCorpac!F52)</f>
        <v>417747.65335380001</v>
      </c>
      <c r="G52" s="64">
        <f>+$C$75*(IngresosBrutos!G52-PagoCorpac!G52)</f>
        <v>489586.91141770006</v>
      </c>
      <c r="H52" s="64">
        <f>+$C$75*(IngresosBrutos!H52-PagoCorpac!H52)</f>
        <v>489586.91141770006</v>
      </c>
      <c r="I52" s="64">
        <f>+$C$75*(IngresosBrutos!I52-PagoCorpac!I52)</f>
        <v>497557.52939430007</v>
      </c>
      <c r="J52" s="64">
        <f>+$C$75*(IngresosBrutos!J52-PagoCorpac!J52)</f>
        <v>662569.05101100996</v>
      </c>
      <c r="K52" s="64">
        <f>+$C$75*(IngresosBrutos!K52-PagoCorpac!K52)</f>
        <v>734620.9569018</v>
      </c>
      <c r="L52" s="64">
        <f>+$C$75*(IngresosBrutos!L52-PagoCorpac!L52)</f>
        <v>900725.10516320006</v>
      </c>
      <c r="M52" s="64">
        <f>+$C$75*(IngresosBrutos!M52-PagoCorpac!M52)</f>
        <v>1024835.9412721999</v>
      </c>
      <c r="N52" s="64">
        <f>+$C$75*(IngresosBrutos!N52-PagoCorpac!N52)</f>
        <v>1191095.9432435003</v>
      </c>
      <c r="O52" s="64">
        <f>+$C$75*(IngresosBrutos!O52-PagoCorpac!O52)</f>
        <v>1321778.0720342002</v>
      </c>
    </row>
    <row r="53" spans="2:15" ht="9.75" customHeight="1">
      <c r="B53" s="53" t="str">
        <f>+IngresosBrutos!B53</f>
        <v>Fuel</v>
      </c>
      <c r="C53" s="63">
        <f>+$C$75*(IngresosBrutos!C53-PagoCorpac!C53)</f>
        <v>2494000.5636879578</v>
      </c>
      <c r="D53" s="63">
        <f>+$C$75*(IngresosBrutos!D53-PagoCorpac!D53)</f>
        <v>3149945.1635383</v>
      </c>
      <c r="E53" s="63">
        <f>+$C$75*(IngresosBrutos!E53-PagoCorpac!E53)</f>
        <v>3260694.8963036998</v>
      </c>
      <c r="F53" s="63">
        <f>+$C$75*(IngresosBrutos!F53-PagoCorpac!F53)</f>
        <v>3497794.4535559998</v>
      </c>
      <c r="G53" s="63">
        <f>+$C$75*(IngresosBrutos!G53-PagoCorpac!G53)</f>
        <v>4369430.2863133997</v>
      </c>
      <c r="H53" s="63">
        <f>+$C$75*(IngresosBrutos!H53-PagoCorpac!H53)</f>
        <v>4369430.2863133997</v>
      </c>
      <c r="I53" s="63">
        <f>+$C$75*(IngresosBrutos!I53-PagoCorpac!I53)</f>
        <v>4533255.4467369011</v>
      </c>
      <c r="J53" s="63">
        <f>+$C$75*(IngresosBrutos!J53-PagoCorpac!J53)</f>
        <v>5375099.0258812001</v>
      </c>
      <c r="K53" s="63">
        <f>+$C$75*(IngresosBrutos!K53-PagoCorpac!K53)</f>
        <v>6519791.0002378998</v>
      </c>
      <c r="L53" s="63">
        <f>+$C$75*(IngresosBrutos!L53-PagoCorpac!L53)</f>
        <v>6724435.3537809001</v>
      </c>
      <c r="M53" s="63">
        <f>+$C$75*(IngresosBrutos!M53-PagoCorpac!M53)</f>
        <v>7322167.8842828004</v>
      </c>
      <c r="N53" s="63">
        <f>+$C$75*(IngresosBrutos!N53-PagoCorpac!N53)</f>
        <v>8552706.7182959002</v>
      </c>
      <c r="O53" s="63">
        <f>+$C$75*(IngresosBrutos!O53-PagoCorpac!O53)</f>
        <v>9181714.5289014019</v>
      </c>
    </row>
    <row r="54" spans="2:15" ht="9.75" customHeight="1">
      <c r="B54" s="60" t="str">
        <f>+IngresosBrutos!B54</f>
        <v>Parking Lot</v>
      </c>
      <c r="C54" s="64">
        <v>965592.76897280011</v>
      </c>
      <c r="D54" s="64">
        <v>848657.86264790013</v>
      </c>
      <c r="E54" s="64">
        <v>796188.42340420012</v>
      </c>
      <c r="F54" s="64">
        <v>840263.8562848001</v>
      </c>
      <c r="G54" s="64">
        <v>968714.24365400011</v>
      </c>
      <c r="H54" s="64">
        <v>968714.24365400011</v>
      </c>
      <c r="I54" s="64">
        <v>1125802.1130942001</v>
      </c>
      <c r="J54" s="64">
        <v>1435673.5530290999</v>
      </c>
      <c r="K54" s="64">
        <v>1620616.1353402999</v>
      </c>
      <c r="L54" s="64">
        <v>1739771.9592731001</v>
      </c>
      <c r="M54" s="64">
        <v>2274461.7083059</v>
      </c>
      <c r="N54" s="64">
        <v>2723954.9237865005</v>
      </c>
      <c r="O54" s="64">
        <v>3114635.4448770997</v>
      </c>
    </row>
    <row r="55" spans="2:15" ht="9.75" customHeight="1">
      <c r="B55" s="53" t="str">
        <f>+IngresosBrutos!B55</f>
        <v>Counter - Terminal</v>
      </c>
      <c r="C55" s="63">
        <f>+$C$75*(IngresosBrutos!C55-PagoCorpac!C55)</f>
        <v>105928.63282787199</v>
      </c>
      <c r="D55" s="63">
        <f>+$C$75*(IngresosBrutos!D55-PagoCorpac!D55)</f>
        <v>122522.01923273601</v>
      </c>
      <c r="E55" s="63">
        <f>+$C$75*(IngresosBrutos!E55-PagoCorpac!E55)</f>
        <v>111168.23409229999</v>
      </c>
      <c r="F55" s="63">
        <f>+$C$75*(IngresosBrutos!F55-PagoCorpac!F55)</f>
        <v>107105.16708397996</v>
      </c>
      <c r="G55" s="63">
        <f>+$C$75*(IngresosBrutos!G55-PagoCorpac!G55)</f>
        <v>98057.466904000001</v>
      </c>
      <c r="H55" s="63">
        <f>+$C$75*(IngresosBrutos!H55-PagoCorpac!H55)</f>
        <v>98057.466904000001</v>
      </c>
      <c r="I55" s="63">
        <f>+$C$75*(IngresosBrutos!I55-PagoCorpac!I55)</f>
        <v>91377.989636300015</v>
      </c>
      <c r="J55" s="63">
        <f>+$C$75*(IngresosBrutos!J55-PagoCorpac!J55)</f>
        <v>120329.53832000004</v>
      </c>
      <c r="K55" s="63">
        <f>+$C$75*(IngresosBrutos!K55-PagoCorpac!K55)</f>
        <v>135936.64855140002</v>
      </c>
      <c r="L55" s="63">
        <f>+$C$75*(IngresosBrutos!L55-PagoCorpac!L55)</f>
        <v>124629.43841010002</v>
      </c>
      <c r="M55" s="63">
        <f>+$C$75*(IngresosBrutos!M55-PagoCorpac!M55)</f>
        <v>192992.20852349998</v>
      </c>
      <c r="N55" s="63">
        <f>+$C$75*(IngresosBrutos!N55-PagoCorpac!N55)</f>
        <v>249908.8075809</v>
      </c>
      <c r="O55" s="63">
        <f>+$C$75*(IngresosBrutos!O55-PagoCorpac!O55)</f>
        <v>265321.79020050005</v>
      </c>
    </row>
    <row r="56" spans="2:15" ht="9.75" customHeight="1">
      <c r="B56" s="60" t="str">
        <f>+IngresosBrutos!B56</f>
        <v>Oficinas - Terminal</v>
      </c>
      <c r="C56" s="64">
        <f>+$C$75*(IngresosBrutos!C56-PagoCorpac!C56)</f>
        <v>254136.59085057027</v>
      </c>
      <c r="D56" s="64">
        <f>+$C$75*(IngresosBrutos!D56-PagoCorpac!D56)</f>
        <v>239995.28574083341</v>
      </c>
      <c r="E56" s="64">
        <f>+$C$75*(IngresosBrutos!E56-PagoCorpac!E56)</f>
        <v>196480.61842963003</v>
      </c>
      <c r="F56" s="64">
        <f>+$C$75*(IngresosBrutos!F56-PagoCorpac!F56)</f>
        <v>177655.09753078234</v>
      </c>
      <c r="G56" s="64">
        <f>+$C$75*(IngresosBrutos!G56-PagoCorpac!G56)</f>
        <v>192525.63831065473</v>
      </c>
      <c r="H56" s="64">
        <f>+$C$75*(IngresosBrutos!H56-PagoCorpac!H56)</f>
        <v>192525.63831065473</v>
      </c>
      <c r="I56" s="64">
        <f>+$C$75*(IngresosBrutos!I56-PagoCorpac!I56)</f>
        <v>214318.1206198</v>
      </c>
      <c r="J56" s="64">
        <f>+$C$75*(IngresosBrutos!J56-PagoCorpac!J56)</f>
        <v>296578.8612476</v>
      </c>
      <c r="K56" s="64">
        <f>+$C$75*(IngresosBrutos!K56-PagoCorpac!K56)</f>
        <v>454545.19844070001</v>
      </c>
      <c r="L56" s="64">
        <f>+$C$75*(IngresosBrutos!L56-PagoCorpac!L56)</f>
        <v>619264.74678980024</v>
      </c>
      <c r="M56" s="64">
        <f>+$C$75*(IngresosBrutos!M56-PagoCorpac!M56)</f>
        <v>539959.14301130001</v>
      </c>
      <c r="N56" s="64">
        <f>+$C$75*(IngresosBrutos!N56-PagoCorpac!N56)</f>
        <v>542753.51924020005</v>
      </c>
      <c r="O56" s="64">
        <f>+$C$75*(IngresosBrutos!O56-PagoCorpac!O56)</f>
        <v>555139.71946609998</v>
      </c>
    </row>
    <row r="57" spans="2:15" ht="9.75" customHeight="1">
      <c r="B57" s="53" t="str">
        <f>+IngresosBrutos!B57</f>
        <v>Oficinas - Fuera Terminal</v>
      </c>
      <c r="C57" s="63">
        <f>+$C$75*(IngresosBrutos!C57-PagoCorpac!C57)</f>
        <v>56575.512632228572</v>
      </c>
      <c r="D57" s="63">
        <f>+$C$75*(IngresosBrutos!D57-PagoCorpac!D57)</f>
        <v>56517.390493300001</v>
      </c>
      <c r="E57" s="63">
        <f>+$C$75*(IngresosBrutos!E57-PagoCorpac!E57)</f>
        <v>61218.224705599998</v>
      </c>
      <c r="F57" s="63">
        <f>+$C$75*(IngresosBrutos!F57-PagoCorpac!F57)</f>
        <v>57190.260479200006</v>
      </c>
      <c r="G57" s="63">
        <f>+$C$75*(IngresosBrutos!G57-PagoCorpac!G57)</f>
        <v>32621.243700288003</v>
      </c>
      <c r="H57" s="63">
        <f>+$C$75*(IngresosBrutos!H57-PagoCorpac!H57)</f>
        <v>32621.243700288003</v>
      </c>
      <c r="I57" s="63">
        <f>+$C$75*(IngresosBrutos!I57-PagoCorpac!I57)</f>
        <v>25865.230256538005</v>
      </c>
      <c r="J57" s="63">
        <f>+$C$75*(IngresosBrutos!J57-PagoCorpac!J57)</f>
        <v>26514.060660000003</v>
      </c>
      <c r="K57" s="63">
        <f>+$C$75*(IngresosBrutos!K57-PagoCorpac!K57)</f>
        <v>17930.841651300001</v>
      </c>
      <c r="L57" s="63">
        <f>+$C$75*(IngresosBrutos!L57-PagoCorpac!L57)</f>
        <v>13836.482972400001</v>
      </c>
      <c r="M57" s="63">
        <f>+$C$75*(IngresosBrutos!M57-PagoCorpac!M57)</f>
        <v>15653.081703800002</v>
      </c>
      <c r="N57" s="63">
        <f>+$C$75*(IngresosBrutos!N57-PagoCorpac!N57)</f>
        <v>14521.9806948</v>
      </c>
      <c r="O57" s="63">
        <f>+$C$75*(IngresosBrutos!O57-PagoCorpac!O57)</f>
        <v>29179.480490300004</v>
      </c>
    </row>
    <row r="58" spans="2:15" ht="9.75" customHeight="1">
      <c r="B58" s="60" t="str">
        <f>+IngresosBrutos!B58</f>
        <v xml:space="preserve">Almacen </v>
      </c>
      <c r="C58" s="64">
        <f>+$C$75*(IngresosBrutos!C58-PagoCorpac!C58)</f>
        <v>45832.181363510848</v>
      </c>
      <c r="D58" s="64">
        <f>+$C$75*(IngresosBrutos!D58-PagoCorpac!D58)</f>
        <v>50494.174133399982</v>
      </c>
      <c r="E58" s="64">
        <f>+$C$75*(IngresosBrutos!E58-PagoCorpac!E58)</f>
        <v>51096.798556000009</v>
      </c>
      <c r="F58" s="64">
        <f>+$C$75*(IngresosBrutos!F58-PagoCorpac!F58)</f>
        <v>44323.988455287021</v>
      </c>
      <c r="G58" s="64">
        <f>+$C$75*(IngresosBrutos!G58-PagoCorpac!G58)</f>
        <v>32496.445013000004</v>
      </c>
      <c r="H58" s="64">
        <f>+$C$75*(IngresosBrutos!H58-PagoCorpac!H58)</f>
        <v>32496.445013000004</v>
      </c>
      <c r="I58" s="64">
        <f>+$C$75*(IngresosBrutos!I58-PagoCorpac!I58)</f>
        <v>30531.160800509006</v>
      </c>
      <c r="J58" s="64">
        <f>+$C$75*(IngresosBrutos!J58-PagoCorpac!J58)</f>
        <v>33275.081012900009</v>
      </c>
      <c r="K58" s="64">
        <f>+$C$75*(IngresosBrutos!K58-PagoCorpac!K58)</f>
        <v>35373.638728500002</v>
      </c>
      <c r="L58" s="64">
        <f>+$C$75*(IngresosBrutos!L58-PagoCorpac!L58)</f>
        <v>37876.23285</v>
      </c>
      <c r="M58" s="64">
        <f>+$C$75*(IngresosBrutos!M58-PagoCorpac!M58)</f>
        <v>31218.169246699996</v>
      </c>
      <c r="N58" s="64">
        <f>+$C$75*(IngresosBrutos!N58-PagoCorpac!N58)</f>
        <v>31958.419718300007</v>
      </c>
      <c r="O58" s="64">
        <f>+$C$75*(IngresosBrutos!O58-PagoCorpac!O58)</f>
        <v>23148.654930799996</v>
      </c>
    </row>
    <row r="59" spans="2:15" ht="9.75" customHeight="1">
      <c r="B59" s="53" t="str">
        <f>+IngresosBrutos!B59</f>
        <v>Talleres</v>
      </c>
      <c r="C59" s="63">
        <f>+$C$75*(IngresosBrutos!C59-PagoCorpac!C59)</f>
        <v>44306.198031009131</v>
      </c>
      <c r="D59" s="63">
        <f>+$C$75*(IngresosBrutos!D59-PagoCorpac!D59)</f>
        <v>44888.995804328981</v>
      </c>
      <c r="E59" s="63">
        <f>+$C$75*(IngresosBrutos!E59-PagoCorpac!E59)</f>
        <v>35330.392800699999</v>
      </c>
      <c r="F59" s="63">
        <f>+$C$75*(IngresosBrutos!F59-PagoCorpac!F59)</f>
        <v>34330.871410699998</v>
      </c>
      <c r="G59" s="63">
        <f>+$C$75*(IngresosBrutos!G59-PagoCorpac!G59)</f>
        <v>34566.979851099997</v>
      </c>
      <c r="H59" s="63">
        <f>+$C$75*(IngresosBrutos!H59-PagoCorpac!H59)</f>
        <v>34566.979851099997</v>
      </c>
      <c r="I59" s="63">
        <f>+$C$75*(IngresosBrutos!I59-PagoCorpac!I59)</f>
        <v>32719.4327003</v>
      </c>
      <c r="J59" s="63">
        <f>+$C$75*(IngresosBrutos!J59-PagoCorpac!J59)</f>
        <v>29904.712560000004</v>
      </c>
      <c r="K59" s="63">
        <f>+$C$75*(IngresosBrutos!K59-PagoCorpac!K59)</f>
        <v>13532.556842900001</v>
      </c>
      <c r="L59" s="63">
        <f>+$C$75*(IngresosBrutos!L59-PagoCorpac!L59)</f>
        <v>8486.117994000002</v>
      </c>
      <c r="M59" s="63">
        <f>+$C$75*(IngresosBrutos!M59-PagoCorpac!M59)</f>
        <v>7729.7979719000004</v>
      </c>
      <c r="N59" s="63">
        <f>+$C$75*(IngresosBrutos!N59-PagoCorpac!N59)</f>
        <v>6798.8710047000022</v>
      </c>
      <c r="O59" s="63">
        <f>+$C$75*(IngresosBrutos!O59-PagoCorpac!O59)</f>
        <v>1430.8271952</v>
      </c>
    </row>
    <row r="60" spans="2:15" ht="9.75" customHeight="1">
      <c r="B60" s="60" t="str">
        <f>+IngresosBrutos!B60</f>
        <v>Terrenos</v>
      </c>
      <c r="C60" s="64">
        <f>+$C$75*(IngresosBrutos!C60-PagoCorpac!C60)</f>
        <v>231182.52683428573</v>
      </c>
      <c r="D60" s="64">
        <f>+$C$75*(IngresosBrutos!D60-PagoCorpac!D60)</f>
        <v>227852.27279000002</v>
      </c>
      <c r="E60" s="64">
        <f>+$C$75*(IngresosBrutos!E60-PagoCorpac!E60)</f>
        <v>232145.70320000002</v>
      </c>
      <c r="F60" s="64">
        <f>+$C$75*(IngresosBrutos!F60-PagoCorpac!F60)</f>
        <v>214678.96226</v>
      </c>
      <c r="G60" s="64">
        <f>+$C$75*(IngresosBrutos!G60-PagoCorpac!G60)</f>
        <v>128726.83890839995</v>
      </c>
      <c r="H60" s="64">
        <f>+$C$75*(IngresosBrutos!H60-PagoCorpac!H60)</f>
        <v>128726.83890839995</v>
      </c>
      <c r="I60" s="64">
        <f>+$C$75*(IngresosBrutos!I60-PagoCorpac!I60)</f>
        <v>110558.56325320003</v>
      </c>
      <c r="J60" s="64">
        <f>+$C$75*(IngresosBrutos!J60-PagoCorpac!J60)</f>
        <v>102020.62735409998</v>
      </c>
      <c r="K60" s="64">
        <f>+$C$75*(IngresosBrutos!K60-PagoCorpac!K60)</f>
        <v>29494.425075699994</v>
      </c>
      <c r="L60" s="64">
        <f>+$C$75*(IngresosBrutos!L60-PagoCorpac!L60)</f>
        <v>61455.584291899992</v>
      </c>
      <c r="M60" s="64">
        <f>+$C$75*(IngresosBrutos!M60-PagoCorpac!M60)</f>
        <v>66852.827707199976</v>
      </c>
      <c r="N60" s="64">
        <f>+$C$75*(IngresosBrutos!N60-PagoCorpac!N60)</f>
        <v>61957.893789700014</v>
      </c>
      <c r="O60" s="64">
        <f>+$C$75*(IngresosBrutos!O60-PagoCorpac!O60)</f>
        <v>46038.085454200009</v>
      </c>
    </row>
    <row r="61" spans="2:15" ht="9.75" customHeight="1">
      <c r="B61" s="53" t="str">
        <f>+IngresosBrutos!B61</f>
        <v>Bancos</v>
      </c>
      <c r="C61" s="63">
        <f>+$C$75*(IngresosBrutos!C61-PagoCorpac!C61)</f>
        <v>27950.314727083067</v>
      </c>
      <c r="D61" s="63">
        <f>+$C$75*(IngresosBrutos!D61-PagoCorpac!D61)</f>
        <v>31865.616320000001</v>
      </c>
      <c r="E61" s="63">
        <f>+$C$75*(IngresosBrutos!E61-PagoCorpac!E61)</f>
        <v>36712.434608000003</v>
      </c>
      <c r="F61" s="63">
        <f>+$C$75*(IngresosBrutos!F61-PagoCorpac!F61)</f>
        <v>37376.239600000001</v>
      </c>
      <c r="G61" s="63">
        <f>+$C$75*(IngresosBrutos!G61-PagoCorpac!G61)</f>
        <v>53971.508584100011</v>
      </c>
      <c r="H61" s="63">
        <f>+$C$75*(IngresosBrutos!H61-PagoCorpac!H61)</f>
        <v>53971.508584100011</v>
      </c>
      <c r="I61" s="63">
        <f>+$C$75*(IngresosBrutos!I61-PagoCorpac!I61)</f>
        <v>100482.63881490001</v>
      </c>
      <c r="J61" s="63">
        <f>+$C$75*(IngresosBrutos!J61-PagoCorpac!J61)</f>
        <v>117253.47752180001</v>
      </c>
      <c r="K61" s="63">
        <f>+$C$75*(IngresosBrutos!K61-PagoCorpac!K61)</f>
        <v>137049.51724840002</v>
      </c>
      <c r="L61" s="63">
        <f>+$C$75*(IngresosBrutos!L61-PagoCorpac!L61)</f>
        <v>138885.334325</v>
      </c>
      <c r="M61" s="63">
        <f>+$C$75*(IngresosBrutos!M61-PagoCorpac!M61)</f>
        <v>153451.24465930002</v>
      </c>
      <c r="N61" s="63">
        <f>+$C$75*(IngresosBrutos!N61-PagoCorpac!N61)</f>
        <v>199964.42137410003</v>
      </c>
      <c r="O61" s="63">
        <f>+$C$75*(IngresosBrutos!O61-PagoCorpac!O61)</f>
        <v>290283.15554309997</v>
      </c>
    </row>
    <row r="62" spans="2:15" ht="9.75" customHeight="1">
      <c r="B62" s="60" t="str">
        <f>+IngresosBrutos!B62</f>
        <v xml:space="preserve">Arrendamiento de locales </v>
      </c>
      <c r="C62" s="64">
        <f>+$C$75*(IngresosBrutos!C62-PagoCorpac!C62)</f>
        <v>1141238.985634709</v>
      </c>
      <c r="D62" s="64">
        <f>+$C$75*(IngresosBrutos!D62-PagoCorpac!D62)</f>
        <v>1439579.2464647465</v>
      </c>
      <c r="E62" s="64">
        <f>+$C$75*(IngresosBrutos!E62-PagoCorpac!E62)</f>
        <v>1449687.6377663349</v>
      </c>
      <c r="F62" s="64">
        <f>+$C$75*(IngresosBrutos!F62-PagoCorpac!F62)</f>
        <v>1218030.8838494511</v>
      </c>
      <c r="G62" s="64">
        <f>+$C$75*(IngresosBrutos!G62-PagoCorpac!G62)</f>
        <v>1835319.6734080573</v>
      </c>
      <c r="H62" s="64">
        <f>+$C$75*(IngresosBrutos!H62-PagoCorpac!H62)</f>
        <v>1835319.6734080573</v>
      </c>
      <c r="I62" s="64">
        <f>+$C$75*(IngresosBrutos!I62-PagoCorpac!I62)</f>
        <v>2407412.1470786538</v>
      </c>
      <c r="J62" s="64">
        <f>+$C$75*(IngresosBrutos!J62-PagoCorpac!J62)</f>
        <v>3361338.8771265009</v>
      </c>
      <c r="K62" s="64">
        <f>+$C$75*(IngresosBrutos!K62-PagoCorpac!K62)</f>
        <v>4408549.9628417995</v>
      </c>
      <c r="L62" s="64">
        <f>+$C$75*(IngresosBrutos!L62-PagoCorpac!L62)</f>
        <v>5731880.0976438001</v>
      </c>
      <c r="M62" s="64">
        <f>+$C$75*(IngresosBrutos!M62-PagoCorpac!M62)</f>
        <v>6558616.9784056991</v>
      </c>
      <c r="N62" s="64">
        <f>+$C$75*(IngresosBrutos!N62-PagoCorpac!N62)</f>
        <v>8856072.4693145994</v>
      </c>
      <c r="O62" s="64">
        <f>+$C$75*(IngresosBrutos!O62-PagoCorpac!O62)</f>
        <v>9776006.0686480012</v>
      </c>
    </row>
    <row r="63" spans="2:15" ht="9.75" customHeight="1">
      <c r="B63" s="53" t="str">
        <f>+IngresosBrutos!B63</f>
        <v>Tiendas Comerciales</v>
      </c>
      <c r="C63" s="63">
        <f>+$C$75*(IngresosBrutos!C63-PagoCorpac!C63)</f>
        <v>21082.326695282653</v>
      </c>
      <c r="D63" s="63">
        <f>+$C$75*(IngresosBrutos!D63-PagoCorpac!D63)</f>
        <v>71607.412542694001</v>
      </c>
      <c r="E63" s="63">
        <f>+$C$75*(IngresosBrutos!E63-PagoCorpac!E63)</f>
        <v>69722.565011734987</v>
      </c>
      <c r="F63" s="63">
        <f>+$C$75*(IngresosBrutos!F63-PagoCorpac!F63)</f>
        <v>64138.817835200003</v>
      </c>
      <c r="G63" s="63">
        <f>+$C$75*(IngresosBrutos!G63-PagoCorpac!G63)</f>
        <v>13957.5743609</v>
      </c>
      <c r="H63" s="63">
        <f>+$C$75*(IngresosBrutos!H63-PagoCorpac!H63)</f>
        <v>13957.5743609</v>
      </c>
      <c r="I63" s="63">
        <f>+$C$75*(IngresosBrutos!I63-PagoCorpac!I63)</f>
        <v>47924.934400000006</v>
      </c>
      <c r="J63" s="63">
        <f>+$C$75*(IngresosBrutos!J63-PagoCorpac!J63)</f>
        <v>51878.369400000003</v>
      </c>
      <c r="K63" s="63">
        <f>+$C$75*(IngresosBrutos!K63-PagoCorpac!K63)</f>
        <v>52576.034400000004</v>
      </c>
      <c r="L63" s="63">
        <f>+$C$75*(IngresosBrutos!L63-PagoCorpac!L63)</f>
        <v>52576.034400000004</v>
      </c>
      <c r="M63" s="63">
        <f>+$C$75*(IngresosBrutos!M63-PagoCorpac!M63)</f>
        <v>40018.064400000003</v>
      </c>
      <c r="N63" s="63">
        <f>+$C$75*(IngresosBrutos!N63-PagoCorpac!N63)</f>
        <v>27460.094400000002</v>
      </c>
      <c r="O63" s="63">
        <f>+$C$75*(IngresosBrutos!O63-PagoCorpac!O63)</f>
        <v>69543.247199999998</v>
      </c>
    </row>
    <row r="64" spans="2:15" ht="9.75" customHeight="1">
      <c r="B64" s="60" t="str">
        <f>+IngresosBrutos!B64</f>
        <v>Duty Free</v>
      </c>
      <c r="C64" s="64">
        <f>+$C$75*(IngresosBrutos!C64-PagoCorpac!C64)</f>
        <v>921598.39813259174</v>
      </c>
      <c r="D64" s="64">
        <f>+$C$75*(IngresosBrutos!D64-PagoCorpac!D64)</f>
        <v>1467271.3962199001</v>
      </c>
      <c r="E64" s="64">
        <f>+$C$75*(IngresosBrutos!E64-PagoCorpac!E64)</f>
        <v>1584680.699545</v>
      </c>
      <c r="F64" s="64">
        <f>+$C$75*(IngresosBrutos!F64-PagoCorpac!F64)</f>
        <v>1574422.6380306999</v>
      </c>
      <c r="G64" s="64">
        <f>+$C$75*(IngresosBrutos!G64-PagoCorpac!G64)</f>
        <v>1718054.852458</v>
      </c>
      <c r="H64" s="64">
        <f>+$C$75*(IngresosBrutos!H64-PagoCorpac!H64)</f>
        <v>1718054.852458</v>
      </c>
      <c r="I64" s="64">
        <f>+$C$75*(IngresosBrutos!I64-PagoCorpac!I64)</f>
        <v>1911489.8317481999</v>
      </c>
      <c r="J64" s="64">
        <f>+$C$75*(IngresosBrutos!J64-PagoCorpac!J64)</f>
        <v>2471951.9119195994</v>
      </c>
      <c r="K64" s="64">
        <f>+$C$75*(IngresosBrutos!K64-PagoCorpac!K64)</f>
        <v>2821817.8770374004</v>
      </c>
      <c r="L64" s="64">
        <f>+$C$75*(IngresosBrutos!L64-PagoCorpac!L64)</f>
        <v>3480249.9927350008</v>
      </c>
      <c r="M64" s="64">
        <f>+$C$75*(IngresosBrutos!M64-PagoCorpac!M64)</f>
        <v>4336659.8449994009</v>
      </c>
      <c r="N64" s="64">
        <f>+$C$75*(IngresosBrutos!N64-PagoCorpac!N64)</f>
        <v>5818470.1658714004</v>
      </c>
      <c r="O64" s="64">
        <f>+$C$75*(IngresosBrutos!O64-PagoCorpac!O64)</f>
        <v>6691070.2925873995</v>
      </c>
    </row>
    <row r="65" spans="1:15" ht="9.75" customHeight="1">
      <c r="B65" s="53" t="str">
        <f>+IngresosBrutos!B65</f>
        <v>Comidas y bebidas</v>
      </c>
      <c r="C65" s="63">
        <f>+$C$75*(IngresosBrutos!C65-PagoCorpac!C65)</f>
        <v>170375.50057088834</v>
      </c>
      <c r="D65" s="63">
        <f>+$C$75*(IngresosBrutos!D65-PagoCorpac!D65)</f>
        <v>284810.96895349998</v>
      </c>
      <c r="E65" s="63">
        <f>+$C$75*(IngresosBrutos!E65-PagoCorpac!E65)</f>
        <v>305204.37270860001</v>
      </c>
      <c r="F65" s="63">
        <f>+$C$75*(IngresosBrutos!F65-PagoCorpac!F65)</f>
        <v>349764.72462409997</v>
      </c>
      <c r="G65" s="63">
        <f>+$C$75*(IngresosBrutos!G65-PagoCorpac!G65)</f>
        <v>612016.49580530007</v>
      </c>
      <c r="H65" s="63">
        <f>+$C$75*(IngresosBrutos!H65-PagoCorpac!H65)</f>
        <v>612016.49580530007</v>
      </c>
      <c r="I65" s="63">
        <f>+$C$75*(IngresosBrutos!I65-PagoCorpac!I65)</f>
        <v>752624.56501260004</v>
      </c>
      <c r="J65" s="63">
        <f>+$C$75*(IngresosBrutos!J65-PagoCorpac!J65)</f>
        <v>1055887.5267213001</v>
      </c>
      <c r="K65" s="63">
        <f>+$C$75*(IngresosBrutos!K65-PagoCorpac!K65)</f>
        <v>1286950.6352342002</v>
      </c>
      <c r="L65" s="63">
        <f>+$C$75*(IngresosBrutos!L65-PagoCorpac!L65)</f>
        <v>1380734.3365789999</v>
      </c>
      <c r="M65" s="63">
        <f>+$C$75*(IngresosBrutos!M65-PagoCorpac!M65)</f>
        <v>1899195.1512169999</v>
      </c>
      <c r="N65" s="63">
        <f>+$C$75*(IngresosBrutos!N65-PagoCorpac!N65)</f>
        <v>2405242.8776199995</v>
      </c>
      <c r="O65" s="63">
        <f>+$C$75*(IngresosBrutos!O65-PagoCorpac!O65)</f>
        <v>2851974.4141047006</v>
      </c>
    </row>
    <row r="66" spans="1:15" ht="9.75" customHeight="1">
      <c r="B66" s="60" t="str">
        <f>+IngresosBrutos!B66</f>
        <v>Transporte terrestre de pasajeros</v>
      </c>
      <c r="C66" s="64">
        <f>+$C$75*(IngresosBrutos!C66-PagoCorpac!C66)</f>
        <v>138670.49838282578</v>
      </c>
      <c r="D66" s="64">
        <f>+$C$75*(IngresosBrutos!D66-PagoCorpac!D66)</f>
        <v>221795.90338930002</v>
      </c>
      <c r="E66" s="64">
        <f>+$C$75*(IngresosBrutos!E66-PagoCorpac!E66)</f>
        <v>210127.88881660003</v>
      </c>
      <c r="F66" s="64">
        <f>+$C$75*(IngresosBrutos!F66-PagoCorpac!F66)</f>
        <v>194121.66304309998</v>
      </c>
      <c r="G66" s="64">
        <f>+$C$75*(IngresosBrutos!G66-PagoCorpac!G66)</f>
        <v>203644.76703759999</v>
      </c>
      <c r="H66" s="64">
        <f>+$C$75*(IngresosBrutos!H66-PagoCorpac!H66)</f>
        <v>203644.76703759999</v>
      </c>
      <c r="I66" s="64">
        <f>+$C$75*(IngresosBrutos!I66-PagoCorpac!I66)</f>
        <v>220408.1918911</v>
      </c>
      <c r="J66" s="64">
        <f>+$C$75*(IngresosBrutos!J66-PagoCorpac!J66)</f>
        <v>260008.77355510002</v>
      </c>
      <c r="K66" s="64">
        <f>+$C$75*(IngresosBrutos!K66-PagoCorpac!K66)</f>
        <v>383461.19529700006</v>
      </c>
      <c r="L66" s="64">
        <f>+$C$75*(IngresosBrutos!L66-PagoCorpac!L66)</f>
        <v>423129.43651269999</v>
      </c>
      <c r="M66" s="64">
        <f>+$C$75*(IngresosBrutos!M66-PagoCorpac!M66)</f>
        <v>508493.61431329994</v>
      </c>
      <c r="N66" s="64">
        <f>+$C$75*(IngresosBrutos!N66-PagoCorpac!N66)</f>
        <v>673673.58900470007</v>
      </c>
      <c r="O66" s="64">
        <f>+$C$75*(IngresosBrutos!O66-PagoCorpac!O66)</f>
        <v>765649.75196090003</v>
      </c>
    </row>
    <row r="67" spans="1:15" ht="9.75" customHeight="1">
      <c r="B67" s="53" t="str">
        <f>+IngresosBrutos!B67</f>
        <v>Publicidad</v>
      </c>
      <c r="C67" s="63">
        <f>+$C$75*(IngresosBrutos!C67-PagoCorpac!C67)</f>
        <v>13102.809161353849</v>
      </c>
      <c r="D67" s="63">
        <f>+$C$75*(IngresosBrutos!D67-PagoCorpac!D67)</f>
        <v>153437.71771013335</v>
      </c>
      <c r="E67" s="63">
        <f>+$C$75*(IngresosBrutos!E67-PagoCorpac!E67)</f>
        <v>121735.6077099</v>
      </c>
      <c r="F67" s="63">
        <f>+$C$75*(IngresosBrutos!F67-PagoCorpac!F67)</f>
        <v>177717.96821690002</v>
      </c>
      <c r="G67" s="63">
        <f>+$C$75*(IngresosBrutos!G67-PagoCorpac!G67)</f>
        <v>239888.49634529997</v>
      </c>
      <c r="H67" s="63">
        <f>+$C$75*(IngresosBrutos!H67-PagoCorpac!H67)</f>
        <v>239888.49634529997</v>
      </c>
      <c r="I67" s="63">
        <f>+$C$75*(IngresosBrutos!I67-PagoCorpac!I67)</f>
        <v>285915.23311549996</v>
      </c>
      <c r="J67" s="63">
        <f>+$C$75*(IngresosBrutos!J67-PagoCorpac!J67)</f>
        <v>266917.43842640007</v>
      </c>
      <c r="K67" s="63">
        <f>+$C$75*(IngresosBrutos!K67-PagoCorpac!K67)</f>
        <v>576711.55847490008</v>
      </c>
      <c r="L67" s="63">
        <f>+$C$75*(IngresosBrutos!L67-PagoCorpac!L67)</f>
        <v>766536.3120852001</v>
      </c>
      <c r="M67" s="63">
        <f>+$C$75*(IngresosBrutos!M67-PagoCorpac!M67)</f>
        <v>918463.274997</v>
      </c>
      <c r="N67" s="63">
        <f>+$C$75*(IngresosBrutos!N67-PagoCorpac!N67)</f>
        <v>1007998.5964863999</v>
      </c>
      <c r="O67" s="63">
        <f>+$C$75*(IngresosBrutos!O67-PagoCorpac!O67)</f>
        <v>1195480.7724196</v>
      </c>
    </row>
    <row r="68" spans="1:15" ht="9.75" customHeight="1">
      <c r="B68" s="60" t="str">
        <f>+IngresosBrutos!B68</f>
        <v>Otros Comerciales</v>
      </c>
      <c r="C68" s="64">
        <v>502959.28415578976</v>
      </c>
      <c r="D68" s="64">
        <v>326641.34505179897</v>
      </c>
      <c r="E68" s="64">
        <v>94078.159965805709</v>
      </c>
      <c r="F68" s="64">
        <v>23730.018161304295</v>
      </c>
      <c r="G68" s="64">
        <v>331999.63438529894</v>
      </c>
      <c r="H68" s="64">
        <v>331999.63438530266</v>
      </c>
      <c r="I68" s="64">
        <v>512944.72908716649</v>
      </c>
      <c r="J68" s="64">
        <v>710344.86059329659</v>
      </c>
      <c r="K68" s="64">
        <v>798488.23402452469</v>
      </c>
      <c r="L68" s="64">
        <v>1104971.9161121696</v>
      </c>
      <c r="M68" s="64">
        <v>1291964.3621912897</v>
      </c>
      <c r="N68" s="64">
        <v>1511102.09830378</v>
      </c>
      <c r="O68" s="64">
        <v>1909858.2552069277</v>
      </c>
    </row>
    <row r="69" spans="1:15" s="288" customFormat="1" ht="9.75" customHeight="1" thickBot="1">
      <c r="A69" s="32"/>
      <c r="B69" s="42"/>
      <c r="C69" s="88">
        <f>+$C$75*(IngresosBrutos!C68-PagoCorpac!C68)</f>
        <v>459742.80061083141</v>
      </c>
      <c r="D69" s="88">
        <f>+$C$75*(IngresosBrutos!D68-PagoCorpac!D68)</f>
        <v>493934.28063440003</v>
      </c>
      <c r="E69" s="88">
        <f>+$C$75*(IngresosBrutos!E68-PagoCorpac!E68)</f>
        <v>549542.30912518303</v>
      </c>
      <c r="F69" s="88">
        <f>+$C$75*(IngresosBrutos!F68-PagoCorpac!F68)</f>
        <v>653828.64761270001</v>
      </c>
      <c r="G69" s="88">
        <f>+$C$75*(IngresosBrutos!G68-PagoCorpac!G68)</f>
        <v>698635.64736119995</v>
      </c>
      <c r="H69" s="181">
        <f>+$C$75*(IngresosBrutos!H68-PagoCorpac!H68)</f>
        <v>698635.64736119995</v>
      </c>
      <c r="I69" s="88">
        <f>+$C$75*(IngresosBrutos!I68-PagoCorpac!I68)</f>
        <v>717547.82460149995</v>
      </c>
      <c r="J69" s="88">
        <f>+$C$75*(IngresosBrutos!J68-PagoCorpac!J68)</f>
        <v>1094304.6406414001</v>
      </c>
      <c r="K69" s="88">
        <f>+$C$75*(IngresosBrutos!K68-PagoCorpac!K68)</f>
        <v>984463.06770869996</v>
      </c>
      <c r="L69" s="88">
        <f>+$C$75*(IngresosBrutos!L68-PagoCorpac!L68)</f>
        <v>1414474.1648061001</v>
      </c>
      <c r="M69" s="88">
        <f>+$C$75*(IngresosBrutos!M68-PagoCorpac!M68)</f>
        <v>1753767.3191704</v>
      </c>
      <c r="N69" s="88">
        <f>+$C$75*(IngresosBrutos!N68-PagoCorpac!N68)</f>
        <v>1865690.0593557998</v>
      </c>
      <c r="O69" s="98">
        <f>+$C$75*(IngresosBrutos!O68-PagoCorpac!O68)</f>
        <v>2341681.4752453994</v>
      </c>
    </row>
    <row r="70" spans="1:15" ht="9.75" customHeight="1" thickTop="1"/>
    <row r="71" spans="1:15" ht="9.75" customHeight="1">
      <c r="B71" s="32" t="s">
        <v>418</v>
      </c>
    </row>
    <row r="74" spans="1:15" ht="9.75" customHeight="1" thickBot="1">
      <c r="B74" s="58"/>
      <c r="C74" s="52"/>
    </row>
    <row r="75" spans="1:15" ht="9.75" customHeight="1" thickTop="1">
      <c r="B75" s="59" t="s">
        <v>24</v>
      </c>
      <c r="C75" s="61">
        <v>0.46511000000000002</v>
      </c>
    </row>
  </sheetData>
  <mergeCells count="1">
    <mergeCell ref="E2:H2"/>
  </mergeCells>
  <hyperlinks>
    <hyperlink ref="E2:H2" location="Indice!D3" display="ÍNDICE"/>
  </hyperlinks>
  <pageMargins left="0.7" right="0.7" top="0.75" bottom="0.75" header="0.3" footer="0.3"/>
  <pageSetup orientation="portrait" r:id="rId1"/>
  <ignoredErrors>
    <ignoredError sqref="C4:F4 I4:O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>
    <tabColor rgb="FF00B050"/>
  </sheetPr>
  <dimension ref="A1:O72"/>
  <sheetViews>
    <sheetView showGridLines="0" workbookViewId="0">
      <selection activeCell="E2" sqref="E2:H2"/>
    </sheetView>
  </sheetViews>
  <sheetFormatPr baseColWidth="10" defaultRowHeight="9"/>
  <cols>
    <col min="1" max="1" width="14.140625" style="32" customWidth="1"/>
    <col min="2" max="2" width="21.140625" style="32" bestFit="1" customWidth="1"/>
    <col min="3" max="15" width="7.7109375" style="32" customWidth="1"/>
    <col min="16" max="17" width="11.42578125" style="32"/>
    <col min="18" max="21" width="6.7109375" style="32" customWidth="1"/>
    <col min="22" max="16384" width="11.42578125" style="32"/>
  </cols>
  <sheetData>
    <row r="1" spans="1:15">
      <c r="B1" s="37" t="s">
        <v>28</v>
      </c>
    </row>
    <row r="2" spans="1:15" ht="9.75" customHeight="1">
      <c r="B2" s="38" t="s">
        <v>393</v>
      </c>
      <c r="E2" s="444" t="s">
        <v>555</v>
      </c>
      <c r="F2" s="444"/>
      <c r="G2" s="444"/>
      <c r="H2" s="444"/>
    </row>
    <row r="4" spans="1:15" s="41" customFormat="1" ht="9.75" thickBot="1">
      <c r="A4" s="32"/>
      <c r="B4" s="42" t="s">
        <v>374</v>
      </c>
      <c r="C4" s="42" t="s">
        <v>380</v>
      </c>
      <c r="D4" s="42" t="s">
        <v>381</v>
      </c>
      <c r="E4" s="42" t="s">
        <v>382</v>
      </c>
      <c r="F4" s="42" t="s">
        <v>383</v>
      </c>
      <c r="G4" s="49" t="s">
        <v>469</v>
      </c>
      <c r="H4" s="88">
        <v>2005</v>
      </c>
      <c r="I4" s="42" t="s">
        <v>384</v>
      </c>
      <c r="J4" s="42" t="s">
        <v>385</v>
      </c>
      <c r="K4" s="42" t="s">
        <v>386</v>
      </c>
      <c r="L4" s="42" t="s">
        <v>387</v>
      </c>
      <c r="M4" s="42" t="s">
        <v>388</v>
      </c>
      <c r="N4" s="42" t="s">
        <v>389</v>
      </c>
      <c r="O4" s="43" t="s">
        <v>390</v>
      </c>
    </row>
    <row r="5" spans="1:15" ht="9.75" thickTop="1">
      <c r="B5" s="53" t="str">
        <f>+RetribucionEstado!B5</f>
        <v>Terminal - International (TUUA)</v>
      </c>
      <c r="C5" s="63">
        <f>+$C$72*IngresosBrutos!C5</f>
        <v>230252.34490409947</v>
      </c>
      <c r="D5" s="63">
        <f>+$C$72*IngresosBrutos!D5</f>
        <v>242065.04140000002</v>
      </c>
      <c r="E5" s="63">
        <f>+$C$72*IngresosBrutos!E5</f>
        <v>274523.21360000002</v>
      </c>
      <c r="F5" s="63">
        <f>+$C$72*IngresosBrutos!F5</f>
        <v>306885.7415</v>
      </c>
      <c r="G5" s="63">
        <f>+$C$72*IngresosBrutos!G5</f>
        <v>344759.37829999998</v>
      </c>
      <c r="H5" s="63">
        <f>+$C$72*IngresosBrutos!H5</f>
        <v>344759.37829999998</v>
      </c>
      <c r="I5" s="63">
        <f>+$C$72*IngresosBrutos!I5</f>
        <v>379791.88319999998</v>
      </c>
      <c r="J5" s="63">
        <f>+$C$72*IngresosBrutos!J5</f>
        <v>457575.48119999992</v>
      </c>
      <c r="K5" s="63">
        <f>+$C$72*IngresosBrutos!K5</f>
        <v>501685.31932773115</v>
      </c>
      <c r="L5" s="63">
        <f>+$C$72*IngresosBrutos!L5</f>
        <v>529664.24579831935</v>
      </c>
      <c r="M5" s="63">
        <f>+$C$72*IngresosBrutos!M5</f>
        <v>553991.88239495805</v>
      </c>
      <c r="N5" s="63">
        <f>+$C$72*IngresosBrutos!N5</f>
        <v>613816.39819220989</v>
      </c>
      <c r="O5" s="63">
        <f>+$C$72*IngresosBrutos!O5</f>
        <v>674068.02312903386</v>
      </c>
    </row>
    <row r="6" spans="1:15">
      <c r="B6" s="60" t="str">
        <f>+RetribucionEstado!B6</f>
        <v>Terminal - National (TUUA)</v>
      </c>
      <c r="C6" s="64">
        <f>+$C$72*IngresosBrutos!C6</f>
        <v>28998.549551049706</v>
      </c>
      <c r="D6" s="64">
        <f>+$C$72*IngresosBrutos!D6</f>
        <v>32147.491599999998</v>
      </c>
      <c r="E6" s="64">
        <f>+$C$72*IngresosBrutos!E6</f>
        <v>41489.415900000007</v>
      </c>
      <c r="F6" s="64">
        <f>+$C$72*IngresosBrutos!F6</f>
        <v>46302.692000000003</v>
      </c>
      <c r="G6" s="64">
        <f>+$C$72*IngresosBrutos!G6</f>
        <v>49936.2353</v>
      </c>
      <c r="H6" s="64">
        <f>+$C$72*IngresosBrutos!H6</f>
        <v>49936.2353</v>
      </c>
      <c r="I6" s="64">
        <f>+$C$72*IngresosBrutos!I6</f>
        <v>66705.524799999999</v>
      </c>
      <c r="J6" s="64">
        <f>+$C$72*IngresosBrutos!J6</f>
        <v>86738.39910000001</v>
      </c>
      <c r="K6" s="64">
        <f>+$C$72*IngresosBrutos!K6</f>
        <v>95315.207983193293</v>
      </c>
      <c r="L6" s="64">
        <f>+$C$72*IngresosBrutos!L6</f>
        <v>98332.156470588219</v>
      </c>
      <c r="M6" s="64">
        <f>+$C$72*IngresosBrutos!M6</f>
        <v>146143.16197647064</v>
      </c>
      <c r="N6" s="64">
        <f>+$C$72*IngresosBrutos!N6</f>
        <v>186415.99238169982</v>
      </c>
      <c r="O6" s="64">
        <f>+$C$72*IngresosBrutos!O6</f>
        <v>256712.3693907797</v>
      </c>
    </row>
    <row r="7" spans="1:15">
      <c r="B7" s="53" t="str">
        <f>+RetribucionEstado!B7</f>
        <v>AID-Hasta 10 t</v>
      </c>
      <c r="C7" s="63">
        <f>+$C$72*IngresosBrutos!C7</f>
        <v>52.505940776965019</v>
      </c>
      <c r="D7" s="63">
        <f>+$C$72*IngresosBrutos!D7</f>
        <v>42.034799999999997</v>
      </c>
      <c r="E7" s="63">
        <f>+$C$72*IngresosBrutos!E7</f>
        <v>46.426099999999998</v>
      </c>
      <c r="F7" s="63">
        <f>+$C$72*IngresosBrutos!F7</f>
        <v>46.180600000000005</v>
      </c>
      <c r="G7" s="63">
        <f>+$C$72*IngresosBrutos!G7</f>
        <v>46.705200000000005</v>
      </c>
      <c r="H7" s="63">
        <f>+$C$72*IngresosBrutos!H7</f>
        <v>46.705200000000005</v>
      </c>
      <c r="I7" s="63">
        <f>+$C$72*IngresosBrutos!I7</f>
        <v>51.732399999999998</v>
      </c>
      <c r="J7" s="63">
        <f>+$C$72*IngresosBrutos!J7</f>
        <v>65.28</v>
      </c>
      <c r="K7" s="63">
        <f>+$C$72*IngresosBrutos!K7</f>
        <v>78.710000000000008</v>
      </c>
      <c r="L7" s="63">
        <f>+$C$72*IngresosBrutos!L7</f>
        <v>86.817200000000014</v>
      </c>
      <c r="M7" s="63">
        <f>+$C$72*IngresosBrutos!M7</f>
        <v>96.271299999999982</v>
      </c>
      <c r="N7" s="63">
        <f>+$C$72*IngresosBrutos!N7</f>
        <v>87.621099999999984</v>
      </c>
      <c r="O7" s="63">
        <f>+$C$72*IngresosBrutos!O7</f>
        <v>99.176799999999645</v>
      </c>
    </row>
    <row r="8" spans="1:15">
      <c r="B8" s="60" t="str">
        <f>+RetribucionEstado!B8</f>
        <v>AID-Más de 10 t hasta 35 t</v>
      </c>
      <c r="C8" s="64">
        <f>+$C$72*IngresosBrutos!C8</f>
        <v>97.825322511420197</v>
      </c>
      <c r="D8" s="64">
        <f>+$C$72*IngresosBrutos!D8</f>
        <v>146.41990000000001</v>
      </c>
      <c r="E8" s="64">
        <f>+$C$72*IngresosBrutos!E8</f>
        <v>129.61020000000002</v>
      </c>
      <c r="F8" s="64">
        <f>+$C$72*IngresosBrutos!F8</f>
        <v>107.06870000000001</v>
      </c>
      <c r="G8" s="64">
        <f>+$C$72*IngresosBrutos!G8</f>
        <v>78.685900000000004</v>
      </c>
      <c r="H8" s="64">
        <f>+$C$72*IngresosBrutos!H8</f>
        <v>78.685900000000004</v>
      </c>
      <c r="I8" s="64">
        <f>+$C$72*IngresosBrutos!I8</f>
        <v>66.968299999999999</v>
      </c>
      <c r="J8" s="64">
        <f>+$C$72*IngresosBrutos!J8</f>
        <v>82.398499999999999</v>
      </c>
      <c r="K8" s="64">
        <f>+$C$72*IngresosBrutos!K8</f>
        <v>95.0274</v>
      </c>
      <c r="L8" s="64">
        <f>+$C$72*IngresosBrutos!L8</f>
        <v>80.0685</v>
      </c>
      <c r="M8" s="64">
        <f>+$C$72*IngresosBrutos!M8</f>
        <v>123.42420000000003</v>
      </c>
      <c r="N8" s="64">
        <f>+$C$72*IngresosBrutos!N8</f>
        <v>121.6032</v>
      </c>
      <c r="O8" s="64">
        <f>+$C$72*IngresosBrutos!O8</f>
        <v>153.21419999999989</v>
      </c>
    </row>
    <row r="9" spans="1:15">
      <c r="B9" s="53" t="str">
        <f>+RetribucionEstado!B9</f>
        <v>AID-Más de 35 t hasta 70 t</v>
      </c>
      <c r="C9" s="63">
        <f>+$C$72*IngresosBrutos!C9</f>
        <v>530.29932000162137</v>
      </c>
      <c r="D9" s="63">
        <f>+$C$72*IngresosBrutos!D9</f>
        <v>463.87529999999998</v>
      </c>
      <c r="E9" s="63">
        <f>+$C$72*IngresosBrutos!E9</f>
        <v>401.97129999999999</v>
      </c>
      <c r="F9" s="63">
        <f>+$C$72*IngresosBrutos!F9</f>
        <v>303.34750000000003</v>
      </c>
      <c r="G9" s="63">
        <f>+$C$72*IngresosBrutos!G9</f>
        <v>84.519800000000004</v>
      </c>
      <c r="H9" s="63">
        <f>+$C$72*IngresosBrutos!H9</f>
        <v>84.519800000000004</v>
      </c>
      <c r="I9" s="63">
        <f>+$C$72*IngresosBrutos!I9</f>
        <v>555.68289999999899</v>
      </c>
      <c r="J9" s="63">
        <f>+$C$72*IngresosBrutos!J9</f>
        <v>1405.2151000000001</v>
      </c>
      <c r="K9" s="63">
        <f>+$C$72*IngresosBrutos!K9</f>
        <v>2212.4713000000006</v>
      </c>
      <c r="L9" s="63">
        <f>+$C$72*IngresosBrutos!L9</f>
        <v>3722.259299999997</v>
      </c>
      <c r="M9" s="63">
        <f>+$C$72*IngresosBrutos!M9</f>
        <v>3432.2402999999968</v>
      </c>
      <c r="N9" s="63">
        <f>+$C$72*IngresosBrutos!N9</f>
        <v>5852.7923000000119</v>
      </c>
      <c r="O9" s="63">
        <f>+$C$72*IngresosBrutos!O9</f>
        <v>6218.3708000000406</v>
      </c>
    </row>
    <row r="10" spans="1:15">
      <c r="B10" s="60" t="str">
        <f>+RetribucionEstado!B10</f>
        <v>AID-Más de 70 t hasta 100 t</v>
      </c>
      <c r="C10" s="64">
        <f>+$C$72*IngresosBrutos!C10</f>
        <v>8142.6890035616007</v>
      </c>
      <c r="D10" s="64">
        <f>+$C$72*IngresosBrutos!D10</f>
        <v>5944.0834999999906</v>
      </c>
      <c r="E10" s="64">
        <f>+$C$72*IngresosBrutos!E10</f>
        <v>4795.0331999999898</v>
      </c>
      <c r="F10" s="64">
        <f>+$C$72*IngresosBrutos!F10</f>
        <v>5657.5952000000007</v>
      </c>
      <c r="G10" s="64">
        <f>+$C$72*IngresosBrutos!G10</f>
        <v>5171.5173000000095</v>
      </c>
      <c r="H10" s="64">
        <f>+$C$72*IngresosBrutos!H10</f>
        <v>5171.5173000000095</v>
      </c>
      <c r="I10" s="64">
        <f>+$C$72*IngresosBrutos!I10</f>
        <v>4743.0596000000669</v>
      </c>
      <c r="J10" s="64">
        <f>+$C$72*IngresosBrutos!J10</f>
        <v>7811.9176999999863</v>
      </c>
      <c r="K10" s="64">
        <f>+$C$72*IngresosBrutos!K10</f>
        <v>10101.649099999991</v>
      </c>
      <c r="L10" s="64">
        <f>+$C$72*IngresosBrutos!L10</f>
        <v>11416.445599999941</v>
      </c>
      <c r="M10" s="64">
        <f>+$C$72*IngresosBrutos!M10</f>
        <v>13225.60080000008</v>
      </c>
      <c r="N10" s="64">
        <f>+$C$72*IngresosBrutos!N10</f>
        <v>15349.53450000014</v>
      </c>
      <c r="O10" s="64">
        <f>+$C$72*IngresosBrutos!O10</f>
        <v>16547.587899999129</v>
      </c>
    </row>
    <row r="11" spans="1:15">
      <c r="B11" s="53" t="str">
        <f>+RetribucionEstado!B11</f>
        <v>AID-Más de 100 t</v>
      </c>
      <c r="C11" s="63">
        <f>+$C$72*IngresosBrutos!C11</f>
        <v>12378.778997017604</v>
      </c>
      <c r="D11" s="63">
        <f>+$C$72*IngresosBrutos!D11</f>
        <v>11577.042100000001</v>
      </c>
      <c r="E11" s="63">
        <f>+$C$72*IngresosBrutos!E11</f>
        <v>13647.5627</v>
      </c>
      <c r="F11" s="63">
        <f>+$C$72*IngresosBrutos!F11</f>
        <v>15138.835200000001</v>
      </c>
      <c r="G11" s="63">
        <f>+$C$72*IngresosBrutos!G11</f>
        <v>19065.217199999999</v>
      </c>
      <c r="H11" s="63">
        <f>+$C$72*IngresosBrutos!H11</f>
        <v>19065.217199999999</v>
      </c>
      <c r="I11" s="63">
        <f>+$C$72*IngresosBrutos!I11</f>
        <v>15872.110900000138</v>
      </c>
      <c r="J11" s="63">
        <f>+$C$72*IngresosBrutos!J11</f>
        <v>18339.418000000001</v>
      </c>
      <c r="K11" s="63">
        <f>+$C$72*IngresosBrutos!K11</f>
        <v>21875.052599999999</v>
      </c>
      <c r="L11" s="63">
        <f>+$C$72*IngresosBrutos!L11</f>
        <v>21176.394900000003</v>
      </c>
      <c r="M11" s="63">
        <f>+$C$72*IngresosBrutos!M11</f>
        <v>23767.278799999996</v>
      </c>
      <c r="N11" s="63">
        <f>+$C$72*IngresosBrutos!N11</f>
        <v>24885.022300000019</v>
      </c>
      <c r="O11" s="63">
        <f>+$C$72*IngresosBrutos!O11</f>
        <v>29788.357899999308</v>
      </c>
    </row>
    <row r="12" spans="1:15">
      <c r="B12" s="60" t="str">
        <f>+RetribucionEstado!B12</f>
        <v>AIN-Hasta 10 t</v>
      </c>
      <c r="C12" s="64">
        <f>+$C$72*IngresosBrutos!C12</f>
        <v>13.8434670778935</v>
      </c>
      <c r="D12" s="64">
        <f>+$C$72*IngresosBrutos!D12</f>
        <v>17.180900000000001</v>
      </c>
      <c r="E12" s="64">
        <f>+$C$72*IngresosBrutos!E12</f>
        <v>13.4285</v>
      </c>
      <c r="F12" s="64">
        <f>+$C$72*IngresosBrutos!F12</f>
        <v>18.023399999999999</v>
      </c>
      <c r="G12" s="64">
        <f>+$C$72*IngresosBrutos!G12</f>
        <v>15.043699999999999</v>
      </c>
      <c r="H12" s="64">
        <f>+$C$72*IngresosBrutos!H12</f>
        <v>15.043699999999999</v>
      </c>
      <c r="I12" s="64">
        <f>+$C$72*IngresosBrutos!I12</f>
        <v>13.307400000000003</v>
      </c>
      <c r="J12" s="64">
        <f>+$C$72*IngresosBrutos!J12</f>
        <v>19.940999999999999</v>
      </c>
      <c r="K12" s="64">
        <f>+$C$72*IngresosBrutos!K12</f>
        <v>21.896000000000001</v>
      </c>
      <c r="L12" s="64">
        <f>+$C$72*IngresosBrutos!L12</f>
        <v>15.916499999999999</v>
      </c>
      <c r="M12" s="64">
        <f>+$C$72*IngresosBrutos!M12</f>
        <v>22.103800000000003</v>
      </c>
      <c r="N12" s="64">
        <f>+$C$72*IngresosBrutos!N12</f>
        <v>24.121299999999998</v>
      </c>
      <c r="O12" s="64">
        <f>+$C$72*IngresosBrutos!O12</f>
        <v>24.121299999999984</v>
      </c>
    </row>
    <row r="13" spans="1:15">
      <c r="B13" s="53" t="str">
        <f>+RetribucionEstado!B13</f>
        <v>AIN-Más de 10 t hasta 35 t</v>
      </c>
      <c r="C13" s="63">
        <f>+$C$72*IngresosBrutos!C13</f>
        <v>56.638949592624293</v>
      </c>
      <c r="D13" s="63">
        <f>+$C$72*IngresosBrutos!D13</f>
        <v>59.253700000000002</v>
      </c>
      <c r="E13" s="63">
        <f>+$C$72*IngresosBrutos!E13</f>
        <v>124.37520000000001</v>
      </c>
      <c r="F13" s="63">
        <f>+$C$72*IngresosBrutos!F13</f>
        <v>78.072299999999998</v>
      </c>
      <c r="G13" s="63">
        <f>+$C$72*IngresosBrutos!G13</f>
        <v>35.570500000000003</v>
      </c>
      <c r="H13" s="63">
        <f>+$C$72*IngresosBrutos!H13</f>
        <v>35.570500000000003</v>
      </c>
      <c r="I13" s="63">
        <f>+$C$72*IngresosBrutos!I13</f>
        <v>55.416200000000011</v>
      </c>
      <c r="J13" s="63">
        <f>+$C$72*IngresosBrutos!J13</f>
        <v>56.448399999999999</v>
      </c>
      <c r="K13" s="63">
        <f>+$C$72*IngresosBrutos!K13</f>
        <v>67.145300000000006</v>
      </c>
      <c r="L13" s="63">
        <f>+$C$72*IngresosBrutos!L13</f>
        <v>66.509700000000009</v>
      </c>
      <c r="M13" s="63">
        <f>+$C$72*IngresosBrutos!M13</f>
        <v>78.648400000000024</v>
      </c>
      <c r="N13" s="63">
        <f>+$C$72*IngresosBrutos!N13</f>
        <v>96.362300000000019</v>
      </c>
      <c r="O13" s="63">
        <f>+$C$72*IngresosBrutos!O13</f>
        <v>117.62299999999999</v>
      </c>
    </row>
    <row r="14" spans="1:15">
      <c r="B14" s="60" t="str">
        <f>+RetribucionEstado!B14</f>
        <v>AIN-Más de 35 t hasta 70 t</v>
      </c>
      <c r="C14" s="64">
        <f>+$C$72*IngresosBrutos!C14</f>
        <v>674.9454043545602</v>
      </c>
      <c r="D14" s="64">
        <f>+$C$72*IngresosBrutos!D14</f>
        <v>1183.1308999999999</v>
      </c>
      <c r="E14" s="64">
        <f>+$C$72*IngresosBrutos!E14</f>
        <v>513.49490000000003</v>
      </c>
      <c r="F14" s="64">
        <f>+$C$72*IngresosBrutos!F14</f>
        <v>572.04169999999999</v>
      </c>
      <c r="G14" s="64">
        <f>+$C$72*IngresosBrutos!G14</f>
        <v>862.81270000000006</v>
      </c>
      <c r="H14" s="64">
        <f>+$C$72*IngresosBrutos!H14</f>
        <v>862.81270000000006</v>
      </c>
      <c r="I14" s="64">
        <f>+$C$72*IngresosBrutos!I14</f>
        <v>1674.8065999999899</v>
      </c>
      <c r="J14" s="64">
        <f>+$C$72*IngresosBrutos!J14</f>
        <v>3495.7534999999998</v>
      </c>
      <c r="K14" s="64">
        <f>+$C$72*IngresosBrutos!K14</f>
        <v>3456.3650999999995</v>
      </c>
      <c r="L14" s="64">
        <f>+$C$72*IngresosBrutos!L14</f>
        <v>4687.8963999999951</v>
      </c>
      <c r="M14" s="64">
        <f>+$C$72*IngresosBrutos!M14</f>
        <v>3059.917799999997</v>
      </c>
      <c r="N14" s="64">
        <f>+$C$72*IngresosBrutos!N14</f>
        <v>5447.6661999999824</v>
      </c>
      <c r="O14" s="64">
        <f>+$C$72*IngresosBrutos!O14</f>
        <v>6291.7032999999528</v>
      </c>
    </row>
    <row r="15" spans="1:15">
      <c r="B15" s="53" t="str">
        <f>+RetribucionEstado!B15</f>
        <v>AIN-Más de 70 t hasta 100 t</v>
      </c>
      <c r="C15" s="63">
        <f>+$C$72*IngresosBrutos!C15</f>
        <v>5437.7511749413388</v>
      </c>
      <c r="D15" s="63">
        <f>+$C$72*IngresosBrutos!D15</f>
        <v>6828.1916000000201</v>
      </c>
      <c r="E15" s="63">
        <f>+$C$72*IngresosBrutos!E15</f>
        <v>7173.9780000000101</v>
      </c>
      <c r="F15" s="63">
        <f>+$C$72*IngresosBrutos!F15</f>
        <v>8088.0942000000096</v>
      </c>
      <c r="G15" s="63">
        <f>+$C$72*IngresosBrutos!G15</f>
        <v>9165.2968999999994</v>
      </c>
      <c r="H15" s="63">
        <f>+$C$72*IngresosBrutos!H15</f>
        <v>9165.2968999999994</v>
      </c>
      <c r="I15" s="63">
        <f>+$C$72*IngresosBrutos!I15</f>
        <v>8910.8985999999477</v>
      </c>
      <c r="J15" s="63">
        <f>+$C$72*IngresosBrutos!J15</f>
        <v>10893.488500000001</v>
      </c>
      <c r="K15" s="63">
        <f>+$C$72*IngresosBrutos!K15</f>
        <v>11073.555</v>
      </c>
      <c r="L15" s="63">
        <f>+$C$72*IngresosBrutos!L15</f>
        <v>10851.079500000002</v>
      </c>
      <c r="M15" s="63">
        <f>+$C$72*IngresosBrutos!M15</f>
        <v>14408.233599999996</v>
      </c>
      <c r="N15" s="63">
        <f>+$C$72*IngresosBrutos!N15</f>
        <v>16351.320900000041</v>
      </c>
      <c r="O15" s="63">
        <f>+$C$72*IngresosBrutos!O15</f>
        <v>16974.554100001107</v>
      </c>
    </row>
    <row r="16" spans="1:15">
      <c r="B16" s="60" t="str">
        <f>+RetribucionEstado!B16</f>
        <v>AIN-Más de 100 t</v>
      </c>
      <c r="C16" s="64">
        <f>+$C$72*IngresosBrutos!C16</f>
        <v>27242.148818643083</v>
      </c>
      <c r="D16" s="64">
        <f>+$C$72*IngresosBrutos!D16</f>
        <v>29786.040199999999</v>
      </c>
      <c r="E16" s="64">
        <f>+$C$72*IngresosBrutos!E16</f>
        <v>29189.9061</v>
      </c>
      <c r="F16" s="64">
        <f>+$C$72*IngresosBrutos!F16</f>
        <v>33683.5268</v>
      </c>
      <c r="G16" s="64">
        <f>+$C$72*IngresosBrutos!G16</f>
        <v>38676.871200000001</v>
      </c>
      <c r="H16" s="64">
        <f>+$C$72*IngresosBrutos!H16</f>
        <v>38676.871200000001</v>
      </c>
      <c r="I16" s="64">
        <f>+$C$72*IngresosBrutos!I16</f>
        <v>39663.987200001007</v>
      </c>
      <c r="J16" s="64">
        <f>+$C$72*IngresosBrutos!J16</f>
        <v>39668.522799999999</v>
      </c>
      <c r="K16" s="64">
        <f>+$C$72*IngresosBrutos!K16</f>
        <v>40467.402099999868</v>
      </c>
      <c r="L16" s="64">
        <f>+$C$72*IngresosBrutos!L16</f>
        <v>45438.701599999833</v>
      </c>
      <c r="M16" s="64">
        <f>+$C$72*IngresosBrutos!M16</f>
        <v>50347.77150000009</v>
      </c>
      <c r="N16" s="64">
        <f>+$C$72*IngresosBrutos!N16</f>
        <v>49314.394900000276</v>
      </c>
      <c r="O16" s="64">
        <f>+$C$72*IngresosBrutos!O16</f>
        <v>50103.134799995925</v>
      </c>
    </row>
    <row r="17" spans="2:15">
      <c r="B17" s="53" t="str">
        <f>+RetribucionEstado!B17</f>
        <v>DID-Hasta 10 t</v>
      </c>
      <c r="C17" s="63">
        <f>+$C$72*IngresosBrutos!C17</f>
        <v>61.11803654430949</v>
      </c>
      <c r="D17" s="63">
        <f>+$C$72*IngresosBrutos!D17</f>
        <v>53.312100000000001</v>
      </c>
      <c r="E17" s="63">
        <f>+$C$72*IngresosBrutos!E17</f>
        <v>53.805799999999998</v>
      </c>
      <c r="F17" s="63">
        <f>+$C$72*IngresosBrutos!F17</f>
        <v>55.884799999999998</v>
      </c>
      <c r="G17" s="63">
        <f>+$C$72*IngresosBrutos!G17</f>
        <v>53.473900000000008</v>
      </c>
      <c r="H17" s="63">
        <f>+$C$72*IngresosBrutos!H17</f>
        <v>53.473900000000008</v>
      </c>
      <c r="I17" s="63">
        <f>+$C$72*IngresosBrutos!I17</f>
        <v>59.219700000000003</v>
      </c>
      <c r="J17" s="63">
        <f>+$C$72*IngresosBrutos!J17</f>
        <v>75.31</v>
      </c>
      <c r="K17" s="63">
        <f>+$C$72*IngresosBrutos!K17</f>
        <v>88.91</v>
      </c>
      <c r="L17" s="63">
        <f>+$C$72*IngresosBrutos!L17</f>
        <v>94.336800000000011</v>
      </c>
      <c r="M17" s="63">
        <f>+$C$72*IngresosBrutos!M17</f>
        <v>107.27619999999999</v>
      </c>
      <c r="N17" s="63">
        <f>+$C$72*IngresosBrutos!N17</f>
        <v>94.496800000000007</v>
      </c>
      <c r="O17" s="63">
        <f>+$C$72*IngresosBrutos!O17</f>
        <v>107.67499999999926</v>
      </c>
    </row>
    <row r="18" spans="2:15">
      <c r="B18" s="60" t="str">
        <f>+RetribucionEstado!B18</f>
        <v>DID-Más de 10 t hasta 35 t</v>
      </c>
      <c r="C18" s="64">
        <f>+$C$72*IngresosBrutos!C18</f>
        <v>138.93983781131766</v>
      </c>
      <c r="D18" s="64">
        <f>+$C$72*IngresosBrutos!D18</f>
        <v>171.16929999999999</v>
      </c>
      <c r="E18" s="64">
        <f>+$C$72*IngresosBrutos!E18</f>
        <v>211.95669999999998</v>
      </c>
      <c r="F18" s="64">
        <f>+$C$72*IngresosBrutos!F18</f>
        <v>153.56120000000001</v>
      </c>
      <c r="G18" s="64">
        <f>+$C$72*IngresosBrutos!G18</f>
        <v>89.415800000000004</v>
      </c>
      <c r="H18" s="64">
        <f>+$C$72*IngresosBrutos!H18</f>
        <v>89.415800000000004</v>
      </c>
      <c r="I18" s="64">
        <f>+$C$72*IngresosBrutos!I18</f>
        <v>80.850700000000003</v>
      </c>
      <c r="J18" s="64">
        <f>+$C$72*IngresosBrutos!J18</f>
        <v>97.898300000000006</v>
      </c>
      <c r="K18" s="64">
        <f>+$C$72*IngresosBrutos!K18</f>
        <v>122.5907</v>
      </c>
      <c r="L18" s="64">
        <f>+$C$72*IngresosBrutos!L18</f>
        <v>108.29429999999999</v>
      </c>
      <c r="M18" s="64">
        <f>+$C$72*IngresosBrutos!M18</f>
        <v>147.48660000000001</v>
      </c>
      <c r="N18" s="64">
        <f>+$C$72*IngresosBrutos!N18</f>
        <v>157.67100000000005</v>
      </c>
      <c r="O18" s="64">
        <f>+$C$72*IngresosBrutos!O18</f>
        <v>193.59550000000021</v>
      </c>
    </row>
    <row r="19" spans="2:15">
      <c r="B19" s="53" t="str">
        <f>+RetribucionEstado!B19</f>
        <v>DID-Más de 35 t hasta 70 t</v>
      </c>
      <c r="C19" s="63">
        <f>+$C$72*IngresosBrutos!C19</f>
        <v>946.98343136129495</v>
      </c>
      <c r="D19" s="63">
        <f>+$C$72*IngresosBrutos!D19</f>
        <v>786.1219000000001</v>
      </c>
      <c r="E19" s="63">
        <f>+$C$72*IngresosBrutos!E19</f>
        <v>540.05719999999997</v>
      </c>
      <c r="F19" s="63">
        <f>+$C$72*IngresosBrutos!F19</f>
        <v>453.34809999999999</v>
      </c>
      <c r="G19" s="63">
        <f>+$C$72*IngresosBrutos!G19</f>
        <v>751.76589999999999</v>
      </c>
      <c r="H19" s="63">
        <f>+$C$72*IngresosBrutos!H19</f>
        <v>751.76589999999999</v>
      </c>
      <c r="I19" s="63">
        <f>+$C$72*IngresosBrutos!I19</f>
        <v>1186.6154999999944</v>
      </c>
      <c r="J19" s="63">
        <f>+$C$72*IngresosBrutos!J19</f>
        <v>2319.3534</v>
      </c>
      <c r="K19" s="63">
        <f>+$C$72*IngresosBrutos!K19</f>
        <v>2806.7916999999998</v>
      </c>
      <c r="L19" s="63">
        <f>+$C$72*IngresosBrutos!L19</f>
        <v>4595.8122999999923</v>
      </c>
      <c r="M19" s="63">
        <f>+$C$72*IngresosBrutos!M19</f>
        <v>3162.4554999999968</v>
      </c>
      <c r="N19" s="63">
        <f>+$C$72*IngresosBrutos!N19</f>
        <v>5484.1595000000052</v>
      </c>
      <c r="O19" s="63">
        <f>+$C$72*IngresosBrutos!O19</f>
        <v>7352.1355000002832</v>
      </c>
    </row>
    <row r="20" spans="2:15">
      <c r="B20" s="60" t="str">
        <f>+RetribucionEstado!B20</f>
        <v>DID-Más de 70 t hasta 100 t</v>
      </c>
      <c r="C20" s="64">
        <f>+$C$72*IngresosBrutos!C20</f>
        <v>7873.1156587193982</v>
      </c>
      <c r="D20" s="64">
        <f>+$C$72*IngresosBrutos!D20</f>
        <v>7660.2914999999903</v>
      </c>
      <c r="E20" s="64">
        <f>+$C$72*IngresosBrutos!E20</f>
        <v>6929.9719999999998</v>
      </c>
      <c r="F20" s="64">
        <f>+$C$72*IngresosBrutos!F20</f>
        <v>7783.11150000001</v>
      </c>
      <c r="G20" s="64">
        <f>+$C$72*IngresosBrutos!G20</f>
        <v>8704.39390000001</v>
      </c>
      <c r="H20" s="64">
        <f>+$C$72*IngresosBrutos!H20</f>
        <v>8704.39390000001</v>
      </c>
      <c r="I20" s="64">
        <f>+$C$72*IngresosBrutos!I20</f>
        <v>7426.9581000000926</v>
      </c>
      <c r="J20" s="64">
        <f>+$C$72*IngresosBrutos!J20</f>
        <v>8558.7489999999871</v>
      </c>
      <c r="K20" s="64">
        <f>+$C$72*IngresosBrutos!K20</f>
        <v>10013.332699999994</v>
      </c>
      <c r="L20" s="64">
        <f>+$C$72*IngresosBrutos!L20</f>
        <v>11264.107399999946</v>
      </c>
      <c r="M20" s="64">
        <f>+$C$72*IngresosBrutos!M20</f>
        <v>13370.259000000069</v>
      </c>
      <c r="N20" s="64">
        <f>+$C$72*IngresosBrutos!N20</f>
        <v>15984.688700000102</v>
      </c>
      <c r="O20" s="64">
        <f>+$C$72*IngresosBrutos!O20</f>
        <v>16497.096499999392</v>
      </c>
    </row>
    <row r="21" spans="2:15">
      <c r="B21" s="53" t="str">
        <f>+RetribucionEstado!B21</f>
        <v>DID-Más de 100 t</v>
      </c>
      <c r="C21" s="63">
        <f>+$C$72*IngresosBrutos!C21</f>
        <v>13892.454956197198</v>
      </c>
      <c r="D21" s="63">
        <f>+$C$72*IngresosBrutos!D21</f>
        <v>14329.905400000001</v>
      </c>
      <c r="E21" s="63">
        <f>+$C$72*IngresosBrutos!E21</f>
        <v>16474.172399999999</v>
      </c>
      <c r="F21" s="63">
        <f>+$C$72*IngresosBrutos!F21</f>
        <v>18559.557800000002</v>
      </c>
      <c r="G21" s="63">
        <f>+$C$72*IngresosBrutos!G21</f>
        <v>20147.769</v>
      </c>
      <c r="H21" s="63">
        <f>+$C$72*IngresosBrutos!H21</f>
        <v>20147.769</v>
      </c>
      <c r="I21" s="63">
        <f>+$C$72*IngresosBrutos!I21</f>
        <v>19119.200000000263</v>
      </c>
      <c r="J21" s="63">
        <f>+$C$72*IngresosBrutos!J21</f>
        <v>20946.509700000002</v>
      </c>
      <c r="K21" s="63">
        <f>+$C$72*IngresosBrutos!K21</f>
        <v>21525.744999999995</v>
      </c>
      <c r="L21" s="63">
        <f>+$C$72*IngresosBrutos!L21</f>
        <v>21669.402600000009</v>
      </c>
      <c r="M21" s="63">
        <f>+$C$72*IngresosBrutos!M21</f>
        <v>25228.51660000001</v>
      </c>
      <c r="N21" s="63">
        <f>+$C$72*IngresosBrutos!N21</f>
        <v>25057.056500000028</v>
      </c>
      <c r="O21" s="63">
        <f>+$C$72*IngresosBrutos!O21</f>
        <v>31150.320299998875</v>
      </c>
    </row>
    <row r="22" spans="2:15">
      <c r="B22" s="60" t="str">
        <f>+RetribucionEstado!B22</f>
        <v>DIN-Hasta 10 t</v>
      </c>
      <c r="C22" s="64">
        <f>+$C$72*IngresosBrutos!C22</f>
        <v>6.2417053753143854</v>
      </c>
      <c r="D22" s="64">
        <f>+$C$72*IngresosBrutos!D22</f>
        <v>4.0386000000000006</v>
      </c>
      <c r="E22" s="64">
        <f>+$C$72*IngresosBrutos!E22</f>
        <v>4.7488999999999999</v>
      </c>
      <c r="F22" s="64">
        <f>+$C$72*IngresosBrutos!F22</f>
        <v>6.1248000000000005</v>
      </c>
      <c r="G22" s="64">
        <f>+$C$72*IngresosBrutos!G22</f>
        <v>6.5162000000000004</v>
      </c>
      <c r="H22" s="64">
        <f>+$C$72*IngresosBrutos!H22</f>
        <v>6.5162000000000004</v>
      </c>
      <c r="I22" s="64">
        <f>+$C$72*IngresosBrutos!I22</f>
        <v>4.4996999999999998</v>
      </c>
      <c r="J22" s="64">
        <f>+$C$72*IngresosBrutos!J22</f>
        <v>8.0154999999999994</v>
      </c>
      <c r="K22" s="64">
        <f>+$C$72*IngresosBrutos!K22</f>
        <v>9.1884999999999994</v>
      </c>
      <c r="L22" s="64">
        <f>+$C$72*IngresosBrutos!L22</f>
        <v>5.3054999999999994</v>
      </c>
      <c r="M22" s="64">
        <f>+$C$72*IngresosBrutos!M22</f>
        <v>10.446900000000001</v>
      </c>
      <c r="N22" s="64">
        <f>+$C$72*IngresosBrutos!N22</f>
        <v>12.972799999999999</v>
      </c>
      <c r="O22" s="64">
        <f>+$C$72*IngresosBrutos!O22</f>
        <v>12.972799999999992</v>
      </c>
    </row>
    <row r="23" spans="2:15">
      <c r="B23" s="53" t="str">
        <f>+RetribucionEstado!B23</f>
        <v>DIN-Más de 10 t hasta 35 t</v>
      </c>
      <c r="C23" s="63">
        <f>+$C$72*IngresosBrutos!C23</f>
        <v>17.929785523111633</v>
      </c>
      <c r="D23" s="63">
        <f>+$C$72*IngresosBrutos!D23</f>
        <v>32.024299999999997</v>
      </c>
      <c r="E23" s="63">
        <f>+$C$72*IngresosBrutos!E23</f>
        <v>31.639400000000002</v>
      </c>
      <c r="F23" s="63">
        <f>+$C$72*IngresosBrutos!F23</f>
        <v>26.1965</v>
      </c>
      <c r="G23" s="63">
        <f>+$C$72*IngresosBrutos!G23</f>
        <v>22.346999999999998</v>
      </c>
      <c r="H23" s="63">
        <f>+$C$72*IngresosBrutos!H23</f>
        <v>22.346999999999998</v>
      </c>
      <c r="I23" s="63">
        <f>+$C$72*IngresosBrutos!I23</f>
        <v>37.579300000000003</v>
      </c>
      <c r="J23" s="63">
        <f>+$C$72*IngresosBrutos!J23</f>
        <v>39.496200000000002</v>
      </c>
      <c r="K23" s="63">
        <f>+$C$72*IngresosBrutos!K23</f>
        <v>34.057400000000001</v>
      </c>
      <c r="L23" s="63">
        <f>+$C$72*IngresosBrutos!L23</f>
        <v>34.575700000000005</v>
      </c>
      <c r="M23" s="63">
        <f>+$C$72*IngresosBrutos!M23</f>
        <v>48.064300000000003</v>
      </c>
      <c r="N23" s="63">
        <f>+$C$72*IngresosBrutos!N23</f>
        <v>54.05510000000001</v>
      </c>
      <c r="O23" s="63">
        <f>+$C$72*IngresosBrutos!O23</f>
        <v>66.468000000000032</v>
      </c>
    </row>
    <row r="24" spans="2:15">
      <c r="B24" s="60" t="str">
        <f>+RetribucionEstado!B24</f>
        <v>DIN-Más de 35 t hasta 70 t</v>
      </c>
      <c r="C24" s="64">
        <f>+$C$72*IngresosBrutos!C24</f>
        <v>212.74763376781527</v>
      </c>
      <c r="D24" s="64">
        <f>+$C$72*IngresosBrutos!D24</f>
        <v>836.07759999999996</v>
      </c>
      <c r="E24" s="64">
        <f>+$C$72*IngresosBrutos!E24</f>
        <v>346.94050000000004</v>
      </c>
      <c r="F24" s="64">
        <f>+$C$72*IngresosBrutos!F24</f>
        <v>394.02050000000003</v>
      </c>
      <c r="G24" s="64">
        <f>+$C$72*IngresosBrutos!G24</f>
        <v>87.451800000000006</v>
      </c>
      <c r="H24" s="64">
        <f>+$C$72*IngresosBrutos!H24</f>
        <v>87.451800000000006</v>
      </c>
      <c r="I24" s="64">
        <f>+$C$72*IngresosBrutos!I24</f>
        <v>949.74250000000018</v>
      </c>
      <c r="J24" s="64">
        <f>+$C$72*IngresosBrutos!J24</f>
        <v>2432.1878000000002</v>
      </c>
      <c r="K24" s="64">
        <f>+$C$72*IngresosBrutos!K24</f>
        <v>2748.0525000000002</v>
      </c>
      <c r="L24" s="64">
        <f>+$C$72*IngresosBrutos!L24</f>
        <v>3692.4022999999988</v>
      </c>
      <c r="M24" s="64">
        <f>+$C$72*IngresosBrutos!M24</f>
        <v>3351.4157999999957</v>
      </c>
      <c r="N24" s="64">
        <f>+$C$72*IngresosBrutos!N24</f>
        <v>5878.4750999999806</v>
      </c>
      <c r="O24" s="64">
        <f>+$C$72*IngresosBrutos!O24</f>
        <v>4966.1900000000842</v>
      </c>
    </row>
    <row r="25" spans="2:15">
      <c r="B25" s="53" t="str">
        <f>+RetribucionEstado!B25</f>
        <v>DIN-Más de 70 t hasta 100 t</v>
      </c>
      <c r="C25" s="63">
        <f>+$C$72*IngresosBrutos!C25</f>
        <v>5785.8401855068969</v>
      </c>
      <c r="D25" s="63">
        <f>+$C$72*IngresosBrutos!D25</f>
        <v>4843.0892999999996</v>
      </c>
      <c r="E25" s="63">
        <f>+$C$72*IngresosBrutos!E25</f>
        <v>4725.5582000000004</v>
      </c>
      <c r="F25" s="63">
        <f>+$C$72*IngresosBrutos!F25</f>
        <v>5627.3683999999994</v>
      </c>
      <c r="G25" s="63">
        <f>+$C$72*IngresosBrutos!G25</f>
        <v>5099.7978000000103</v>
      </c>
      <c r="H25" s="63">
        <f>+$C$72*IngresosBrutos!H25</f>
        <v>5099.7978000000103</v>
      </c>
      <c r="I25" s="63">
        <f>+$C$72*IngresosBrutos!I25</f>
        <v>5826.7874000000093</v>
      </c>
      <c r="J25" s="63">
        <f>+$C$72*IngresosBrutos!J25</f>
        <v>10068.6248</v>
      </c>
      <c r="K25" s="63">
        <f>+$C$72*IngresosBrutos!K25</f>
        <v>12078.072400000003</v>
      </c>
      <c r="L25" s="63">
        <f>+$C$72*IngresosBrutos!L25</f>
        <v>11048.973200000004</v>
      </c>
      <c r="M25" s="63">
        <f>+$C$72*IngresosBrutos!M25</f>
        <v>14244.888799999979</v>
      </c>
      <c r="N25" s="63">
        <f>+$C$72*IngresosBrutos!N25</f>
        <v>15632.2767</v>
      </c>
      <c r="O25" s="63">
        <f>+$C$72*IngresosBrutos!O25</f>
        <v>17040.710000001054</v>
      </c>
    </row>
    <row r="26" spans="2:15">
      <c r="B26" s="60" t="str">
        <f>+RetribucionEstado!B26</f>
        <v>DIN-Más de 100 t</v>
      </c>
      <c r="C26" s="64">
        <f>+$C$72*IngresosBrutos!C26</f>
        <v>25585.68505185411</v>
      </c>
      <c r="D26" s="64">
        <f>+$C$72*IngresosBrutos!D26</f>
        <v>26423.193500000001</v>
      </c>
      <c r="E26" s="64">
        <f>+$C$72*IngresosBrutos!E26</f>
        <v>27168.8331</v>
      </c>
      <c r="F26" s="64">
        <f>+$C$72*IngresosBrutos!F26</f>
        <v>26271.483900000003</v>
      </c>
      <c r="G26" s="64">
        <f>+$C$72*IngresosBrutos!G26</f>
        <v>35366.2304</v>
      </c>
      <c r="H26" s="64">
        <f>+$C$72*IngresosBrutos!H26</f>
        <v>35366.2304</v>
      </c>
      <c r="I26" s="64">
        <f>+$C$72*IngresosBrutos!I26</f>
        <v>43140.825800000697</v>
      </c>
      <c r="J26" s="64">
        <f>+$C$72*IngresosBrutos!J26</f>
        <v>38899.734699999914</v>
      </c>
      <c r="K26" s="64">
        <f>+$C$72*IngresosBrutos!K26</f>
        <v>39495.213599999872</v>
      </c>
      <c r="L26" s="64">
        <f>+$C$72*IngresosBrutos!L26</f>
        <v>44651.614999999845</v>
      </c>
      <c r="M26" s="64">
        <f>+$C$72*IngresosBrutos!M26</f>
        <v>48252.909900000115</v>
      </c>
      <c r="N26" s="64">
        <f>+$C$72*IngresosBrutos!N26</f>
        <v>48926.941200000241</v>
      </c>
      <c r="O26" s="64">
        <f>+$C$72*IngresosBrutos!O26</f>
        <v>48556.335599996819</v>
      </c>
    </row>
    <row r="27" spans="2:15">
      <c r="B27" s="53" t="str">
        <f>+RetribucionEstado!B27</f>
        <v>AND-Hasta 10 t</v>
      </c>
      <c r="C27" s="63">
        <f>+$C$72*IngresosBrutos!C27</f>
        <v>122.34868780857336</v>
      </c>
      <c r="D27" s="63">
        <f>+$C$72*IngresosBrutos!D27</f>
        <v>146.9324</v>
      </c>
      <c r="E27" s="63">
        <f>+$C$72*IngresosBrutos!E27</f>
        <v>136.69739999999999</v>
      </c>
      <c r="F27" s="63">
        <f>+$C$72*IngresosBrutos!F27</f>
        <v>264.48450000000201</v>
      </c>
      <c r="G27" s="63">
        <f>+$C$72*IngresosBrutos!G27</f>
        <v>245.81230000000201</v>
      </c>
      <c r="H27" s="63">
        <f>+$C$72*IngresosBrutos!H27</f>
        <v>245.81230000000201</v>
      </c>
      <c r="I27" s="63">
        <f>+$C$72*IngresosBrutos!I27</f>
        <v>319.62419999998201</v>
      </c>
      <c r="J27" s="63">
        <f>+$C$72*IngresosBrutos!J27</f>
        <v>299.37250000000211</v>
      </c>
      <c r="K27" s="63">
        <f>+$C$72*IngresosBrutos!K27</f>
        <v>350.89500000000163</v>
      </c>
      <c r="L27" s="63">
        <f>+$C$72*IngresosBrutos!L27</f>
        <v>393.73240000000186</v>
      </c>
      <c r="M27" s="63">
        <f>+$C$72*IngresosBrutos!M27</f>
        <v>402.40160000000287</v>
      </c>
      <c r="N27" s="63">
        <f>+$C$72*IngresosBrutos!N27</f>
        <v>303.0360000000004</v>
      </c>
      <c r="O27" s="63">
        <f>+$C$72*IngresosBrutos!O27</f>
        <v>213.82299999998745</v>
      </c>
    </row>
    <row r="28" spans="2:15">
      <c r="B28" s="60" t="str">
        <f>+RetribucionEstado!B28</f>
        <v>AND-Más de 10 t hasta 35 t</v>
      </c>
      <c r="C28" s="64">
        <f>+$C$72*IngresosBrutos!C28</f>
        <v>346.17220700254876</v>
      </c>
      <c r="D28" s="64">
        <f>+$C$72*IngresosBrutos!D28</f>
        <v>353.05449999999996</v>
      </c>
      <c r="E28" s="64">
        <f>+$C$72*IngresosBrutos!E28</f>
        <v>469.24339999999995</v>
      </c>
      <c r="F28" s="64">
        <f>+$C$72*IngresosBrutos!F28</f>
        <v>391.34449999999902</v>
      </c>
      <c r="G28" s="64">
        <f>+$C$72*IngresosBrutos!G28</f>
        <v>359.39330000000001</v>
      </c>
      <c r="H28" s="64">
        <f>+$C$72*IngresosBrutos!H28</f>
        <v>359.39330000000001</v>
      </c>
      <c r="I28" s="64">
        <f>+$C$72*IngresosBrutos!I28</f>
        <v>449.42070000000081</v>
      </c>
      <c r="J28" s="64">
        <f>+$C$72*IngresosBrutos!J28</f>
        <v>738.29260000000181</v>
      </c>
      <c r="K28" s="64">
        <f>+$C$72*IngresosBrutos!K28</f>
        <v>548.58050000000071</v>
      </c>
      <c r="L28" s="64">
        <f>+$C$72*IngresosBrutos!L28</f>
        <v>423.39460000000003</v>
      </c>
      <c r="M28" s="64">
        <f>+$C$72*IngresosBrutos!M28</f>
        <v>516.71989999999948</v>
      </c>
      <c r="N28" s="64">
        <f>+$C$72*IngresosBrutos!N28</f>
        <v>605.32859999999914</v>
      </c>
      <c r="O28" s="64">
        <f>+$C$72*IngresosBrutos!O28</f>
        <v>1257.9216999999448</v>
      </c>
    </row>
    <row r="29" spans="2:15">
      <c r="B29" s="53" t="str">
        <f>+RetribucionEstado!B29</f>
        <v>AND-Más de 35 t hasta 70 t</v>
      </c>
      <c r="C29" s="63">
        <f>+$C$72*IngresosBrutos!C29</f>
        <v>1907.5575277563435</v>
      </c>
      <c r="D29" s="63">
        <f>+$C$72*IngresosBrutos!D29</f>
        <v>1203.9554000000001</v>
      </c>
      <c r="E29" s="63">
        <f>+$C$72*IngresosBrutos!E29</f>
        <v>1261.8412000000001</v>
      </c>
      <c r="F29" s="63">
        <f>+$C$72*IngresosBrutos!F29</f>
        <v>1004.7505000000001</v>
      </c>
      <c r="G29" s="63">
        <f>+$C$72*IngresosBrutos!G29</f>
        <v>2154.4193</v>
      </c>
      <c r="H29" s="63">
        <f>+$C$72*IngresosBrutos!H29</f>
        <v>2154.4193</v>
      </c>
      <c r="I29" s="63">
        <f>+$C$72*IngresosBrutos!I29</f>
        <v>4167.8449999999784</v>
      </c>
      <c r="J29" s="63">
        <f>+$C$72*IngresosBrutos!J29</f>
        <v>6572.094600000024</v>
      </c>
      <c r="K29" s="63">
        <f>+$C$72*IngresosBrutos!K29</f>
        <v>8037.3275000000658</v>
      </c>
      <c r="L29" s="63">
        <f>+$C$72*IngresosBrutos!L29</f>
        <v>9063.3389000000298</v>
      </c>
      <c r="M29" s="63">
        <f>+$C$72*IngresosBrutos!M29</f>
        <v>11450.822199999933</v>
      </c>
      <c r="N29" s="63">
        <f>+$C$72*IngresosBrutos!N29</f>
        <v>13548.970699999985</v>
      </c>
      <c r="O29" s="63">
        <f>+$C$72*IngresosBrutos!O29</f>
        <v>14826.844799999903</v>
      </c>
    </row>
    <row r="30" spans="2:15">
      <c r="B30" s="60" t="str">
        <f>+RetribucionEstado!B30</f>
        <v>AND-Más de 70 t hasta 100 t</v>
      </c>
      <c r="C30" s="64">
        <f>+$C$72*IngresosBrutos!C30</f>
        <v>1112.2116265327575</v>
      </c>
      <c r="D30" s="64">
        <f>+$C$72*IngresosBrutos!D30</f>
        <v>1862.4558</v>
      </c>
      <c r="E30" s="64">
        <f>+$C$72*IngresosBrutos!E30</f>
        <v>1871.1935999999998</v>
      </c>
      <c r="F30" s="64">
        <f>+$C$72*IngresosBrutos!F30</f>
        <v>2139.79629999999</v>
      </c>
      <c r="G30" s="64">
        <f>+$C$72*IngresosBrutos!G30</f>
        <v>3238.4577000000199</v>
      </c>
      <c r="H30" s="64">
        <f>+$C$72*IngresosBrutos!H30</f>
        <v>3238.4577000000199</v>
      </c>
      <c r="I30" s="64">
        <f>+$C$72*IngresosBrutos!I30</f>
        <v>2014.7962000000118</v>
      </c>
      <c r="J30" s="64">
        <f>+$C$72*IngresosBrutos!J30</f>
        <v>478.4067</v>
      </c>
      <c r="K30" s="64">
        <f>+$C$72*IngresosBrutos!K30</f>
        <v>685.70270000000016</v>
      </c>
      <c r="L30" s="64">
        <f>+$C$72*IngresosBrutos!L30</f>
        <v>634.26909999999998</v>
      </c>
      <c r="M30" s="64">
        <f>+$C$72*IngresosBrutos!M30</f>
        <v>949.6027000000006</v>
      </c>
      <c r="N30" s="64">
        <f>+$C$72*IngresosBrutos!N30</f>
        <v>963.39980000000071</v>
      </c>
      <c r="O30" s="64">
        <f>+$C$72*IngresosBrutos!O30</f>
        <v>1741.0561000000046</v>
      </c>
    </row>
    <row r="31" spans="2:15">
      <c r="B31" s="53" t="str">
        <f>+RetribucionEstado!B31</f>
        <v>AND-Más de 100 t</v>
      </c>
      <c r="C31" s="63">
        <f>+$C$72*IngresosBrutos!C31</f>
        <v>152.02084093655705</v>
      </c>
      <c r="D31" s="63">
        <f>+$C$72*IngresosBrutos!D31</f>
        <v>75.681100000000001</v>
      </c>
      <c r="E31" s="63">
        <f>+$C$72*IngresosBrutos!E31</f>
        <v>30.718200000000003</v>
      </c>
      <c r="F31" s="63">
        <f>+$C$72*IngresosBrutos!F31</f>
        <v>202.15650000000002</v>
      </c>
      <c r="G31" s="63">
        <f>+$C$72*IngresosBrutos!G31</f>
        <v>32.457700000000003</v>
      </c>
      <c r="H31" s="63">
        <f>+$C$72*IngresosBrutos!H31</f>
        <v>32.457700000000003</v>
      </c>
      <c r="I31" s="63">
        <f>+$C$72*IngresosBrutos!I31</f>
        <v>33.922699999999999</v>
      </c>
      <c r="J31" s="63">
        <f>+$C$72*IngresosBrutos!J31</f>
        <v>19.350899999999999</v>
      </c>
      <c r="K31" s="63">
        <f>+$C$72*IngresosBrutos!K31</f>
        <v>38.418900000000001</v>
      </c>
      <c r="L31" s="63">
        <f>+$C$72*IngresosBrutos!L31</f>
        <v>21.676199999999998</v>
      </c>
      <c r="M31" s="63">
        <f>+$C$72*IngresosBrutos!M31</f>
        <v>20.414999999999999</v>
      </c>
      <c r="N31" s="63">
        <f>+$C$72*IngresosBrutos!N31</f>
        <v>20.5242</v>
      </c>
      <c r="O31" s="63">
        <f>+$C$72*IngresosBrutos!O31</f>
        <v>2.8195999999999999</v>
      </c>
    </row>
    <row r="32" spans="2:15">
      <c r="B32" s="60" t="str">
        <f>+RetribucionEstado!B32</f>
        <v>ANN-Hasta 10 t</v>
      </c>
      <c r="C32" s="64">
        <f>+$C$72*IngresosBrutos!C32</f>
        <v>27.303243053070183</v>
      </c>
      <c r="D32" s="64">
        <f>+$C$72*IngresosBrutos!D32</f>
        <v>31.9177</v>
      </c>
      <c r="E32" s="64">
        <f>+$C$72*IngresosBrutos!E32</f>
        <v>32.3018</v>
      </c>
      <c r="F32" s="64">
        <f>+$C$72*IngresosBrutos!F32</f>
        <v>56.203400000000002</v>
      </c>
      <c r="G32" s="64">
        <f>+$C$72*IngresosBrutos!G32</f>
        <v>72.119900000000101</v>
      </c>
      <c r="H32" s="64">
        <f>+$C$72*IngresosBrutos!H32</f>
        <v>72.119900000000101</v>
      </c>
      <c r="I32" s="64">
        <f>+$C$72*IngresosBrutos!I32</f>
        <v>78.227499999999438</v>
      </c>
      <c r="J32" s="64">
        <f>+$C$72*IngresosBrutos!J32</f>
        <v>80.057800000000071</v>
      </c>
      <c r="K32" s="64">
        <f>+$C$72*IngresosBrutos!K32</f>
        <v>78.689200000000071</v>
      </c>
      <c r="L32" s="64">
        <f>+$C$72*IngresosBrutos!L32</f>
        <v>77.441100000000105</v>
      </c>
      <c r="M32" s="64">
        <f>+$C$72*IngresosBrutos!M32</f>
        <v>70.750300000000024</v>
      </c>
      <c r="N32" s="64">
        <f>+$C$72*IngresosBrutos!N32</f>
        <v>56.890999999999984</v>
      </c>
      <c r="O32" s="64">
        <f>+$C$72*IngresosBrutos!O32</f>
        <v>31.592800000000175</v>
      </c>
    </row>
    <row r="33" spans="2:15">
      <c r="B33" s="53" t="str">
        <f>+RetribucionEstado!B33</f>
        <v>ANN-Más de 10 t hasta 35 t</v>
      </c>
      <c r="C33" s="63">
        <f>+$C$72*IngresosBrutos!C33</f>
        <v>110.19123292517476</v>
      </c>
      <c r="D33" s="63">
        <f>+$C$72*IngresosBrutos!D33</f>
        <v>107.97580000000001</v>
      </c>
      <c r="E33" s="63">
        <f>+$C$72*IngresosBrutos!E33</f>
        <v>144.02500000000001</v>
      </c>
      <c r="F33" s="63">
        <f>+$C$72*IngresosBrutos!F33</f>
        <v>149.80770000000001</v>
      </c>
      <c r="G33" s="63">
        <f>+$C$72*IngresosBrutos!G33</f>
        <v>98.86760000000001</v>
      </c>
      <c r="H33" s="63">
        <f>+$C$72*IngresosBrutos!H33</f>
        <v>98.86760000000001</v>
      </c>
      <c r="I33" s="63">
        <f>+$C$72*IngresosBrutos!I33</f>
        <v>131.2818</v>
      </c>
      <c r="J33" s="63">
        <f>+$C$72*IngresosBrutos!J33</f>
        <v>174.68689999999998</v>
      </c>
      <c r="K33" s="63">
        <f>+$C$72*IngresosBrutos!K33</f>
        <v>103.7114</v>
      </c>
      <c r="L33" s="63">
        <f>+$C$72*IngresosBrutos!L33</f>
        <v>74.433500000000009</v>
      </c>
      <c r="M33" s="63">
        <f>+$C$72*IngresosBrutos!M33</f>
        <v>109.91040000000002</v>
      </c>
      <c r="N33" s="63">
        <f>+$C$72*IngresosBrutos!N33</f>
        <v>122.8468</v>
      </c>
      <c r="O33" s="63">
        <f>+$C$72*IngresosBrutos!O33</f>
        <v>214.68160000000026</v>
      </c>
    </row>
    <row r="34" spans="2:15">
      <c r="B34" s="60" t="str">
        <f>+RetribucionEstado!B34</f>
        <v>ANN-Más de 35 t hasta 70 t</v>
      </c>
      <c r="C34" s="64">
        <f>+$C$72*IngresosBrutos!C34</f>
        <v>1048.0993636024818</v>
      </c>
      <c r="D34" s="64">
        <f>+$C$72*IngresosBrutos!D34</f>
        <v>761.33550000000002</v>
      </c>
      <c r="E34" s="64">
        <f>+$C$72*IngresosBrutos!E34</f>
        <v>753.55740000000003</v>
      </c>
      <c r="F34" s="64">
        <f>+$C$72*IngresosBrutos!F34</f>
        <v>581.22120000000007</v>
      </c>
      <c r="G34" s="64">
        <f>+$C$72*IngresosBrutos!G34</f>
        <v>908.1848</v>
      </c>
      <c r="H34" s="64">
        <f>+$C$72*IngresosBrutos!H34</f>
        <v>908.1848</v>
      </c>
      <c r="I34" s="64">
        <f>+$C$72*IngresosBrutos!I34</f>
        <v>2885.7310000000534</v>
      </c>
      <c r="J34" s="64">
        <f>+$C$72*IngresosBrutos!J34</f>
        <v>4894.1733999999406</v>
      </c>
      <c r="K34" s="64">
        <f>+$C$72*IngresosBrutos!K34</f>
        <v>5338.9973999999411</v>
      </c>
      <c r="L34" s="64">
        <f>+$C$72*IngresosBrutos!L34</f>
        <v>5971.5067000000681</v>
      </c>
      <c r="M34" s="64">
        <f>+$C$72*IngresosBrutos!M34</f>
        <v>8011.9379999999901</v>
      </c>
      <c r="N34" s="64">
        <f>+$C$72*IngresosBrutos!N34</f>
        <v>9095.6318999999658</v>
      </c>
      <c r="O34" s="64">
        <f>+$C$72*IngresosBrutos!O34</f>
        <v>9048.4454999986901</v>
      </c>
    </row>
    <row r="35" spans="2:15">
      <c r="B35" s="53" t="str">
        <f>+RetribucionEstado!B35</f>
        <v>ANN-Más de 70 t hasta 100 t</v>
      </c>
      <c r="C35" s="63">
        <f>+$C$72*IngresosBrutos!C35</f>
        <v>358.82865103107218</v>
      </c>
      <c r="D35" s="63">
        <f>+$C$72*IngresosBrutos!D35</f>
        <v>742.43230000000096</v>
      </c>
      <c r="E35" s="63">
        <f>+$C$72*IngresosBrutos!E35</f>
        <v>730.20039999999995</v>
      </c>
      <c r="F35" s="63">
        <f>+$C$72*IngresosBrutos!F35</f>
        <v>1214.5553</v>
      </c>
      <c r="G35" s="63">
        <f>+$C$72*IngresosBrutos!G35</f>
        <v>2040.5777</v>
      </c>
      <c r="H35" s="63">
        <f>+$C$72*IngresosBrutos!H35</f>
        <v>2040.5777</v>
      </c>
      <c r="I35" s="63">
        <f>+$C$72*IngresosBrutos!I35</f>
        <v>1302.1758999999779</v>
      </c>
      <c r="J35" s="63">
        <f>+$C$72*IngresosBrutos!J35</f>
        <v>71.748400000000004</v>
      </c>
      <c r="K35" s="63">
        <f>+$C$72*IngresosBrutos!K35</f>
        <v>121.97250000000003</v>
      </c>
      <c r="L35" s="63">
        <f>+$C$72*IngresosBrutos!L35</f>
        <v>80.321100000000001</v>
      </c>
      <c r="M35" s="63">
        <f>+$C$72*IngresosBrutos!M35</f>
        <v>132.7621</v>
      </c>
      <c r="N35" s="63">
        <f>+$C$72*IngresosBrutos!N35</f>
        <v>283.22399999999999</v>
      </c>
      <c r="O35" s="63">
        <f>+$C$72*IngresosBrutos!O35</f>
        <v>629.30370000000164</v>
      </c>
    </row>
    <row r="36" spans="2:15">
      <c r="B36" s="60" t="str">
        <f>+RetribucionEstado!B36</f>
        <v>ANN-Más de 100 t</v>
      </c>
      <c r="C36" s="64">
        <f>+$C$72*IngresosBrutos!C36</f>
        <v>194.96684473401231</v>
      </c>
      <c r="D36" s="64">
        <f>+$C$72*IngresosBrutos!D36</f>
        <v>130.4306</v>
      </c>
      <c r="E36" s="64">
        <f>+$C$72*IngresosBrutos!E36</f>
        <v>64.802199999999999</v>
      </c>
      <c r="F36" s="64">
        <f>+$C$72*IngresosBrutos!F36</f>
        <v>117.1422</v>
      </c>
      <c r="G36" s="64">
        <f>+$C$72*IngresosBrutos!G36</f>
        <v>141.88419999999999</v>
      </c>
      <c r="H36" s="64">
        <f>+$C$72*IngresosBrutos!H36</f>
        <v>141.88419999999999</v>
      </c>
      <c r="I36" s="64">
        <f>+$C$72*IngresosBrutos!I36</f>
        <v>118.8216</v>
      </c>
      <c r="J36" s="64">
        <f>+$C$72*IngresosBrutos!J36</f>
        <v>29.421599999999998</v>
      </c>
      <c r="K36" s="64">
        <f>+$C$72*IngresosBrutos!K36</f>
        <v>55.165499999999994</v>
      </c>
      <c r="L36" s="64">
        <f>+$C$72*IngresosBrutos!L36</f>
        <v>39.730699999999999</v>
      </c>
      <c r="M36" s="64">
        <f>+$C$72*IngresosBrutos!M36</f>
        <v>85.896999999999991</v>
      </c>
      <c r="N36" s="64">
        <f>+$C$72*IngresosBrutos!N36</f>
        <v>82.219799999999992</v>
      </c>
      <c r="O36" s="64">
        <f>+$C$72*IngresosBrutos!O36</f>
        <v>13.986800000000001</v>
      </c>
    </row>
    <row r="37" spans="2:15">
      <c r="B37" s="53" t="str">
        <f>+RetribucionEstado!B37</f>
        <v>DND-Hasta 10 t</v>
      </c>
      <c r="C37" s="63">
        <f>+$C$72*IngresosBrutos!C37</f>
        <v>127.52085481867179</v>
      </c>
      <c r="D37" s="63">
        <f>+$C$72*IngresosBrutos!D37</f>
        <v>157.86060000000001</v>
      </c>
      <c r="E37" s="63">
        <f>+$C$72*IngresosBrutos!E37</f>
        <v>145.27020000000002</v>
      </c>
      <c r="F37" s="63">
        <f>+$C$72*IngresosBrutos!F37</f>
        <v>270.86380000000202</v>
      </c>
      <c r="G37" s="63">
        <f>+$C$72*IngresosBrutos!G37</f>
        <v>263.49190000000198</v>
      </c>
      <c r="H37" s="63">
        <f>+$C$72*IngresosBrutos!H37</f>
        <v>263.49190000000198</v>
      </c>
      <c r="I37" s="63">
        <f>+$C$72*IngresosBrutos!I37</f>
        <v>334.35889999998079</v>
      </c>
      <c r="J37" s="63">
        <f>+$C$72*IngresosBrutos!J37</f>
        <v>353.99760000000236</v>
      </c>
      <c r="K37" s="63">
        <f>+$C$72*IngresosBrutos!K37</f>
        <v>364.86200000000196</v>
      </c>
      <c r="L37" s="63">
        <f>+$C$72*IngresosBrutos!L37</f>
        <v>385.01960000000162</v>
      </c>
      <c r="M37" s="63">
        <f>+$C$72*IngresosBrutos!M37</f>
        <v>403.45870000000286</v>
      </c>
      <c r="N37" s="63">
        <f>+$C$72*IngresosBrutos!N37</f>
        <v>320.81400000000087</v>
      </c>
      <c r="O37" s="63">
        <f>+$C$72*IngresosBrutos!O37</f>
        <v>243.59219999998405</v>
      </c>
    </row>
    <row r="38" spans="2:15">
      <c r="B38" s="60" t="str">
        <f>+RetribucionEstado!B38</f>
        <v>DND-Más de 10 t hasta 35 t</v>
      </c>
      <c r="C38" s="64">
        <f>+$C$72*IngresosBrutos!C38</f>
        <v>416.13151584059483</v>
      </c>
      <c r="D38" s="64">
        <f>+$C$72*IngresosBrutos!D38</f>
        <v>421.12180000000001</v>
      </c>
      <c r="E38" s="64">
        <f>+$C$72*IngresosBrutos!E38</f>
        <v>569.69010000000094</v>
      </c>
      <c r="F38" s="64">
        <f>+$C$72*IngresosBrutos!F38</f>
        <v>471.16460000000001</v>
      </c>
      <c r="G38" s="64">
        <f>+$C$72*IngresosBrutos!G38</f>
        <v>419.39699999999999</v>
      </c>
      <c r="H38" s="64">
        <f>+$C$72*IngresosBrutos!H38</f>
        <v>419.39699999999999</v>
      </c>
      <c r="I38" s="64">
        <f>+$C$72*IngresosBrutos!I38</f>
        <v>526.68570000000091</v>
      </c>
      <c r="J38" s="64">
        <f>+$C$72*IngresosBrutos!J38</f>
        <v>850.04650000000231</v>
      </c>
      <c r="K38" s="64">
        <f>+$C$72*IngresosBrutos!K38</f>
        <v>610.55830000000094</v>
      </c>
      <c r="L38" s="64">
        <f>+$C$72*IngresosBrutos!L38</f>
        <v>482.16939999999994</v>
      </c>
      <c r="M38" s="64">
        <f>+$C$72*IngresosBrutos!M38</f>
        <v>603.18039999999883</v>
      </c>
      <c r="N38" s="64">
        <f>+$C$72*IngresosBrutos!N38</f>
        <v>707.23819999999807</v>
      </c>
      <c r="O38" s="64">
        <f>+$C$72*IngresosBrutos!O38</f>
        <v>1318.3678999999518</v>
      </c>
    </row>
    <row r="39" spans="2:15">
      <c r="B39" s="53" t="str">
        <f>+RetribucionEstado!B39</f>
        <v>DND-Más de 35 t hasta 70 t</v>
      </c>
      <c r="C39" s="63">
        <f>+$C$72*IngresosBrutos!C39</f>
        <v>2619.4406045088831</v>
      </c>
      <c r="D39" s="63">
        <f>+$C$72*IngresosBrutos!D39</f>
        <v>1745.7402999999902</v>
      </c>
      <c r="E39" s="63">
        <f>+$C$72*IngresosBrutos!E39</f>
        <v>1781.60679999999</v>
      </c>
      <c r="F39" s="63">
        <f>+$C$72*IngresosBrutos!F39</f>
        <v>1262.2924</v>
      </c>
      <c r="G39" s="63">
        <f>+$C$72*IngresosBrutos!G39</f>
        <v>2569.6804000000006</v>
      </c>
      <c r="H39" s="63">
        <f>+$C$72*IngresosBrutos!H39</f>
        <v>2569.6804000000006</v>
      </c>
      <c r="I39" s="63">
        <f>+$C$72*IngresosBrutos!I39</f>
        <v>5999.4670000000397</v>
      </c>
      <c r="J39" s="63">
        <f>+$C$72*IngresosBrutos!J39</f>
        <v>7798.4198000000597</v>
      </c>
      <c r="K39" s="63">
        <f>+$C$72*IngresosBrutos!K39</f>
        <v>8088.4478000000609</v>
      </c>
      <c r="L39" s="63">
        <f>+$C$72*IngresosBrutos!L39</f>
        <v>9076.1011000000381</v>
      </c>
      <c r="M39" s="63">
        <f>+$C$72*IngresosBrutos!M39</f>
        <v>11998.424899999925</v>
      </c>
      <c r="N39" s="63">
        <f>+$C$72*IngresosBrutos!N39</f>
        <v>15872.101699999988</v>
      </c>
      <c r="O39" s="63">
        <f>+$C$72*IngresosBrutos!O39</f>
        <v>17205.96000000005</v>
      </c>
    </row>
    <row r="40" spans="2:15">
      <c r="B40" s="60" t="str">
        <f>+RetribucionEstado!B40</f>
        <v>DND-Más de 70 t hasta 100 t</v>
      </c>
      <c r="C40" s="64">
        <f>+$C$72*IngresosBrutos!C40</f>
        <v>1260.3392542267836</v>
      </c>
      <c r="D40" s="64">
        <f>+$C$72*IngresosBrutos!D40</f>
        <v>2290.4633999999901</v>
      </c>
      <c r="E40" s="64">
        <f>+$C$72*IngresosBrutos!E40</f>
        <v>2141.1410999999898</v>
      </c>
      <c r="F40" s="64">
        <f>+$C$72*IngresosBrutos!F40</f>
        <v>2586.0646999999899</v>
      </c>
      <c r="G40" s="64">
        <f>+$C$72*IngresosBrutos!G40</f>
        <v>3705.4373000000301</v>
      </c>
      <c r="H40" s="64">
        <f>+$C$72*IngresosBrutos!H40</f>
        <v>3705.4373000000301</v>
      </c>
      <c r="I40" s="64">
        <f>+$C$72*IngresosBrutos!I40</f>
        <v>3124.0319000000395</v>
      </c>
      <c r="J40" s="64">
        <f>+$C$72*IngresosBrutos!J40</f>
        <v>515.32209999999998</v>
      </c>
      <c r="K40" s="64">
        <f>+$C$72*IngresosBrutos!K40</f>
        <v>618.46540000000005</v>
      </c>
      <c r="L40" s="64">
        <f>+$C$72*IngresosBrutos!L40</f>
        <v>540.5104</v>
      </c>
      <c r="M40" s="64">
        <f>+$C$72*IngresosBrutos!M40</f>
        <v>933.76520000000107</v>
      </c>
      <c r="N40" s="64">
        <f>+$C$72*IngresosBrutos!N40</f>
        <v>1102.4907000000007</v>
      </c>
      <c r="O40" s="64">
        <f>+$C$72*IngresosBrutos!O40</f>
        <v>1934.7320000000168</v>
      </c>
    </row>
    <row r="41" spans="2:15">
      <c r="B41" s="53" t="str">
        <f>+RetribucionEstado!B41</f>
        <v>DND-Más de 100 t</v>
      </c>
      <c r="C41" s="63">
        <f>+$C$72*IngresosBrutos!C41</f>
        <v>230.2983906898196</v>
      </c>
      <c r="D41" s="63">
        <f>+$C$72*IngresosBrutos!D41</f>
        <v>129.32079999999999</v>
      </c>
      <c r="E41" s="63">
        <f>+$C$72*IngresosBrutos!E41</f>
        <v>48.714200000000005</v>
      </c>
      <c r="F41" s="63">
        <f>+$C$72*IngresosBrutos!F41</f>
        <v>265.7475</v>
      </c>
      <c r="G41" s="63">
        <f>+$C$72*IngresosBrutos!G41</f>
        <v>110.72030000000001</v>
      </c>
      <c r="H41" s="63">
        <f>+$C$72*IngresosBrutos!H41</f>
        <v>110.72030000000001</v>
      </c>
      <c r="I41" s="63">
        <f>+$C$72*IngresosBrutos!I41</f>
        <v>46.733400000000003</v>
      </c>
      <c r="J41" s="63">
        <f>+$C$72*IngresosBrutos!J41</f>
        <v>38.468899999999998</v>
      </c>
      <c r="K41" s="63">
        <f>+$C$72*IngresosBrutos!K41</f>
        <v>67.238800000000012</v>
      </c>
      <c r="L41" s="63">
        <f>+$C$72*IngresosBrutos!L41</f>
        <v>48.327800000000011</v>
      </c>
      <c r="M41" s="63">
        <f>+$C$72*IngresosBrutos!M41</f>
        <v>91.671399999999991</v>
      </c>
      <c r="N41" s="63">
        <f>+$C$72*IngresosBrutos!N41</f>
        <v>44.355800000000002</v>
      </c>
      <c r="O41" s="63">
        <f>+$C$72*IngresosBrutos!O41</f>
        <v>9.1371000000000002</v>
      </c>
    </row>
    <row r="42" spans="2:15">
      <c r="B42" s="60" t="str">
        <f>+RetribucionEstado!B42</f>
        <v>DNN-Hasta 10 t</v>
      </c>
      <c r="C42" s="64">
        <f>+$C$72*IngresosBrutos!C42</f>
        <v>20.41138960883023</v>
      </c>
      <c r="D42" s="64">
        <f>+$C$72*IngresosBrutos!D42</f>
        <v>18.826900000000002</v>
      </c>
      <c r="E42" s="64">
        <f>+$C$72*IngresosBrutos!E42</f>
        <v>22.6129</v>
      </c>
      <c r="F42" s="64">
        <f>+$C$72*IngresosBrutos!F42</f>
        <v>48.610100000000003</v>
      </c>
      <c r="G42" s="64">
        <f>+$C$72*IngresosBrutos!G42</f>
        <v>51.8063</v>
      </c>
      <c r="H42" s="64">
        <f>+$C$72*IngresosBrutos!H42</f>
        <v>51.8063</v>
      </c>
      <c r="I42" s="64">
        <f>+$C$72*IngresosBrutos!I42</f>
        <v>61.448599999999999</v>
      </c>
      <c r="J42" s="64">
        <f>+$C$72*IngresosBrutos!J42</f>
        <v>74.97440000000006</v>
      </c>
      <c r="K42" s="64">
        <f>+$C$72*IngresosBrutos!K42</f>
        <v>62.893399999999993</v>
      </c>
      <c r="L42" s="64">
        <f>+$C$72*IngresosBrutos!L42</f>
        <v>87.423100000000119</v>
      </c>
      <c r="M42" s="64">
        <f>+$C$72*IngresosBrutos!M42</f>
        <v>71.955000000000041</v>
      </c>
      <c r="N42" s="64">
        <f>+$C$72*IngresosBrutos!N42</f>
        <v>37.516799999999975</v>
      </c>
      <c r="O42" s="64">
        <f>+$C$72*IngresosBrutos!O42</f>
        <v>9.9314000000000267</v>
      </c>
    </row>
    <row r="43" spans="2:15">
      <c r="B43" s="53" t="str">
        <f>+RetribucionEstado!B43</f>
        <v>DNN-Más de 10 t hasta 35 t</v>
      </c>
      <c r="C43" s="63">
        <f>+$C$72*IngresosBrutos!C43</f>
        <v>26.886373136363954</v>
      </c>
      <c r="D43" s="63">
        <f>+$C$72*IngresosBrutos!D43</f>
        <v>27.283800000000003</v>
      </c>
      <c r="E43" s="63">
        <f>+$C$72*IngresosBrutos!E43</f>
        <v>28.0992</v>
      </c>
      <c r="F43" s="63">
        <f>+$C$72*IngresosBrutos!F43</f>
        <v>58.171999999999997</v>
      </c>
      <c r="G43" s="63">
        <f>+$C$72*IngresosBrutos!G43</f>
        <v>31.000300000000003</v>
      </c>
      <c r="H43" s="63">
        <f>+$C$72*IngresosBrutos!H43</f>
        <v>31.000300000000003</v>
      </c>
      <c r="I43" s="63">
        <f>+$C$72*IngresosBrutos!I43</f>
        <v>41.978500000000103</v>
      </c>
      <c r="J43" s="63">
        <f>+$C$72*IngresosBrutos!J43</f>
        <v>45.188500000000005</v>
      </c>
      <c r="K43" s="63">
        <f>+$C$72*IngresosBrutos!K43</f>
        <v>34.187100000000001</v>
      </c>
      <c r="L43" s="63">
        <f>+$C$72*IngresosBrutos!L43</f>
        <v>8.1147999999999989</v>
      </c>
      <c r="M43" s="63">
        <f>+$C$72*IngresosBrutos!M43</f>
        <v>11.3401</v>
      </c>
      <c r="N43" s="63">
        <f>+$C$72*IngresosBrutos!N43</f>
        <v>8.6168000000000013</v>
      </c>
      <c r="O43" s="63">
        <f>+$C$72*IngresosBrutos!O43</f>
        <v>133.64339999999996</v>
      </c>
    </row>
    <row r="44" spans="2:15">
      <c r="B44" s="60" t="str">
        <f>+RetribucionEstado!B44</f>
        <v>DNN-Más de 35 t hasta 70 t</v>
      </c>
      <c r="C44" s="64">
        <f>+$C$72*IngresosBrutos!C44</f>
        <v>221.38851042224471</v>
      </c>
      <c r="D44" s="64">
        <f>+$C$72*IngresosBrutos!D44</f>
        <v>135.23850000000002</v>
      </c>
      <c r="E44" s="64">
        <f>+$C$72*IngresosBrutos!E44</f>
        <v>157.47469999999998</v>
      </c>
      <c r="F44" s="64">
        <f>+$C$72*IngresosBrutos!F44</f>
        <v>282.8424</v>
      </c>
      <c r="G44" s="64">
        <f>+$C$72*IngresosBrutos!G44</f>
        <v>428.07139999999998</v>
      </c>
      <c r="H44" s="64">
        <f>+$C$72*IngresosBrutos!H44</f>
        <v>428.07139999999998</v>
      </c>
      <c r="I44" s="64">
        <f>+$C$72*IngresosBrutos!I44</f>
        <v>1728.6176999999939</v>
      </c>
      <c r="J44" s="64">
        <f>+$C$72*IngresosBrutos!J44</f>
        <v>3487.4759999999746</v>
      </c>
      <c r="K44" s="64">
        <f>+$C$72*IngresosBrutos!K44</f>
        <v>5278.9435999999432</v>
      </c>
      <c r="L44" s="64">
        <f>+$C$72*IngresosBrutos!L44</f>
        <v>5951.829300000074</v>
      </c>
      <c r="M44" s="64">
        <f>+$C$72*IngresosBrutos!M44</f>
        <v>7427.3103999999757</v>
      </c>
      <c r="N44" s="64">
        <f>+$C$72*IngresosBrutos!N44</f>
        <v>6475.2700999999852</v>
      </c>
      <c r="O44" s="64">
        <f>+$C$72*IngresosBrutos!O44</f>
        <v>6285.5525999993542</v>
      </c>
    </row>
    <row r="45" spans="2:15">
      <c r="B45" s="53" t="str">
        <f>+RetribucionEstado!B45</f>
        <v>DNN-Más de 70 t hasta 100 t</v>
      </c>
      <c r="C45" s="63">
        <f>+$C$72*IngresosBrutos!C45</f>
        <v>183.88478203832216</v>
      </c>
      <c r="D45" s="63">
        <f>+$C$72*IngresosBrutos!D45</f>
        <v>227.55459999999999</v>
      </c>
      <c r="E45" s="63">
        <f>+$C$72*IngresosBrutos!E45</f>
        <v>362.86529999999999</v>
      </c>
      <c r="F45" s="63">
        <f>+$C$72*IngresosBrutos!F45</f>
        <v>585.1825</v>
      </c>
      <c r="G45" s="63">
        <f>+$C$72*IngresosBrutos!G45</f>
        <v>1324.9818</v>
      </c>
      <c r="H45" s="63">
        <f>+$C$72*IngresosBrutos!H45</f>
        <v>1324.9818</v>
      </c>
      <c r="I45" s="63">
        <f>+$C$72*IngresosBrutos!I45</f>
        <v>940.11579999998696</v>
      </c>
      <c r="J45" s="63">
        <f>+$C$72*IngresosBrutos!J45</f>
        <v>26.947300000000002</v>
      </c>
      <c r="K45" s="63">
        <f>+$C$72*IngresosBrutos!K45</f>
        <v>198.11970000000002</v>
      </c>
      <c r="L45" s="63">
        <f>+$C$72*IngresosBrutos!L45</f>
        <v>180.42950000000005</v>
      </c>
      <c r="M45" s="63">
        <f>+$C$72*IngresosBrutos!M45</f>
        <v>150.9453</v>
      </c>
      <c r="N45" s="63">
        <f>+$C$72*IngresosBrutos!N45</f>
        <v>118.7379</v>
      </c>
      <c r="O45" s="63">
        <f>+$C$72*IngresosBrutos!O45</f>
        <v>410.32690000000122</v>
      </c>
    </row>
    <row r="46" spans="2:15">
      <c r="B46" s="60" t="str">
        <f>+RetribucionEstado!B46</f>
        <v>DNN-Más de 100 t</v>
      </c>
      <c r="C46" s="64">
        <f>+$C$72*IngresosBrutos!C46</f>
        <v>84.717467361976304</v>
      </c>
      <c r="D46" s="64">
        <f>+$C$72*IngresosBrutos!D46</f>
        <v>71.630399999999995</v>
      </c>
      <c r="E46" s="64">
        <f>+$C$72*IngresosBrutos!E46</f>
        <v>79.433199999999999</v>
      </c>
      <c r="F46" s="64">
        <f>+$C$72*IngresosBrutos!F46</f>
        <v>49.001599999999996</v>
      </c>
      <c r="G46" s="64">
        <f>+$C$72*IngresosBrutos!G46</f>
        <v>75.829599999999999</v>
      </c>
      <c r="H46" s="64">
        <f>+$C$72*IngresosBrutos!H46</f>
        <v>75.829599999999999</v>
      </c>
      <c r="I46" s="64">
        <f>+$C$72*IngresosBrutos!I46</f>
        <v>174.05310000000003</v>
      </c>
      <c r="J46" s="64">
        <f>+$C$72*IngresosBrutos!J46</f>
        <v>121.36410000000001</v>
      </c>
      <c r="K46" s="64">
        <f>+$C$72*IngresosBrutos!K46</f>
        <v>198.6395</v>
      </c>
      <c r="L46" s="64">
        <f>+$C$72*IngresosBrutos!L46</f>
        <v>140.9358</v>
      </c>
      <c r="M46" s="64">
        <f>+$C$72*IngresosBrutos!M46</f>
        <v>152.12039999999999</v>
      </c>
      <c r="N46" s="64">
        <f>+$C$72*IngresosBrutos!N46</f>
        <v>129.27529999999999</v>
      </c>
      <c r="O46" s="64">
        <f>+$C$72*IngresosBrutos!O46</f>
        <v>3.4967000000000001</v>
      </c>
    </row>
    <row r="47" spans="2:15">
      <c r="B47" s="53" t="str">
        <f>+RetribucionEstado!B47</f>
        <v>Parking Internacional</v>
      </c>
      <c r="C47" s="63">
        <f>+$C$72*IngresosBrutos!C47</f>
        <v>7042.4048013518768</v>
      </c>
      <c r="D47" s="63">
        <f>+$C$72*IngresosBrutos!D47</f>
        <v>8064.4566000000004</v>
      </c>
      <c r="E47" s="63">
        <f>+$C$72*IngresosBrutos!E47</f>
        <v>7386.6512000000012</v>
      </c>
      <c r="F47" s="63">
        <f>+$C$72*IngresosBrutos!F47</f>
        <v>8995.9877000000015</v>
      </c>
      <c r="G47" s="63">
        <f>+$C$72*IngresosBrutos!G47</f>
        <v>10606.9249</v>
      </c>
      <c r="H47" s="63">
        <f>+$C$72*IngresosBrutos!H47</f>
        <v>10606.9249</v>
      </c>
      <c r="I47" s="63">
        <f>+$C$72*IngresosBrutos!I47</f>
        <v>11471.774799999999</v>
      </c>
      <c r="J47" s="63">
        <f>+$C$72*IngresosBrutos!J47</f>
        <v>13329.9576</v>
      </c>
      <c r="K47" s="63">
        <f>+$C$72*IngresosBrutos!K47</f>
        <v>14606.355899999999</v>
      </c>
      <c r="L47" s="63">
        <f>+$C$72*IngresosBrutos!L47</f>
        <v>15895.5669</v>
      </c>
      <c r="M47" s="63">
        <f>+$C$72*IngresosBrutos!M47</f>
        <v>17873.168800000003</v>
      </c>
      <c r="N47" s="63">
        <f>+$C$72*IngresosBrutos!N47</f>
        <v>19537.819899999995</v>
      </c>
      <c r="O47" s="63">
        <f>+$C$72*IngresosBrutos!O47</f>
        <v>22407.176900000006</v>
      </c>
    </row>
    <row r="48" spans="2:15">
      <c r="B48" s="60" t="str">
        <f>+RetribucionEstado!B48</f>
        <v>Parking Nacional</v>
      </c>
      <c r="C48" s="64">
        <f>+$C$72*IngresosBrutos!C48</f>
        <v>1787.0173675117121</v>
      </c>
      <c r="D48" s="64">
        <f>+$C$72*IngresosBrutos!D48</f>
        <v>2346.4555</v>
      </c>
      <c r="E48" s="64">
        <f>+$C$72*IngresosBrutos!E48</f>
        <v>1489.5747999999999</v>
      </c>
      <c r="F48" s="64">
        <f>+$C$72*IngresosBrutos!F48</f>
        <v>1249.5449000000001</v>
      </c>
      <c r="G48" s="64">
        <f>+$C$72*IngresosBrutos!G48</f>
        <v>1239.1013</v>
      </c>
      <c r="H48" s="64">
        <f>+$C$72*IngresosBrutos!H48</f>
        <v>1239.1013</v>
      </c>
      <c r="I48" s="64">
        <f>+$C$72*IngresosBrutos!I48</f>
        <v>1488.7882999999999</v>
      </c>
      <c r="J48" s="64">
        <f>+$C$72*IngresosBrutos!J48</f>
        <v>1554.2763</v>
      </c>
      <c r="K48" s="64">
        <f>+$C$72*IngresosBrutos!K48</f>
        <v>1231.2884000000004</v>
      </c>
      <c r="L48" s="64">
        <f>+$C$72*IngresosBrutos!L48</f>
        <v>1344.6126000000002</v>
      </c>
      <c r="M48" s="64">
        <f>+$C$72*IngresosBrutos!M48</f>
        <v>1830.0066999999999</v>
      </c>
      <c r="N48" s="64">
        <f>+$C$72*IngresosBrutos!N48</f>
        <v>2774.3193000000006</v>
      </c>
      <c r="O48" s="64">
        <f>+$C$72*IngresosBrutos!O48</f>
        <v>2730.6075000000014</v>
      </c>
    </row>
    <row r="49" spans="2:15">
      <c r="B49" s="53" t="str">
        <f>+RetribucionEstado!B49</f>
        <v>Boarding Bridges (PLB)</v>
      </c>
      <c r="C49" s="63">
        <f>+$C$72*IngresosBrutos!C49</f>
        <v>0</v>
      </c>
      <c r="D49" s="63">
        <f>+$C$72*IngresosBrutos!D49</f>
        <v>0</v>
      </c>
      <c r="E49" s="63">
        <f>+$C$72*IngresosBrutos!E49</f>
        <v>0</v>
      </c>
      <c r="F49" s="63">
        <f>+$C$72*IngresosBrutos!F49</f>
        <v>0</v>
      </c>
      <c r="G49" s="63">
        <f>+$C$72*IngresosBrutos!G49</f>
        <v>0</v>
      </c>
      <c r="H49" s="63">
        <f>+$C$72*IngresosBrutos!H49</f>
        <v>18318.307000000001</v>
      </c>
      <c r="I49" s="63">
        <f>+$C$72*IngresosBrutos!I49</f>
        <v>22081.862600000008</v>
      </c>
      <c r="J49" s="63">
        <f>+$C$72*IngresosBrutos!J49</f>
        <v>26029.853700000003</v>
      </c>
      <c r="K49" s="63">
        <f>+$C$72*IngresosBrutos!K49</f>
        <v>30704.369299999998</v>
      </c>
      <c r="L49" s="63">
        <f>+$C$72*IngresosBrutos!L49</f>
        <v>66359.935800000007</v>
      </c>
      <c r="M49" s="63">
        <f>+$C$72*IngresosBrutos!M49</f>
        <v>58528.296160504215</v>
      </c>
      <c r="N49" s="63">
        <f>+$C$72*IngresosBrutos!N49</f>
        <v>78503.926100000012</v>
      </c>
      <c r="O49" s="63">
        <f>+$C$72*IngresosBrutos!O49</f>
        <v>101367.81290000002</v>
      </c>
    </row>
    <row r="50" spans="2:15">
      <c r="B50" s="60" t="str">
        <f>+RetribucionEstado!B50</f>
        <v>Cargo</v>
      </c>
      <c r="C50" s="64">
        <f>+$C$72*IngresosBrutos!C50</f>
        <v>11425.141465130961</v>
      </c>
      <c r="D50" s="64">
        <f>+$C$72*IngresosBrutos!D50</f>
        <v>24539.960600000002</v>
      </c>
      <c r="E50" s="64">
        <f>+$C$72*IngresosBrutos!E50</f>
        <v>32065.775194000002</v>
      </c>
      <c r="F50" s="64">
        <f>+$C$72*IngresosBrutos!F50</f>
        <v>29769.465899999999</v>
      </c>
      <c r="G50" s="64">
        <f>+$C$72*IngresosBrutos!G50</f>
        <v>31862.039000000001</v>
      </c>
      <c r="H50" s="64">
        <f>+$C$72*IngresosBrutos!H50</f>
        <v>31862.039000000001</v>
      </c>
      <c r="I50" s="64">
        <f>+$C$72*IngresosBrutos!I50</f>
        <v>36823.442710000003</v>
      </c>
      <c r="J50" s="64">
        <f>+$C$72*IngresosBrutos!J50</f>
        <v>43206.480299999996</v>
      </c>
      <c r="K50" s="64">
        <f>+$C$72*IngresosBrutos!K50</f>
        <v>47093.278999999995</v>
      </c>
      <c r="L50" s="64">
        <f>+$C$72*IngresosBrutos!L50</f>
        <v>46410.698200000006</v>
      </c>
      <c r="M50" s="64">
        <f>+$C$72*IngresosBrutos!M50</f>
        <v>55726.270299999996</v>
      </c>
      <c r="N50" s="64">
        <f>+$C$72*IngresosBrutos!N50</f>
        <v>59850.541200000014</v>
      </c>
      <c r="O50" s="64">
        <f>+$C$72*IngresosBrutos!O50</f>
        <v>63756.832800000011</v>
      </c>
    </row>
    <row r="51" spans="2:15">
      <c r="B51" s="53" t="str">
        <f>+RetribucionEstado!B51</f>
        <v>Ground Handling</v>
      </c>
      <c r="C51" s="63">
        <f>+$C$72*IngresosBrutos!C51</f>
        <v>11303.469485714288</v>
      </c>
      <c r="D51" s="63">
        <f>+$C$72*IngresosBrutos!D51</f>
        <v>11980.566200000001</v>
      </c>
      <c r="E51" s="63">
        <f>+$C$72*IngresosBrutos!E51</f>
        <v>14789.965499999998</v>
      </c>
      <c r="F51" s="63">
        <f>+$C$72*IngresosBrutos!F51</f>
        <v>19392.490600000001</v>
      </c>
      <c r="G51" s="63">
        <f>+$C$72*IngresosBrutos!G51</f>
        <v>25972.621400000004</v>
      </c>
      <c r="H51" s="63">
        <f>+$C$72*IngresosBrutos!H51</f>
        <v>25972.621400000004</v>
      </c>
      <c r="I51" s="63">
        <f>+$C$72*IngresosBrutos!I51</f>
        <v>26413.7713</v>
      </c>
      <c r="J51" s="63">
        <f>+$C$72*IngresosBrutos!J51</f>
        <v>32181.856299999999</v>
      </c>
      <c r="K51" s="63">
        <f>+$C$72*IngresosBrutos!K51</f>
        <v>36311.4954</v>
      </c>
      <c r="L51" s="63">
        <f>+$C$72*IngresosBrutos!L51</f>
        <v>38929.637500000004</v>
      </c>
      <c r="M51" s="63">
        <f>+$C$72*IngresosBrutos!M51</f>
        <v>43835.135500000011</v>
      </c>
      <c r="N51" s="63">
        <f>+$C$72*IngresosBrutos!N51</f>
        <v>50046.543699999995</v>
      </c>
      <c r="O51" s="63">
        <f>+$C$72*IngresosBrutos!O51</f>
        <v>54917.705500000011</v>
      </c>
    </row>
    <row r="52" spans="2:15">
      <c r="B52" s="60" t="str">
        <f>+RetribucionEstado!B52</f>
        <v>Catering</v>
      </c>
      <c r="C52" s="64">
        <f>+$C$72*IngresosBrutos!C52</f>
        <v>6408.8577142857157</v>
      </c>
      <c r="D52" s="64">
        <f>+$C$72*IngresosBrutos!D52</f>
        <v>6169.8</v>
      </c>
      <c r="E52" s="64">
        <f>+$C$72*IngresosBrutos!E52</f>
        <v>7256.4129840000014</v>
      </c>
      <c r="F52" s="64">
        <f>+$C$72*IngresosBrutos!F52</f>
        <v>8981.6957999999995</v>
      </c>
      <c r="G52" s="64">
        <f>+$C$72*IngresosBrutos!G52</f>
        <v>10526.260700000001</v>
      </c>
      <c r="H52" s="64">
        <f>+$C$72*IngresosBrutos!H52</f>
        <v>10526.260700000001</v>
      </c>
      <c r="I52" s="64">
        <f>+$C$72*IngresosBrutos!I52</f>
        <v>10697.631300000001</v>
      </c>
      <c r="J52" s="64">
        <f>+$C$72*IngresosBrutos!J52</f>
        <v>14245.426909999998</v>
      </c>
      <c r="K52" s="64">
        <f>+$C$72*IngresosBrutos!K52</f>
        <v>15794.5638</v>
      </c>
      <c r="L52" s="64">
        <f>+$C$72*IngresosBrutos!L52</f>
        <v>19365.851200000001</v>
      </c>
      <c r="M52" s="64">
        <f>+$C$72*IngresosBrutos!M52</f>
        <v>22034.270199999995</v>
      </c>
      <c r="N52" s="64">
        <f>+$C$72*IngresosBrutos!N52</f>
        <v>25608.908500000005</v>
      </c>
      <c r="O52" s="64">
        <f>+$C$72*IngresosBrutos!O52</f>
        <v>28418.612200000003</v>
      </c>
    </row>
    <row r="53" spans="2:15">
      <c r="B53" s="53" t="str">
        <f>+RetribucionEstado!B53</f>
        <v>Fuel</v>
      </c>
      <c r="C53" s="63">
        <f>+$C$72*IngresosBrutos!C53</f>
        <v>53621.736012727262</v>
      </c>
      <c r="D53" s="63">
        <f>+$C$72*IngresosBrutos!D53</f>
        <v>67724.7353</v>
      </c>
      <c r="E53" s="63">
        <f>+$C$72*IngresosBrutos!E53</f>
        <v>70105.886699999988</v>
      </c>
      <c r="F53" s="63">
        <f>+$C$72*IngresosBrutos!F53</f>
        <v>75203.596000000005</v>
      </c>
      <c r="G53" s="63">
        <f>+$C$72*IngresosBrutos!G53</f>
        <v>93944.01939999999</v>
      </c>
      <c r="H53" s="63">
        <f>+$C$72*IngresosBrutos!H53</f>
        <v>93944.01939999999</v>
      </c>
      <c r="I53" s="63">
        <f>+$C$72*IngresosBrutos!I53</f>
        <v>97466.307900000014</v>
      </c>
      <c r="J53" s="63">
        <f>+$C$72*IngresosBrutos!J53</f>
        <v>115566.18920000001</v>
      </c>
      <c r="K53" s="63">
        <f>+$C$72*IngresosBrutos!K53</f>
        <v>140177.3989</v>
      </c>
      <c r="L53" s="63">
        <f>+$C$72*IngresosBrutos!L53</f>
        <v>144577.3119</v>
      </c>
      <c r="M53" s="63">
        <f>+$C$72*IngresosBrutos!M53</f>
        <v>157428.73480000001</v>
      </c>
      <c r="N53" s="63">
        <f>+$C$72*IngresosBrutos!N53</f>
        <v>183885.67689999999</v>
      </c>
      <c r="O53" s="63">
        <f>+$C$72*IngresosBrutos!O53</f>
        <v>197409.52740000002</v>
      </c>
    </row>
    <row r="54" spans="2:15">
      <c r="B54" s="60" t="str">
        <f>+RetribucionEstado!B54</f>
        <v>Parking Lot</v>
      </c>
      <c r="C54" s="64">
        <f>+$C$72*IngresosBrutos!C54</f>
        <v>13010.650971428573</v>
      </c>
      <c r="D54" s="64">
        <f>+$C$72*IngresosBrutos!D54</f>
        <v>16041.708900000003</v>
      </c>
      <c r="E54" s="64">
        <f>+$C$72*IngresosBrutos!E54</f>
        <v>17118.285899999999</v>
      </c>
      <c r="F54" s="64">
        <f>+$C$72*IngresosBrutos!F54</f>
        <v>18065.916800000003</v>
      </c>
      <c r="G54" s="64">
        <f>+$C$72*IngresosBrutos!G54</f>
        <v>20827.514000000003</v>
      </c>
      <c r="H54" s="64">
        <f>+$C$72*IngresosBrutos!H54</f>
        <v>20827.514000000003</v>
      </c>
      <c r="I54" s="64">
        <f>+$C$72*IngresosBrutos!I54</f>
        <v>23809.623600000003</v>
      </c>
      <c r="J54" s="64">
        <f>+$C$72*IngresosBrutos!J54</f>
        <v>30867.398100000002</v>
      </c>
      <c r="K54" s="64">
        <f>+$C$72*IngresosBrutos!K54</f>
        <v>34843.717300000004</v>
      </c>
      <c r="L54" s="64">
        <f>+$C$72*IngresosBrutos!L54</f>
        <v>37405.602100000004</v>
      </c>
      <c r="M54" s="64">
        <f>+$C$72*IngresosBrutos!M54</f>
        <v>48901.586900000002</v>
      </c>
      <c r="N54" s="64">
        <f>+$C$72*IngresosBrutos!N54</f>
        <v>58565.821500000005</v>
      </c>
      <c r="O54" s="64">
        <f>+$C$72*IngresosBrutos!O54</f>
        <v>66965.566099999996</v>
      </c>
    </row>
    <row r="55" spans="2:15">
      <c r="B55" s="53" t="str">
        <f>+RetribucionEstado!B55</f>
        <v>Counter - Terminal</v>
      </c>
      <c r="C55" s="63">
        <f>+$C$72*IngresosBrutos!C55</f>
        <v>2277.4963519999997</v>
      </c>
      <c r="D55" s="63">
        <f>+$C$72*IngresosBrutos!D55</f>
        <v>2634.2589760000005</v>
      </c>
      <c r="E55" s="63">
        <f>+$C$72*IngresosBrutos!E55</f>
        <v>2390.1492999999996</v>
      </c>
      <c r="F55" s="63">
        <f>+$C$72*IngresosBrutos!F55</f>
        <v>2302.792179999999</v>
      </c>
      <c r="G55" s="63">
        <f>+$C$72*IngresosBrutos!G55</f>
        <v>2108.2640000000001</v>
      </c>
      <c r="H55" s="63">
        <f>+$C$72*IngresosBrutos!H55</f>
        <v>2108.2640000000001</v>
      </c>
      <c r="I55" s="63">
        <f>+$C$72*IngresosBrutos!I55</f>
        <v>1964.6533000000002</v>
      </c>
      <c r="J55" s="63">
        <f>+$C$72*IngresosBrutos!J55</f>
        <v>2587.1200000000008</v>
      </c>
      <c r="K55" s="63">
        <f>+$C$72*IngresosBrutos!K55</f>
        <v>2922.6774000000005</v>
      </c>
      <c r="L55" s="63">
        <f>+$C$72*IngresosBrutos!L55</f>
        <v>2679.5691000000002</v>
      </c>
      <c r="M55" s="63">
        <f>+$C$72*IngresosBrutos!M55</f>
        <v>4149.3884999999991</v>
      </c>
      <c r="N55" s="63">
        <f>+$C$72*IngresosBrutos!N55</f>
        <v>5373.1118999999999</v>
      </c>
      <c r="O55" s="63">
        <f>+$C$72*IngresosBrutos!O55</f>
        <v>5704.4955000000009</v>
      </c>
    </row>
    <row r="56" spans="2:15">
      <c r="B56" s="60" t="str">
        <f>+RetribucionEstado!B56</f>
        <v>Oficinas - Terminal</v>
      </c>
      <c r="C56" s="64">
        <f>+$C$72*IngresosBrutos!C56</f>
        <v>5464.0104674285712</v>
      </c>
      <c r="D56" s="64">
        <f>+$C$72*IngresosBrutos!D56</f>
        <v>5159.9683030000087</v>
      </c>
      <c r="E56" s="64">
        <f>+$C$72*IngresosBrutos!E56</f>
        <v>4224.3903255064406</v>
      </c>
      <c r="F56" s="64">
        <f>+$C$72*IngresosBrutos!F56</f>
        <v>3819.6361620000071</v>
      </c>
      <c r="G56" s="64">
        <f>+$C$72*IngresosBrutos!G56</f>
        <v>4139.3571049999937</v>
      </c>
      <c r="H56" s="64">
        <f>+$C$72*IngresosBrutos!H56</f>
        <v>4139.3571049999937</v>
      </c>
      <c r="I56" s="64">
        <f>+$C$72*IngresosBrutos!I56</f>
        <v>4607.9017999999996</v>
      </c>
      <c r="J56" s="64">
        <f>+$C$72*IngresosBrutos!J56</f>
        <v>6376.5315999999993</v>
      </c>
      <c r="K56" s="64">
        <f>+$C$72*IngresosBrutos!K56</f>
        <v>9772.8536999999997</v>
      </c>
      <c r="L56" s="64">
        <f>+$C$72*IngresosBrutos!L56</f>
        <v>13314.371800000004</v>
      </c>
      <c r="M56" s="64">
        <f>+$C$72*IngresosBrutos!M56</f>
        <v>11609.278299999998</v>
      </c>
      <c r="N56" s="64">
        <f>+$C$72*IngresosBrutos!N56</f>
        <v>11669.358200000001</v>
      </c>
      <c r="O56" s="64">
        <f>+$C$72*IngresosBrutos!O56</f>
        <v>11935.6651</v>
      </c>
    </row>
    <row r="57" spans="2:15">
      <c r="B57" s="53" t="str">
        <f>+RetribucionEstado!B57</f>
        <v>Oficinas - Fuera Terminal</v>
      </c>
      <c r="C57" s="63">
        <f>+$C$72*IngresosBrutos!C57</f>
        <v>1216.3899428571428</v>
      </c>
      <c r="D57" s="63">
        <f>+$C$72*IngresosBrutos!D57</f>
        <v>1215.1403</v>
      </c>
      <c r="E57" s="63">
        <f>+$C$72*IngresosBrutos!E57</f>
        <v>1316.2095999999999</v>
      </c>
      <c r="F57" s="63">
        <f>+$C$72*IngresosBrutos!F57</f>
        <v>1229.6072000000001</v>
      </c>
      <c r="G57" s="63">
        <f>+$C$72*IngresosBrutos!G57</f>
        <v>701.36620800000003</v>
      </c>
      <c r="H57" s="63">
        <f>+$C$72*IngresosBrutos!H57</f>
        <v>701.36620800000003</v>
      </c>
      <c r="I57" s="63">
        <f>+$C$72*IngresosBrutos!I57</f>
        <v>556.10995800000001</v>
      </c>
      <c r="J57" s="63">
        <f>+$C$72*IngresosBrutos!J57</f>
        <v>570.06000000000006</v>
      </c>
      <c r="K57" s="63">
        <f>+$C$72*IngresosBrutos!K57</f>
        <v>385.51830000000001</v>
      </c>
      <c r="L57" s="63">
        <f>+$C$72*IngresosBrutos!L57</f>
        <v>297.48840000000001</v>
      </c>
      <c r="M57" s="63">
        <f>+$C$72*IngresosBrutos!M57</f>
        <v>336.54580000000004</v>
      </c>
      <c r="N57" s="63">
        <f>+$C$72*IngresosBrutos!N57</f>
        <v>312.22680000000003</v>
      </c>
      <c r="O57" s="63">
        <f>+$C$72*IngresosBrutos!O57</f>
        <v>627.3673</v>
      </c>
    </row>
    <row r="58" spans="2:15">
      <c r="B58" s="60" t="str">
        <f>+RetribucionEstado!B58</f>
        <v xml:space="preserve">Almacen </v>
      </c>
      <c r="C58" s="64">
        <f>+$C$72*IngresosBrutos!C58</f>
        <v>985.40520228571404</v>
      </c>
      <c r="D58" s="64">
        <f>+$C$72*IngresosBrutos!D58</f>
        <v>1085.6393999999996</v>
      </c>
      <c r="E58" s="64">
        <f>+$C$72*IngresosBrutos!E58</f>
        <v>1098.596</v>
      </c>
      <c r="F58" s="64">
        <f>+$C$72*IngresosBrutos!F58</f>
        <v>952.97861700000044</v>
      </c>
      <c r="G58" s="64">
        <f>+$C$72*IngresosBrutos!G58</f>
        <v>698.68299999999999</v>
      </c>
      <c r="H58" s="64">
        <f>+$C$72*IngresosBrutos!H58</f>
        <v>698.68299999999999</v>
      </c>
      <c r="I58" s="64">
        <f>+$C$72*IngresosBrutos!I58</f>
        <v>656.42881900000009</v>
      </c>
      <c r="J58" s="64">
        <f>+$C$72*IngresosBrutos!J58</f>
        <v>715.42390000000012</v>
      </c>
      <c r="K58" s="64">
        <f>+$C$72*IngresosBrutos!K58</f>
        <v>760.54350000000011</v>
      </c>
      <c r="L58" s="64">
        <f>+$C$72*IngresosBrutos!L58</f>
        <v>814.35</v>
      </c>
      <c r="M58" s="64">
        <f>+$C$72*IngresosBrutos!M58</f>
        <v>671.19969999999989</v>
      </c>
      <c r="N58" s="64">
        <f>+$C$72*IngresosBrutos!N58</f>
        <v>687.11530000000016</v>
      </c>
      <c r="O58" s="64">
        <f>+$C$72*IngresosBrutos!O58</f>
        <v>497.70279999999991</v>
      </c>
    </row>
    <row r="59" spans="2:15">
      <c r="B59" s="53" t="str">
        <f>+RetribucionEstado!B59</f>
        <v>Talleres</v>
      </c>
      <c r="C59" s="63">
        <f>+$C$72*IngresosBrutos!C59</f>
        <v>952.59611771428536</v>
      </c>
      <c r="D59" s="63">
        <f>+$C$72*IngresosBrutos!D59</f>
        <v>965.12643899999955</v>
      </c>
      <c r="E59" s="63">
        <f>+$C$72*IngresosBrutos!E59</f>
        <v>759.61369999999999</v>
      </c>
      <c r="F59" s="63">
        <f>+$C$72*IngresosBrutos!F59</f>
        <v>738.12369999999999</v>
      </c>
      <c r="G59" s="63">
        <f>+$C$72*IngresosBrutos!G59</f>
        <v>743.20009999999991</v>
      </c>
      <c r="H59" s="63">
        <f>+$C$72*IngresosBrutos!H59</f>
        <v>743.20009999999991</v>
      </c>
      <c r="I59" s="63">
        <f>+$C$72*IngresosBrutos!I59</f>
        <v>703.47730000000001</v>
      </c>
      <c r="J59" s="63">
        <f>+$C$72*IngresosBrutos!J59</f>
        <v>642.96</v>
      </c>
      <c r="K59" s="63">
        <f>+$C$72*IngresosBrutos!K59</f>
        <v>290.95390000000003</v>
      </c>
      <c r="L59" s="63">
        <f>+$C$72*IngresosBrutos!L59</f>
        <v>182.45400000000006</v>
      </c>
      <c r="M59" s="63">
        <f>+$C$72*IngresosBrutos!M59</f>
        <v>166.19290000000001</v>
      </c>
      <c r="N59" s="63">
        <f>+$C$72*IngresosBrutos!N59</f>
        <v>146.17770000000004</v>
      </c>
      <c r="O59" s="63">
        <f>+$C$72*IngresosBrutos!O59</f>
        <v>30.763199999999998</v>
      </c>
    </row>
    <row r="60" spans="2:15">
      <c r="B60" s="60" t="str">
        <f>+RetribucionEstado!B60</f>
        <v>Terrenos</v>
      </c>
      <c r="C60" s="64">
        <f>+$C$72*IngresosBrutos!C60</f>
        <v>4970.4914285714285</v>
      </c>
      <c r="D60" s="64">
        <f>+$C$72*IngresosBrutos!D60</f>
        <v>4898.8900000000003</v>
      </c>
      <c r="E60" s="64">
        <f>+$C$72*IngresosBrutos!E60</f>
        <v>4991.2</v>
      </c>
      <c r="F60" s="64">
        <f>+$C$72*IngresosBrutos!F60</f>
        <v>4615.66</v>
      </c>
      <c r="G60" s="64">
        <f>+$C$72*IngresosBrutos!G60</f>
        <v>2767.6643999999987</v>
      </c>
      <c r="H60" s="64">
        <f>+$C$72*IngresosBrutos!H60</f>
        <v>2767.6643999999987</v>
      </c>
      <c r="I60" s="64">
        <f>+$C$72*IngresosBrutos!I60</f>
        <v>2377.0412000000006</v>
      </c>
      <c r="J60" s="64">
        <f>+$C$72*IngresosBrutos!J60</f>
        <v>2193.4730999999992</v>
      </c>
      <c r="K60" s="64">
        <f>+$C$72*IngresosBrutos!K60</f>
        <v>634.13869999999986</v>
      </c>
      <c r="L60" s="64">
        <f>+$C$72*IngresosBrutos!L60</f>
        <v>1321.3128999999999</v>
      </c>
      <c r="M60" s="64">
        <f>+$C$72*IngresosBrutos!M60</f>
        <v>1437.3551999999993</v>
      </c>
      <c r="N60" s="64">
        <f>+$C$72*IngresosBrutos!N60</f>
        <v>1332.1127000000001</v>
      </c>
      <c r="O60" s="64">
        <f>+$C$72*IngresosBrutos!O60</f>
        <v>989.83220000000017</v>
      </c>
    </row>
    <row r="61" spans="2:15">
      <c r="B61" s="53" t="str">
        <f>+RetribucionEstado!B61</f>
        <v>Bancos</v>
      </c>
      <c r="C61" s="63">
        <f>+$C$72*IngresosBrutos!C61</f>
        <v>600.93987932065681</v>
      </c>
      <c r="D61" s="63">
        <f>+$C$72*IngresosBrutos!D61</f>
        <v>685.12</v>
      </c>
      <c r="E61" s="63">
        <f>+$C$72*IngresosBrutos!E61</f>
        <v>789.32800000000009</v>
      </c>
      <c r="F61" s="63">
        <f>+$C$72*IngresosBrutos!F61</f>
        <v>803.6</v>
      </c>
      <c r="G61" s="63">
        <f>+$C$72*IngresosBrutos!G61</f>
        <v>1160.4031000000002</v>
      </c>
      <c r="H61" s="63">
        <f>+$C$72*IngresosBrutos!H61</f>
        <v>1160.4031000000002</v>
      </c>
      <c r="I61" s="63">
        <f>+$C$72*IngresosBrutos!I61</f>
        <v>2160.4059000000002</v>
      </c>
      <c r="J61" s="63">
        <f>+$C$72*IngresosBrutos!J61</f>
        <v>2520.9838</v>
      </c>
      <c r="K61" s="63">
        <f>+$C$72*IngresosBrutos!K61</f>
        <v>2946.6044000000002</v>
      </c>
      <c r="L61" s="63">
        <f>+$C$72*IngresosBrutos!L61</f>
        <v>2986.0750000000003</v>
      </c>
      <c r="M61" s="63">
        <f>+$C$72*IngresosBrutos!M61</f>
        <v>3299.2463000000002</v>
      </c>
      <c r="N61" s="63">
        <f>+$C$72*IngresosBrutos!N61</f>
        <v>4299.2931000000008</v>
      </c>
      <c r="O61" s="63">
        <f>+$C$72*IngresosBrutos!O61</f>
        <v>6241.1720999999998</v>
      </c>
    </row>
    <row r="62" spans="2:15">
      <c r="B62" s="60" t="str">
        <f>+RetribucionEstado!B62</f>
        <v xml:space="preserve">Arrendamiento de locales </v>
      </c>
      <c r="C62" s="64">
        <f>+$C$72*IngresosBrutos!C62</f>
        <v>24536.969440233686</v>
      </c>
      <c r="D62" s="64">
        <f>+$C$72*IngresosBrutos!D62</f>
        <v>30951.371642509224</v>
      </c>
      <c r="E62" s="64">
        <f>+$C$72*IngresosBrutos!E62</f>
        <v>31168.704989493559</v>
      </c>
      <c r="F62" s="64">
        <f>+$C$72*IngresosBrutos!F62</f>
        <v>26188.017541000001</v>
      </c>
      <c r="G62" s="64">
        <f>+$C$72*IngresosBrutos!G62</f>
        <v>39459.905687000006</v>
      </c>
      <c r="H62" s="64">
        <f>+$C$72*IngresosBrutos!H62</f>
        <v>39459.905687000006</v>
      </c>
      <c r="I62" s="64">
        <f>+$C$72*IngresosBrutos!I62</f>
        <v>51760.059923000008</v>
      </c>
      <c r="J62" s="64">
        <f>+$C$72*IngresosBrutos!J62</f>
        <v>72269.761500000008</v>
      </c>
      <c r="K62" s="64">
        <f>+$C$72*IngresosBrutos!K62</f>
        <v>94785.103799999997</v>
      </c>
      <c r="L62" s="64">
        <f>+$C$72*IngresosBrutos!L62</f>
        <v>123237.0858</v>
      </c>
      <c r="M62" s="64">
        <f>+$C$72*IngresosBrutos!M62</f>
        <v>141012.16869999998</v>
      </c>
      <c r="N62" s="64">
        <f>+$C$72*IngresosBrutos!N62</f>
        <v>190408.1286</v>
      </c>
      <c r="O62" s="64">
        <f>+$C$72*IngresosBrutos!O62</f>
        <v>210186.96800000002</v>
      </c>
    </row>
    <row r="63" spans="2:15">
      <c r="B63" s="53" t="str">
        <f>+RetribucionEstado!B63</f>
        <v>Tiendas Comerciales</v>
      </c>
      <c r="C63" s="63">
        <f>+$C$72*IngresosBrutos!C63</f>
        <v>453.27614317650989</v>
      </c>
      <c r="D63" s="63">
        <f>+$C$72*IngresosBrutos!D63</f>
        <v>1539.580154</v>
      </c>
      <c r="E63" s="63">
        <f>+$C$72*IngresosBrutos!E63</f>
        <v>1499.0553849999997</v>
      </c>
      <c r="F63" s="63">
        <f>+$C$72*IngresosBrutos!F63</f>
        <v>1379.0032000000001</v>
      </c>
      <c r="G63" s="63">
        <f>+$C$72*IngresosBrutos!G63</f>
        <v>300.09190000000001</v>
      </c>
      <c r="H63" s="63">
        <f>+$C$72*IngresosBrutos!H63</f>
        <v>300.09190000000001</v>
      </c>
      <c r="I63" s="63">
        <f>+$C$72*IngresosBrutos!I63</f>
        <v>1030.4000000000001</v>
      </c>
      <c r="J63" s="63">
        <f>+$C$72*IngresosBrutos!J63</f>
        <v>1115.4000000000001</v>
      </c>
      <c r="K63" s="63">
        <f>+$C$72*IngresosBrutos!K63</f>
        <v>1130.4000000000001</v>
      </c>
      <c r="L63" s="63">
        <f>+$C$72*IngresosBrutos!L63</f>
        <v>1130.4000000000001</v>
      </c>
      <c r="M63" s="63">
        <f>+$C$72*IngresosBrutos!M63</f>
        <v>860.4</v>
      </c>
      <c r="N63" s="63">
        <f>+$C$72*IngresosBrutos!N63</f>
        <v>590.4</v>
      </c>
      <c r="O63" s="63">
        <f>+$C$72*IngresosBrutos!O63</f>
        <v>1495.2</v>
      </c>
    </row>
    <row r="64" spans="2:15">
      <c r="B64" s="60" t="str">
        <f>+RetribucionEstado!B64</f>
        <v>Duty Free</v>
      </c>
      <c r="C64" s="64">
        <f>+$C$72*IngresosBrutos!C64</f>
        <v>19814.633057396997</v>
      </c>
      <c r="D64" s="64">
        <f>+$C$72*IngresosBrutos!D64</f>
        <v>31546.760899999997</v>
      </c>
      <c r="E64" s="64">
        <f>+$C$72*IngresosBrutos!E64</f>
        <v>34071.095000000001</v>
      </c>
      <c r="F64" s="64">
        <f>+$C$72*IngresosBrutos!F64</f>
        <v>33850.543699999995</v>
      </c>
      <c r="G64" s="64">
        <f>+$C$72*IngresosBrutos!G64</f>
        <v>36938.678</v>
      </c>
      <c r="H64" s="64">
        <f>+$C$72*IngresosBrutos!H64</f>
        <v>36938.678</v>
      </c>
      <c r="I64" s="64">
        <f>+$C$72*IngresosBrutos!I64</f>
        <v>41097.586199999998</v>
      </c>
      <c r="J64" s="64">
        <f>+$C$72*IngresosBrutos!J64</f>
        <v>53147.683599999989</v>
      </c>
      <c r="K64" s="64">
        <f>+$C$72*IngresosBrutos!K64</f>
        <v>60669.90340000001</v>
      </c>
      <c r="L64" s="64">
        <f>+$C$72*IngresosBrutos!L64</f>
        <v>74826.385000000009</v>
      </c>
      <c r="M64" s="64">
        <f>+$C$72*IngresosBrutos!M64</f>
        <v>93239.445400000011</v>
      </c>
      <c r="N64" s="64">
        <f>+$C$72*IngresosBrutos!N64</f>
        <v>125098.79740000001</v>
      </c>
      <c r="O64" s="64">
        <f>+$C$72*IngresosBrutos!O64</f>
        <v>143859.95339999997</v>
      </c>
    </row>
    <row r="65" spans="2:15">
      <c r="B65" s="53" t="str">
        <f>+RetribucionEstado!B65</f>
        <v>Comidas y bebidas</v>
      </c>
      <c r="C65" s="63">
        <f>+$C$72*IngresosBrutos!C65</f>
        <v>3663.1227144307441</v>
      </c>
      <c r="D65" s="63">
        <f>+$C$72*IngresosBrutos!D65</f>
        <v>6123.5185000000001</v>
      </c>
      <c r="E65" s="63">
        <f>+$C$72*IngresosBrutos!E65</f>
        <v>6561.9826000000003</v>
      </c>
      <c r="F65" s="63">
        <f>+$C$72*IngresosBrutos!F65</f>
        <v>7520.0430999999999</v>
      </c>
      <c r="G65" s="63">
        <f>+$C$72*IngresosBrutos!G65</f>
        <v>13158.532300000001</v>
      </c>
      <c r="H65" s="63">
        <f>+$C$72*IngresosBrutos!H65</f>
        <v>13158.532300000001</v>
      </c>
      <c r="I65" s="63">
        <f>+$C$72*IngresosBrutos!I65</f>
        <v>16181.6466</v>
      </c>
      <c r="J65" s="63">
        <f>+$C$72*IngresosBrutos!J65</f>
        <v>22701.888300000002</v>
      </c>
      <c r="K65" s="63">
        <f>+$C$72*IngresosBrutos!K65</f>
        <v>27669.812200000004</v>
      </c>
      <c r="L65" s="63">
        <f>+$C$72*IngresosBrutos!L65</f>
        <v>29686.188999999995</v>
      </c>
      <c r="M65" s="63">
        <f>+$C$72*IngresosBrutos!M65</f>
        <v>40833.246999999996</v>
      </c>
      <c r="N65" s="63">
        <f>+$C$72*IngresosBrutos!N65</f>
        <v>51713.419999999991</v>
      </c>
      <c r="O65" s="63">
        <f>+$C$72*IngresosBrutos!O65</f>
        <v>61318.277700000006</v>
      </c>
    </row>
    <row r="66" spans="2:15">
      <c r="B66" s="60" t="str">
        <f>+RetribucionEstado!B66</f>
        <v>Transporte terrestre de pasajeros</v>
      </c>
      <c r="C66" s="64">
        <f>+$C$72*IngresosBrutos!C66</f>
        <v>2981.4559648862801</v>
      </c>
      <c r="D66" s="64">
        <f>+$C$72*IngresosBrutos!D66</f>
        <v>4768.6763000000001</v>
      </c>
      <c r="E66" s="64">
        <f>+$C$72*IngresosBrutos!E66</f>
        <v>4517.8106000000007</v>
      </c>
      <c r="F66" s="64">
        <f>+$C$72*IngresosBrutos!F66</f>
        <v>4173.6720999999998</v>
      </c>
      <c r="G66" s="64">
        <f>+$C$72*IngresosBrutos!G66</f>
        <v>4378.4215999999997</v>
      </c>
      <c r="H66" s="64">
        <f>+$C$72*IngresosBrutos!H66</f>
        <v>4378.4215999999997</v>
      </c>
      <c r="I66" s="64">
        <f>+$C$72*IngresosBrutos!I66</f>
        <v>4738.8400999999994</v>
      </c>
      <c r="J66" s="64">
        <f>+$C$72*IngresosBrutos!J66</f>
        <v>5590.2641000000003</v>
      </c>
      <c r="K66" s="64">
        <f>+$C$72*IngresosBrutos!K66</f>
        <v>8244.527</v>
      </c>
      <c r="L66" s="64">
        <f>+$C$72*IngresosBrutos!L66</f>
        <v>9097.4056999999993</v>
      </c>
      <c r="M66" s="64">
        <f>+$C$72*IngresosBrutos!M66</f>
        <v>10932.760299999998</v>
      </c>
      <c r="N66" s="64">
        <f>+$C$72*IngresosBrutos!N66</f>
        <v>14484.1777</v>
      </c>
      <c r="O66" s="64">
        <f>+$C$72*IngresosBrutos!O66</f>
        <v>16461.691899999998</v>
      </c>
    </row>
    <row r="67" spans="2:15">
      <c r="B67" s="53" t="str">
        <f>+RetribucionEstado!B67</f>
        <v>Publicidad</v>
      </c>
      <c r="C67" s="63">
        <f>+$C$72*IngresosBrutos!C67</f>
        <v>281.71420011080926</v>
      </c>
      <c r="D67" s="63">
        <f>+$C$72*IngresosBrutos!D67</f>
        <v>3298.9554666666668</v>
      </c>
      <c r="E67" s="63">
        <f>+$C$72*IngresosBrutos!E67</f>
        <v>2617.3508999999999</v>
      </c>
      <c r="F67" s="63">
        <f>+$C$72*IngresosBrutos!F67</f>
        <v>3820.9879000000005</v>
      </c>
      <c r="G67" s="63">
        <f>+$C$72*IngresosBrutos!G67</f>
        <v>5157.6722999999993</v>
      </c>
      <c r="H67" s="63">
        <f>+$C$72*IngresosBrutos!H67</f>
        <v>5157.6722999999993</v>
      </c>
      <c r="I67" s="63">
        <f>+$C$72*IngresosBrutos!I67</f>
        <v>6147.2604999999994</v>
      </c>
      <c r="J67" s="63">
        <f>+$C$72*IngresosBrutos!J67</f>
        <v>5738.8024000000014</v>
      </c>
      <c r="K67" s="63">
        <f>+$C$72*IngresosBrutos!K67</f>
        <v>12399.465900000001</v>
      </c>
      <c r="L67" s="63">
        <f>+$C$72*IngresosBrutos!L67</f>
        <v>16480.753199999999</v>
      </c>
      <c r="M67" s="63">
        <f>+$C$72*IngresosBrutos!M67</f>
        <v>19747.226999999999</v>
      </c>
      <c r="N67" s="63">
        <f>+$C$72*IngresosBrutos!N67</f>
        <v>21672.2624</v>
      </c>
      <c r="O67" s="63">
        <f>+$C$72*IngresosBrutos!O67</f>
        <v>25703.1836</v>
      </c>
    </row>
    <row r="68" spans="2:15">
      <c r="B68" s="60" t="str">
        <f>+RetribucionEstado!B68</f>
        <v>Otros Comerciales</v>
      </c>
      <c r="C68" s="64">
        <v>10517.839052827447</v>
      </c>
      <c r="D68" s="64">
        <v>16219.088918824098</v>
      </c>
      <c r="E68" s="64">
        <v>6414.3731220001355</v>
      </c>
      <c r="F68" s="64">
        <v>32733.356599999941</v>
      </c>
      <c r="G68" s="64">
        <v>30491.366100000101</v>
      </c>
      <c r="H68" s="64">
        <v>30491.366100000101</v>
      </c>
      <c r="I68" s="64">
        <v>13347.991889997153</v>
      </c>
      <c r="J68" s="64">
        <v>14580.255489999894</v>
      </c>
      <c r="K68" s="64">
        <v>23371.457889075624</v>
      </c>
      <c r="L68" s="64">
        <v>40272.922231092816</v>
      </c>
      <c r="M68" s="64">
        <v>51332.430068067275</v>
      </c>
      <c r="N68" s="64">
        <v>40495.748026089743</v>
      </c>
      <c r="O68" s="64">
        <v>50578.044280195609</v>
      </c>
    </row>
    <row r="71" spans="2:15" ht="9.75" thickBot="1">
      <c r="B71" s="58"/>
      <c r="C71" s="52"/>
      <c r="D71" s="66"/>
    </row>
    <row r="72" spans="2:15" ht="9.75" thickTop="1">
      <c r="B72" s="59" t="s">
        <v>28</v>
      </c>
      <c r="C72" s="61">
        <v>0.01</v>
      </c>
      <c r="D72" s="67"/>
    </row>
  </sheetData>
  <mergeCells count="1">
    <mergeCell ref="E2:H2"/>
  </mergeCells>
  <hyperlinks>
    <hyperlink ref="E2:H2" location="Indice!D3" display="ÍNDICE"/>
  </hyperlinks>
  <pageMargins left="0.7" right="0.7" top="0.75" bottom="0.75" header="0.3" footer="0.3"/>
  <pageSetup orientation="portrait" r:id="rId1"/>
  <ignoredErrors>
    <ignoredError sqref="C4:F4 I4:O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1">
    <tabColor rgb="FF00B050"/>
  </sheetPr>
  <dimension ref="A1:O75"/>
  <sheetViews>
    <sheetView showGridLines="0" workbookViewId="0">
      <selection activeCell="E2" sqref="E2:H2"/>
    </sheetView>
  </sheetViews>
  <sheetFormatPr baseColWidth="10" defaultRowHeight="9"/>
  <cols>
    <col min="1" max="1" width="14.140625" style="32" customWidth="1"/>
    <col min="2" max="2" width="22.85546875" style="32" bestFit="1" customWidth="1"/>
    <col min="3" max="15" width="7.7109375" style="32" customWidth="1"/>
    <col min="16" max="16" width="11.42578125" style="32"/>
    <col min="17" max="20" width="6" style="32" customWidth="1"/>
    <col min="21" max="16384" width="11.42578125" style="32"/>
  </cols>
  <sheetData>
    <row r="1" spans="1:15">
      <c r="B1" s="37" t="s">
        <v>395</v>
      </c>
    </row>
    <row r="2" spans="1:15" ht="15">
      <c r="B2" s="38" t="s">
        <v>393</v>
      </c>
      <c r="E2" s="444" t="s">
        <v>555</v>
      </c>
      <c r="F2" s="444"/>
      <c r="G2" s="444"/>
      <c r="H2" s="444"/>
    </row>
    <row r="4" spans="1:15" s="41" customFormat="1" ht="9.75" thickBot="1">
      <c r="A4" s="32"/>
      <c r="B4" s="42" t="s">
        <v>374</v>
      </c>
      <c r="C4" s="42">
        <v>2001</v>
      </c>
      <c r="D4" s="42">
        <v>2002</v>
      </c>
      <c r="E4" s="42">
        <v>2003</v>
      </c>
      <c r="F4" s="42">
        <v>2004</v>
      </c>
      <c r="G4" s="49" t="s">
        <v>469</v>
      </c>
      <c r="H4" s="88">
        <v>2005</v>
      </c>
      <c r="I4" s="42">
        <v>2006</v>
      </c>
      <c r="J4" s="42">
        <v>2007</v>
      </c>
      <c r="K4" s="42">
        <v>2008</v>
      </c>
      <c r="L4" s="42">
        <v>2009</v>
      </c>
      <c r="M4" s="42">
        <v>2010</v>
      </c>
      <c r="N4" s="42">
        <v>2011</v>
      </c>
      <c r="O4" s="43">
        <v>2012</v>
      </c>
    </row>
    <row r="5" spans="1:15" ht="9.75" thickTop="1">
      <c r="B5" s="53" t="str">
        <f>+IngresosBrutos!B5</f>
        <v>Terminal - International (TUUA)</v>
      </c>
      <c r="C5" s="63">
        <f>+IngresosBrutos!C5-PagoCorpac!C5-RetribucionEstado!C5-RetribucionOsitran!C5</f>
        <v>9622521.796356203</v>
      </c>
      <c r="D5" s="63">
        <f>+IngresosBrutos!D5-PagoCorpac!D5-RetribucionEstado!D5-RetribucionOsitran!D5</f>
        <v>10116188.558155678</v>
      </c>
      <c r="E5" s="63">
        <f>+IngresosBrutos!E5-PagoCorpac!E5-RetribucionEstado!E5-RetribucionOsitran!E5</f>
        <v>11472654.524200318</v>
      </c>
      <c r="F5" s="63">
        <f>+IngresosBrutos!F5-PagoCorpac!F5-RetribucionEstado!F5-RetribucionOsitran!F5</f>
        <v>12825123.4001748</v>
      </c>
      <c r="G5" s="63">
        <f>+IngresosBrutos!G5-PagoCorpac!G5-RetribucionEstado!G5-RetribucionOsitran!G5</f>
        <v>14407908.130410958</v>
      </c>
      <c r="H5" s="63">
        <f>+IngresosBrutos!H5-PagoCorpac!H5-RetribucionEstado!H5-RetribucionOsitran!H5</f>
        <v>14407908.130410958</v>
      </c>
      <c r="I5" s="63">
        <f>+IngresosBrutos!I5-PagoCorpac!I5-RetribucionEstado!I5-RetribucionOsitran!I5</f>
        <v>15871958.549187839</v>
      </c>
      <c r="J5" s="63">
        <f>+IngresosBrutos!J5-PagoCorpac!J5-RetribucionEstado!J5-RetribucionOsitran!J5</f>
        <v>19122628.449925438</v>
      </c>
      <c r="K5" s="63">
        <f>+IngresosBrutos!K5-PagoCorpac!K5-RetribucionEstado!K5-RetribucionOsitran!K5</f>
        <v>20966031.517089076</v>
      </c>
      <c r="L5" s="63">
        <f>+IngresosBrutos!L5-PagoCorpac!L5-RetribucionEstado!L5-RetribucionOsitran!L5</f>
        <v>22135304.429006722</v>
      </c>
      <c r="M5" s="63">
        <f>+IngresosBrutos!M5-PagoCorpac!M5-RetribucionEstado!M5-RetribucionOsitran!M5</f>
        <v>23151985.555544168</v>
      </c>
      <c r="N5" s="63">
        <f>+IngresosBrutos!N5-PagoCorpac!N5-RetribucionEstado!N5-RetribucionOsitran!N5</f>
        <v>25652123.86013028</v>
      </c>
      <c r="O5" s="63">
        <f>+IngresosBrutos!O5-PagoCorpac!O5-RetribucionEstado!O5-RetribucionOsitran!O5</f>
        <v>28170111.568190079</v>
      </c>
    </row>
    <row r="6" spans="1:15">
      <c r="B6" s="60" t="str">
        <f>+IngresosBrutos!B6</f>
        <v>Terminal - National (TUUA)</v>
      </c>
      <c r="C6" s="64">
        <f>+IngresosBrutos!C6-PagoCorpac!C6-RetribucionEstado!C6-RetribucionOsitran!C6</f>
        <v>1522104.8673850477</v>
      </c>
      <c r="D6" s="64">
        <f>+IngresosBrutos!D6-PagoCorpac!D6-RetribucionEstado!D6-RetribucionOsitran!D6</f>
        <v>1687389.6865923996</v>
      </c>
      <c r="E6" s="64">
        <f>+IngresosBrutos!E6-PagoCorpac!E6-RetribucionEstado!E6-RetribucionOsitran!E6</f>
        <v>2177737.9511751002</v>
      </c>
      <c r="F6" s="64">
        <f>+IngresosBrutos!F6-PagoCorpac!F6-RetribucionEstado!F6-RetribucionOsitran!F6</f>
        <v>2430382.0003880002</v>
      </c>
      <c r="G6" s="64">
        <f>+IngresosBrutos!G6-PagoCorpac!G6-RetribucionEstado!G6-RetribucionOsitran!G6</f>
        <v>2621103.0546617</v>
      </c>
      <c r="H6" s="64">
        <f>+IngresosBrutos!H6-PagoCorpac!H6-RetribucionEstado!H6-RetribucionOsitran!H6</f>
        <v>2621103.0546617</v>
      </c>
      <c r="I6" s="64">
        <f>+IngresosBrutos!I6-PagoCorpac!I6-RetribucionEstado!I6-RetribucionOsitran!I6</f>
        <v>3501306.2912272005</v>
      </c>
      <c r="J6" s="64">
        <f>+IngresosBrutos!J6-PagoCorpac!J6-RetribucionEstado!J6-RetribucionOsitran!J6</f>
        <v>4552811.8303599004</v>
      </c>
      <c r="K6" s="64">
        <f>+IngresosBrutos!K6-PagoCorpac!K6-RetribucionEstado!K6-RetribucionOsitran!K6</f>
        <v>5002999.951829832</v>
      </c>
      <c r="L6" s="64">
        <f>+IngresosBrutos!L6-PagoCorpac!L6-RetribucionEstado!L6-RetribucionOsitran!L6</f>
        <v>5161356.5609847046</v>
      </c>
      <c r="M6" s="64">
        <f>+IngresosBrutos!M6-PagoCorpac!M6-RetribucionEstado!M6-RetribucionOsitran!M6</f>
        <v>7670908.4289829675</v>
      </c>
      <c r="N6" s="64">
        <f>+IngresosBrutos!N6-PagoCorpac!N6-RetribucionEstado!N6-RetribucionOsitran!N6</f>
        <v>9784789.0241230428</v>
      </c>
      <c r="O6" s="64">
        <f>+IngresosBrutos!O6-PagoCorpac!O6-RetribucionEstado!O6-RetribucionOsitran!O6</f>
        <v>13474575.556952635</v>
      </c>
    </row>
    <row r="7" spans="1:15">
      <c r="B7" s="53" t="str">
        <f>+IngresosBrutos!B7</f>
        <v>AID-Hasta 10 t</v>
      </c>
      <c r="C7" s="63">
        <f>+IngresosBrutos!C7-PagoCorpac!C7-RetribucionEstado!C7-RetribucionOsitran!C7</f>
        <v>1351.7391923325758</v>
      </c>
      <c r="D7" s="63">
        <f>+IngresosBrutos!D7-PagoCorpac!D7-RetribucionEstado!D7-RetribucionOsitran!D7</f>
        <v>1082.1649085999998</v>
      </c>
      <c r="E7" s="63">
        <f>+IngresosBrutos!E7-PagoCorpac!E7-RetribucionEstado!E7-RetribucionOsitran!E7</f>
        <v>1195.21673145</v>
      </c>
      <c r="F7" s="63">
        <f>+IngresosBrutos!F7-PagoCorpac!F7-RetribucionEstado!F7-RetribucionOsitran!F7</f>
        <v>1188.8964567</v>
      </c>
      <c r="G7" s="63">
        <f>+IngresosBrutos!G7-PagoCorpac!G7-RetribucionEstado!G7-RetribucionOsitran!G7</f>
        <v>1202.4020214</v>
      </c>
      <c r="H7" s="63">
        <f>+IngresosBrutos!H7-PagoCorpac!H7-RetribucionEstado!H7-RetribucionOsitran!H7</f>
        <v>1202.4020214</v>
      </c>
      <c r="I7" s="63">
        <f>+IngresosBrutos!I7-PagoCorpac!I7-RetribucionEstado!I7-RetribucionOsitran!I7</f>
        <v>1331.8247717999998</v>
      </c>
      <c r="J7" s="63">
        <f>+IngresosBrutos!J7-PagoCorpac!J7-RetribucionEstado!J7-RetribucionOsitran!J7</f>
        <v>1680.60096</v>
      </c>
      <c r="K7" s="63">
        <f>+IngresosBrutos!K7-PagoCorpac!K7-RetribucionEstado!K7-RetribucionOsitran!K7</f>
        <v>2026.3495949999997</v>
      </c>
      <c r="L7" s="63">
        <f>+IngresosBrutos!L7-PagoCorpac!L7-RetribucionEstado!L7-RetribucionOsitran!L7</f>
        <v>2235.0654054000001</v>
      </c>
      <c r="M7" s="63">
        <f>+IngresosBrutos!M7-PagoCorpac!M7-RetribucionEstado!M7-RetribucionOsitran!M7</f>
        <v>2478.4564828499992</v>
      </c>
      <c r="N7" s="63">
        <f>+IngresosBrutos!N7-PagoCorpac!N7-RetribucionEstado!N7-RetribucionOsitran!N7</f>
        <v>2255.7614089499998</v>
      </c>
      <c r="O7" s="63">
        <f>+IngresosBrutos!O7-PagoCorpac!O7-RetribucionEstado!O7-RetribucionOsitran!O7</f>
        <v>2553.2571275999903</v>
      </c>
    </row>
    <row r="8" spans="1:15">
      <c r="B8" s="60" t="str">
        <f>+IngresosBrutos!B8</f>
        <v>AID-Más de 10 t hasta 35 t</v>
      </c>
      <c r="C8" s="64">
        <f>+IngresosBrutos!C8-PagoCorpac!C8-RetribucionEstado!C8-RetribucionOsitran!C8</f>
        <v>2518.4640153952569</v>
      </c>
      <c r="D8" s="64">
        <f>+IngresosBrutos!D8-PagoCorpac!D8-RetribucionEstado!D8-RetribucionOsitran!D8</f>
        <v>3769.50711555</v>
      </c>
      <c r="E8" s="64">
        <f>+IngresosBrutos!E8-PagoCorpac!E8-RetribucionEstado!E8-RetribucionOsitran!E8</f>
        <v>3336.7497939</v>
      </c>
      <c r="F8" s="64">
        <f>+IngresosBrutos!F8-PagoCorpac!F8-RetribucionEstado!F8-RetribucionOsitran!F8</f>
        <v>2756.4301471500003</v>
      </c>
      <c r="G8" s="64">
        <f>+IngresosBrutos!G8-PagoCorpac!G8-RetribucionEstado!G8-RetribucionOsitran!G8</f>
        <v>2025.72915255</v>
      </c>
      <c r="H8" s="64">
        <f>+IngresosBrutos!H8-PagoCorpac!H8-RetribucionEstado!H8-RetribucionOsitran!H8</f>
        <v>2025.72915255</v>
      </c>
      <c r="I8" s="64">
        <f>+IngresosBrutos!I8-PagoCorpac!I8-RetribucionEstado!I8-RetribucionOsitran!I8</f>
        <v>1724.06539935</v>
      </c>
      <c r="J8" s="64">
        <f>+IngresosBrutos!J8-PagoCorpac!J8-RetribucionEstado!J8-RetribucionOsitran!J8</f>
        <v>2121.3081832500002</v>
      </c>
      <c r="K8" s="64">
        <f>+IngresosBrutos!K8-PagoCorpac!K8-RetribucionEstado!K8-RetribucionOsitran!K8</f>
        <v>2446.4328992999999</v>
      </c>
      <c r="L8" s="64">
        <f>+IngresosBrutos!L8-PagoCorpac!L8-RetribucionEstado!L8-RetribucionOsitran!L8</f>
        <v>2061.3234982500003</v>
      </c>
      <c r="M8" s="64">
        <f>+IngresosBrutos!M8-PagoCorpac!M8-RetribucionEstado!M8-RetribucionOsitran!M8</f>
        <v>3177.4943169000003</v>
      </c>
      <c r="N8" s="64">
        <f>+IngresosBrutos!N8-PagoCorpac!N8-RetribucionEstado!N8-RetribucionOsitran!N8</f>
        <v>3130.6135823999998</v>
      </c>
      <c r="O8" s="64">
        <f>+IngresosBrutos!O8-PagoCorpac!O8-RetribucionEstado!O8-RetribucionOsitran!O8</f>
        <v>3944.4229718999964</v>
      </c>
    </row>
    <row r="9" spans="1:15">
      <c r="B9" s="53" t="str">
        <f>+IngresosBrutos!B9</f>
        <v>AID-Más de 35 t hasta 70 t</v>
      </c>
      <c r="C9" s="63">
        <f>+IngresosBrutos!C9-PagoCorpac!C9-RetribucionEstado!C9-RetribucionOsitran!C9</f>
        <v>13652.29084378174</v>
      </c>
      <c r="D9" s="63">
        <f>+IngresosBrutos!D9-PagoCorpac!D9-RetribucionEstado!D9-RetribucionOsitran!D9</f>
        <v>11942.23766085</v>
      </c>
      <c r="E9" s="63">
        <f>+IngresosBrutos!E9-PagoCorpac!E9-RetribucionEstado!E9-RetribucionOsitran!E9</f>
        <v>10348.550132849999</v>
      </c>
      <c r="F9" s="63">
        <f>+IngresosBrutos!F9-PagoCorpac!F9-RetribucionEstado!F9-RetribucionOsitran!F9</f>
        <v>7809.5297137500002</v>
      </c>
      <c r="G9" s="63">
        <f>+IngresosBrutos!G9-PagoCorpac!G9-RetribucionEstado!G9-RetribucionOsitran!G9</f>
        <v>2175.9199910999996</v>
      </c>
      <c r="H9" s="63">
        <f>+IngresosBrutos!H9-PagoCorpac!H9-RetribucionEstado!H9-RetribucionOsitran!H9</f>
        <v>2175.9199910999996</v>
      </c>
      <c r="I9" s="63">
        <f>+IngresosBrutos!I9-PagoCorpac!I9-RetribucionEstado!I9-RetribucionOsitran!I9</f>
        <v>14305.778419049973</v>
      </c>
      <c r="J9" s="63">
        <f>+IngresosBrutos!J9-PagoCorpac!J9-RetribucionEstado!J9-RetribucionOsitran!J9</f>
        <v>36176.560141950002</v>
      </c>
      <c r="K9" s="63">
        <f>+IngresosBrutos!K9-PagoCorpac!K9-RetribucionEstado!K9-RetribucionOsitran!K9</f>
        <v>56958.967382850016</v>
      </c>
      <c r="L9" s="63">
        <f>+IngresosBrutos!L9-PagoCorpac!L9-RetribucionEstado!L9-RetribucionOsitran!L9</f>
        <v>95827.704548849928</v>
      </c>
      <c r="M9" s="63">
        <f>+IngresosBrutos!M9-PagoCorpac!M9-RetribucionEstado!M9-RetribucionOsitran!M9</f>
        <v>88361.310403349926</v>
      </c>
      <c r="N9" s="63">
        <f>+IngresosBrutos!N9-PagoCorpac!N9-RetribucionEstado!N9-RetribucionOsitran!N9</f>
        <v>150677.2113673503</v>
      </c>
      <c r="O9" s="63">
        <f>+IngresosBrutos!O9-PagoCorpac!O9-RetribucionEstado!O9-RetribucionOsitran!O9</f>
        <v>160088.84706060105</v>
      </c>
    </row>
    <row r="10" spans="1:15">
      <c r="B10" s="60" t="str">
        <f>+IngresosBrutos!B10</f>
        <v>AID-Más de 70 t hasta 100 t</v>
      </c>
      <c r="C10" s="64">
        <f>+IngresosBrutos!C10-PagoCorpac!C10-RetribucionEstado!C10-RetribucionOsitran!C10</f>
        <v>209629.4570521916</v>
      </c>
      <c r="D10" s="64">
        <f>+IngresosBrutos!D10-PagoCorpac!D10-RetribucionEstado!D10-RetribucionOsitran!D10</f>
        <v>153027.45766574977</v>
      </c>
      <c r="E10" s="64">
        <f>+IngresosBrutos!E10-PagoCorpac!E10-RetribucionEstado!E10-RetribucionOsitran!E10</f>
        <v>123445.73221739974</v>
      </c>
      <c r="F10" s="64">
        <f>+IngresosBrutos!F10-PagoCorpac!F10-RetribucionEstado!F10-RetribucionOsitran!F10</f>
        <v>145651.9596264</v>
      </c>
      <c r="G10" s="64">
        <f>+IngresosBrutos!G10-PagoCorpac!G10-RetribucionEstado!G10-RetribucionOsitran!G10</f>
        <v>133138.12712985024</v>
      </c>
      <c r="H10" s="64">
        <f>+IngresosBrutos!H10-PagoCorpac!H10-RetribucionEstado!H10-RetribucionOsitran!H10</f>
        <v>133138.12712985024</v>
      </c>
      <c r="I10" s="64">
        <f>+IngresosBrutos!I10-PagoCorpac!I10-RetribucionEstado!I10-RetribucionOsitran!I10</f>
        <v>122107.69787220172</v>
      </c>
      <c r="J10" s="64">
        <f>+IngresosBrutos!J10-PagoCorpac!J10-RetribucionEstado!J10-RetribucionOsitran!J10</f>
        <v>201113.91522764962</v>
      </c>
      <c r="K10" s="64">
        <f>+IngresosBrutos!K10-PagoCorpac!K10-RetribucionEstado!K10-RetribucionOsitran!K10</f>
        <v>260061.90525494976</v>
      </c>
      <c r="L10" s="64">
        <f>+IngresosBrutos!L10-PagoCorpac!L10-RetribucionEstado!L10-RetribucionOsitran!L10</f>
        <v>293910.68374919845</v>
      </c>
      <c r="M10" s="64">
        <f>+IngresosBrutos!M10-PagoCorpac!M10-RetribucionEstado!M10-RetribucionOsitran!M10</f>
        <v>340486.47979560203</v>
      </c>
      <c r="N10" s="64">
        <f>+IngresosBrutos!N10-PagoCorpac!N10-RetribucionEstado!N10-RetribucionOsitran!N10</f>
        <v>395166.0909352536</v>
      </c>
      <c r="O10" s="64">
        <f>+IngresosBrutos!O10-PagoCorpac!O10-RetribucionEstado!O10-RetribucionOsitran!O10</f>
        <v>426009.37669152761</v>
      </c>
    </row>
    <row r="11" spans="1:15">
      <c r="B11" s="53" t="str">
        <f>+IngresosBrutos!B11</f>
        <v>AID-Más de 100 t</v>
      </c>
      <c r="C11" s="63">
        <f>+IngresosBrutos!C11-PagoCorpac!C11-RetribucionEstado!C11-RetribucionOsitran!C11</f>
        <v>318685.47588871972</v>
      </c>
      <c r="D11" s="63">
        <f>+IngresosBrutos!D11-PagoCorpac!D11-RetribucionEstado!D11-RetribucionOsitran!D11</f>
        <v>298045.16034344997</v>
      </c>
      <c r="E11" s="63">
        <f>+IngresosBrutos!E11-PagoCorpac!E11-RetribucionEstado!E11-RetribucionOsitran!E11</f>
        <v>351349.67793015001</v>
      </c>
      <c r="F11" s="63">
        <f>+IngresosBrutos!F11-PagoCorpac!F11-RetribucionEstado!F11-RetribucionOsitran!F11</f>
        <v>389741.74280639994</v>
      </c>
      <c r="G11" s="63">
        <f>+IngresosBrutos!G11-PagoCorpac!G11-RetribucionEstado!G11-RetribucionOsitran!G11</f>
        <v>490824.48420539993</v>
      </c>
      <c r="H11" s="63">
        <f>+IngresosBrutos!H11-PagoCorpac!H11-RetribucionEstado!H11-RetribucionOsitran!H11</f>
        <v>490824.48420539993</v>
      </c>
      <c r="I11" s="63">
        <f>+IngresosBrutos!I11-PagoCorpac!I11-RetribucionEstado!I11-RetribucionOsitran!I11</f>
        <v>408619.55906505353</v>
      </c>
      <c r="J11" s="63">
        <f>+IngresosBrutos!J11-PagoCorpac!J11-RetribucionEstado!J11-RetribucionOsitran!J11</f>
        <v>472139.14670099999</v>
      </c>
      <c r="K11" s="63">
        <f>+IngresosBrutos!K11-PagoCorpac!K11-RetribucionEstado!K11-RetribucionOsitran!K11</f>
        <v>563162.29166069988</v>
      </c>
      <c r="L11" s="63">
        <f>+IngresosBrutos!L11-PagoCorpac!L11-RetribucionEstado!L11-RetribucionOsitran!L11</f>
        <v>545175.69850305002</v>
      </c>
      <c r="M11" s="63">
        <f>+IngresosBrutos!M11-PagoCorpac!M11-RetribucionEstado!M11-RetribucionOsitran!M11</f>
        <v>611876.70906659984</v>
      </c>
      <c r="N11" s="63">
        <f>+IngresosBrutos!N11-PagoCorpac!N11-RetribucionEstado!N11-RetribucionOsitran!N11</f>
        <v>640652.45660235034</v>
      </c>
      <c r="O11" s="63">
        <f>+IngresosBrutos!O11-PagoCorpac!O11-RetribucionEstado!O11-RetribucionOsitran!O11</f>
        <v>766886.37995653204</v>
      </c>
    </row>
    <row r="12" spans="1:15">
      <c r="B12" s="60" t="str">
        <f>+IngresosBrutos!B12</f>
        <v>AIN-Hasta 10 t</v>
      </c>
      <c r="C12" s="64">
        <f>+IngresosBrutos!C12-PagoCorpac!C12-RetribucionEstado!C12-RetribucionOsitran!C12</f>
        <v>356.39313818682922</v>
      </c>
      <c r="D12" s="64">
        <f>+IngresosBrutos!D12-PagoCorpac!D12-RetribucionEstado!D12-RetribucionOsitran!D12</f>
        <v>442.31368004999996</v>
      </c>
      <c r="E12" s="64">
        <f>+IngresosBrutos!E12-PagoCorpac!E12-RetribucionEstado!E12-RetribucionOsitran!E12</f>
        <v>345.71001824999996</v>
      </c>
      <c r="F12" s="64">
        <f>+IngresosBrutos!F12-PagoCorpac!F12-RetribucionEstado!F12-RetribucionOsitran!F12</f>
        <v>464.00342129999996</v>
      </c>
      <c r="G12" s="64">
        <f>+IngresosBrutos!G12-PagoCorpac!G12-RetribucionEstado!G12-RetribucionOsitran!G12</f>
        <v>387.29253464999994</v>
      </c>
      <c r="H12" s="64">
        <f>+IngresosBrutos!H12-PagoCorpac!H12-RetribucionEstado!H12-RetribucionOsitran!H12</f>
        <v>387.29253464999994</v>
      </c>
      <c r="I12" s="64">
        <f>+IngresosBrutos!I12-PagoCorpac!I12-RetribucionEstado!I12-RetribucionOsitran!I12</f>
        <v>342.5923593</v>
      </c>
      <c r="J12" s="64">
        <f>+IngresosBrutos!J12-PagoCorpac!J12-RetribucionEstado!J12-RetribucionOsitran!J12</f>
        <v>513.37107449999985</v>
      </c>
      <c r="K12" s="64">
        <f>+IngresosBrutos!K12-PagoCorpac!K12-RetribucionEstado!K12-RetribucionOsitran!K12</f>
        <v>563.70157199999994</v>
      </c>
      <c r="L12" s="64">
        <f>+IngresosBrutos!L12-PagoCorpac!L12-RetribucionEstado!L12-RetribucionOsitran!L12</f>
        <v>409.76233424999998</v>
      </c>
      <c r="M12" s="64">
        <f>+IngresosBrutos!M12-PagoCorpac!M12-RetribucionEstado!M12-RetribucionOsitran!M12</f>
        <v>569.05127909999999</v>
      </c>
      <c r="N12" s="64">
        <f>+IngresosBrutos!N12-PagoCorpac!N12-RetribucionEstado!N12-RetribucionOsitran!N12</f>
        <v>620.9908078499999</v>
      </c>
      <c r="O12" s="64">
        <f>+IngresosBrutos!O12-PagoCorpac!O12-RetribucionEstado!O12-RetribucionOsitran!O12</f>
        <v>620.99080784999944</v>
      </c>
    </row>
    <row r="13" spans="1:15">
      <c r="B13" s="53" t="str">
        <f>+IngresosBrutos!B13</f>
        <v>AIN-Más de 10 t hasta 35 t</v>
      </c>
      <c r="C13" s="63">
        <f>+IngresosBrutos!C13-PagoCorpac!C13-RetribucionEstado!C13-RetribucionOsitran!C13</f>
        <v>1458.1414377873159</v>
      </c>
      <c r="D13" s="63">
        <f>+IngresosBrutos!D13-PagoCorpac!D13-RetribucionEstado!D13-RetribucionOsitran!D13</f>
        <v>1525.45687965</v>
      </c>
      <c r="E13" s="63">
        <f>+IngresosBrutos!E13-PagoCorpac!E13-RetribucionEstado!E13-RetribucionOsitran!E13</f>
        <v>3201.9773364000002</v>
      </c>
      <c r="F13" s="63">
        <f>+IngresosBrutos!F13-PagoCorpac!F13-RetribucionEstado!F13-RetribucionOsitran!F13</f>
        <v>2009.9323273499997</v>
      </c>
      <c r="G13" s="63">
        <f>+IngresosBrutos!G13-PagoCorpac!G13-RetribucionEstado!G13-RetribucionOsitran!G13</f>
        <v>915.74473724999996</v>
      </c>
      <c r="H13" s="63">
        <f>+IngresosBrutos!H13-PagoCorpac!H13-RetribucionEstado!H13-RetribucionOsitran!H13</f>
        <v>915.74473724999996</v>
      </c>
      <c r="I13" s="63">
        <f>+IngresosBrutos!I13-PagoCorpac!I13-RetribucionEstado!I13-RetribucionOsitran!I13</f>
        <v>1426.6623609000001</v>
      </c>
      <c r="J13" s="63">
        <f>+IngresosBrutos!J13-PagoCorpac!J13-RetribucionEstado!J13-RetribucionOsitran!J13</f>
        <v>1453.2358337999999</v>
      </c>
      <c r="K13" s="63">
        <f>+IngresosBrutos!K13-PagoCorpac!K13-RetribucionEstado!K13-RetribucionOsitran!K13</f>
        <v>1728.6221758500003</v>
      </c>
      <c r="L13" s="63">
        <f>+IngresosBrutos!L13-PagoCorpac!L13-RetribucionEstado!L13-RetribucionOsitran!L13</f>
        <v>1712.2589716499999</v>
      </c>
      <c r="M13" s="63">
        <f>+IngresosBrutos!M13-PagoCorpac!M13-RetribucionEstado!M13-RetribucionOsitran!M13</f>
        <v>2024.7637338000004</v>
      </c>
      <c r="N13" s="63">
        <f>+IngresosBrutos!N13-PagoCorpac!N13-RetribucionEstado!N13-RetribucionOsitran!N13</f>
        <v>2480.7992323500002</v>
      </c>
      <c r="O13" s="63">
        <f>+IngresosBrutos!O13-PagoCorpac!O13-RetribucionEstado!O13-RetribucionOsitran!O13</f>
        <v>3028.1453234999994</v>
      </c>
    </row>
    <row r="14" spans="1:15">
      <c r="B14" s="60" t="str">
        <f>+IngresosBrutos!B14</f>
        <v>AIN-Más de 35 t hasta 70 t</v>
      </c>
      <c r="C14" s="64">
        <f>+IngresosBrutos!C14-PagoCorpac!C14-RetribucionEstado!C14-RetribucionOsitran!C14</f>
        <v>17376.131962405972</v>
      </c>
      <c r="D14" s="64">
        <f>+IngresosBrutos!D14-PagoCorpac!D14-RetribucionEstado!D14-RetribucionOsitran!D14</f>
        <v>30459.113455049999</v>
      </c>
      <c r="E14" s="64">
        <f>+IngresosBrutos!E14-PagoCorpac!E14-RetribucionEstado!E14-RetribucionOsitran!E14</f>
        <v>13219.669453049999</v>
      </c>
      <c r="F14" s="64">
        <f>+IngresosBrutos!F14-PagoCorpac!F14-RetribucionEstado!F14-RetribucionOsitran!F14</f>
        <v>14726.92754565</v>
      </c>
      <c r="G14" s="64">
        <f>+IngresosBrutos!G14-PagoCorpac!G14-RetribucionEstado!G14-RetribucionOsitran!G14</f>
        <v>22212.68155515</v>
      </c>
      <c r="H14" s="64">
        <f>+IngresosBrutos!H14-PagoCorpac!H14-RetribucionEstado!H14-RetribucionOsitran!H14</f>
        <v>22212.68155515</v>
      </c>
      <c r="I14" s="64">
        <f>+IngresosBrutos!I14-PagoCorpac!I14-RetribucionEstado!I14-RetribucionOsitran!I14</f>
        <v>43117.05851369974</v>
      </c>
      <c r="J14" s="64">
        <f>+IngresosBrutos!J14-PagoCorpac!J14-RetribucionEstado!J14-RetribucionOsitran!J14</f>
        <v>89996.425980749977</v>
      </c>
      <c r="K14" s="64">
        <f>+IngresosBrutos!K14-PagoCorpac!K14-RetribucionEstado!K14-RetribucionOsitran!K14</f>
        <v>88982.391316949987</v>
      </c>
      <c r="L14" s="64">
        <f>+IngresosBrutos!L14-PagoCorpac!L14-RetribucionEstado!L14-RetribucionOsitran!L14</f>
        <v>120687.54886979987</v>
      </c>
      <c r="M14" s="64">
        <f>+IngresosBrutos!M14-PagoCorpac!M14-RetribucionEstado!M14-RetribucionOsitran!M14</f>
        <v>78776.053802099908</v>
      </c>
      <c r="N14" s="64">
        <f>+IngresosBrutos!N14-PagoCorpac!N14-RetribucionEstado!N14-RetribucionOsitran!N14</f>
        <v>140247.44248589955</v>
      </c>
      <c r="O14" s="64">
        <f>+IngresosBrutos!O14-PagoCorpac!O14-RetribucionEstado!O14-RetribucionOsitran!O14</f>
        <v>161976.75560684878</v>
      </c>
    </row>
    <row r="15" spans="1:15">
      <c r="B15" s="53" t="str">
        <f>+IngresosBrutos!B15</f>
        <v>AIN-Más de 70 t hasta 100 t</v>
      </c>
      <c r="C15" s="63">
        <f>+IngresosBrutos!C15-PagoCorpac!C15-RetribucionEstado!C15-RetribucionOsitran!C15</f>
        <v>139992.18512327728</v>
      </c>
      <c r="D15" s="63">
        <f>+IngresosBrutos!D15-PagoCorpac!D15-RetribucionEstado!D15-RetribucionOsitran!D15</f>
        <v>175788.37864620052</v>
      </c>
      <c r="E15" s="63">
        <f>+IngresosBrutos!E15-PagoCorpac!E15-RetribucionEstado!E15-RetribucionOsitran!E15</f>
        <v>184690.47662100024</v>
      </c>
      <c r="F15" s="63">
        <f>+IngresosBrutos!F15-PagoCorpac!F15-RetribucionEstado!F15-RetribucionOsitran!F15</f>
        <v>208223.94113190024</v>
      </c>
      <c r="G15" s="63">
        <f>+IngresosBrutos!G15-PagoCorpac!G15-RetribucionEstado!G15-RetribucionOsitran!G15</f>
        <v>235955.98604204998</v>
      </c>
      <c r="H15" s="63">
        <f>+IngresosBrutos!H15-PagoCorpac!H15-RetribucionEstado!H15-RetribucionOsitran!H15</f>
        <v>235955.98604204998</v>
      </c>
      <c r="I15" s="63">
        <f>+IngresosBrutos!I15-PagoCorpac!I15-RetribucionEstado!I15-RetribucionOsitran!I15</f>
        <v>229406.62900769862</v>
      </c>
      <c r="J15" s="63">
        <f>+IngresosBrutos!J15-PagoCorpac!J15-RetribucionEstado!J15-RetribucionOsitran!J15</f>
        <v>280447.41468825005</v>
      </c>
      <c r="K15" s="63">
        <f>+IngresosBrutos!K15-PagoCorpac!K15-RetribucionEstado!K15-RetribucionOsitran!K15</f>
        <v>285083.13669749995</v>
      </c>
      <c r="L15" s="63">
        <f>+IngresosBrutos!L15-PagoCorpac!L15-RetribucionEstado!L15-RetribucionOsitran!L15</f>
        <v>279355.61618775001</v>
      </c>
      <c r="M15" s="63">
        <f>+IngresosBrutos!M15-PagoCorpac!M15-RetribucionEstado!M15-RetribucionOsitran!M15</f>
        <v>370932.7699151999</v>
      </c>
      <c r="N15" s="63">
        <f>+IngresosBrutos!N15-PagoCorpac!N15-RetribucionEstado!N15-RetribucionOsitran!N15</f>
        <v>420956.58091005101</v>
      </c>
      <c r="O15" s="63">
        <f>+IngresosBrutos!O15-PagoCorpac!O15-RetribucionEstado!O15-RetribucionOsitran!O15</f>
        <v>437001.40802747844</v>
      </c>
    </row>
    <row r="16" spans="1:15">
      <c r="B16" s="60" t="str">
        <f>+IngresosBrutos!B16</f>
        <v>AIN-Más de 100 t</v>
      </c>
      <c r="C16" s="64">
        <f>+IngresosBrutos!C16-PagoCorpac!C16-RetribucionEstado!C16-RetribucionOsitran!C16</f>
        <v>701335.50026155682</v>
      </c>
      <c r="D16" s="64">
        <f>+IngresosBrutos!D16-PagoCorpac!D16-RetribucionEstado!D16-RetribucionOsitran!D16</f>
        <v>766826.71192889987</v>
      </c>
      <c r="E16" s="64">
        <f>+IngresosBrutos!E16-PagoCorpac!E16-RetribucionEstado!E16-RetribucionOsitran!E16</f>
        <v>751479.53759144992</v>
      </c>
      <c r="F16" s="64">
        <f>+IngresosBrutos!F16-PagoCorpac!F16-RetribucionEstado!F16-RetribucionOsitran!F16</f>
        <v>867165.55570260005</v>
      </c>
      <c r="G16" s="64">
        <f>+IngresosBrutos!G16-PagoCorpac!G16-RetribucionEstado!G16-RetribucionOsitran!G16</f>
        <v>995716.71060839994</v>
      </c>
      <c r="H16" s="64">
        <f>+IngresosBrutos!H16-PagoCorpac!H16-RetribucionEstado!H16-RetribucionOsitran!H16</f>
        <v>995716.71060839994</v>
      </c>
      <c r="I16" s="64">
        <f>+IngresosBrutos!I16-PagoCorpac!I16-RetribucionEstado!I16-RetribucionOsitran!I16</f>
        <v>1021129.5184704259</v>
      </c>
      <c r="J16" s="64">
        <f>+IngresosBrutos!J16-PagoCorpac!J16-RetribucionEstado!J16-RetribucionOsitran!J16</f>
        <v>1021246.2852245999</v>
      </c>
      <c r="K16" s="64">
        <f>+IngresosBrutos!K16-PagoCorpac!K16-RetribucionEstado!K16-RetribucionOsitran!K16</f>
        <v>1041813.0333634464</v>
      </c>
      <c r="L16" s="64">
        <f>+IngresosBrutos!L16-PagoCorpac!L16-RetribucionEstado!L16-RetribucionOsitran!L16</f>
        <v>1169796.6533411958</v>
      </c>
      <c r="M16" s="64">
        <f>+IngresosBrutos!M16-PagoCorpac!M16-RetribucionEstado!M16-RetribucionOsitran!M16</f>
        <v>1296178.2033817524</v>
      </c>
      <c r="N16" s="64">
        <f>+IngresosBrutos!N16-PagoCorpac!N16-RetribucionEstado!N16-RetribucionOsitran!N16</f>
        <v>1269574.4395030569</v>
      </c>
      <c r="O16" s="64">
        <f>+IngresosBrutos!O16-PagoCorpac!O16-RetribucionEstado!O16-RetribucionOsitran!O16</f>
        <v>1289880.1538584949</v>
      </c>
    </row>
    <row r="17" spans="2:15">
      <c r="B17" s="53" t="str">
        <f>+IngresosBrutos!B17</f>
        <v>DID-Hasta 10 t</v>
      </c>
      <c r="C17" s="63">
        <f>+IngresosBrutos!C17-PagoCorpac!C17-RetribucionEstado!C17-RetribucionOsitran!C17</f>
        <v>1573.4532918149755</v>
      </c>
      <c r="D17" s="63">
        <f>+IngresosBrutos!D17-PagoCorpac!D17-RetribucionEstado!D17-RetribucionOsitran!D17</f>
        <v>1372.49335845</v>
      </c>
      <c r="E17" s="63">
        <f>+IngresosBrutos!E17-PagoCorpac!E17-RetribucionEstado!E17-RetribucionOsitran!E17</f>
        <v>1385.2034180999999</v>
      </c>
      <c r="F17" s="63">
        <f>+IngresosBrutos!F17-PagoCorpac!F17-RetribucionEstado!F17-RetribucionOsitran!F17</f>
        <v>1438.7262335999999</v>
      </c>
      <c r="G17" s="63">
        <f>+IngresosBrutos!G17-PagoCorpac!G17-RetribucionEstado!G17-RetribucionOsitran!G17</f>
        <v>1376.65881855</v>
      </c>
      <c r="H17" s="63">
        <f>+IngresosBrutos!H17-PagoCorpac!H17-RetribucionEstado!H17-RetribucionOsitran!H17</f>
        <v>1376.65881855</v>
      </c>
      <c r="I17" s="63">
        <f>+IngresosBrutos!I17-PagoCorpac!I17-RetribucionEstado!I17-RetribucionOsitran!I17</f>
        <v>1524.5815666499998</v>
      </c>
      <c r="J17" s="63">
        <f>+IngresosBrutos!J17-PagoCorpac!J17-RetribucionEstado!J17-RetribucionOsitran!J17</f>
        <v>1938.818295</v>
      </c>
      <c r="K17" s="63">
        <f>+IngresosBrutos!K17-PagoCorpac!K17-RetribucionEstado!K17-RetribucionOsitran!K17</f>
        <v>2288.943495</v>
      </c>
      <c r="L17" s="63">
        <f>+IngresosBrutos!L17-PagoCorpac!L17-RetribucionEstado!L17-RetribucionOsitran!L17</f>
        <v>2428.6537475999999</v>
      </c>
      <c r="M17" s="63">
        <f>+IngresosBrutos!M17-PagoCorpac!M17-RetribucionEstado!M17-RetribucionOsitran!M17</f>
        <v>2761.7721308999999</v>
      </c>
      <c r="N17" s="63">
        <f>+IngresosBrutos!N17-PagoCorpac!N17-RetribucionEstado!N17-RetribucionOsitran!N17</f>
        <v>2432.7728676000002</v>
      </c>
      <c r="O17" s="63">
        <f>+IngresosBrutos!O17-PagoCorpac!O17-RetribucionEstado!O17-RetribucionOsitran!O17</f>
        <v>2772.0390374999806</v>
      </c>
    </row>
    <row r="18" spans="2:15">
      <c r="B18" s="60" t="str">
        <f>+IngresosBrutos!B18</f>
        <v>DID-Más de 10 t hasta 35 t</v>
      </c>
      <c r="C18" s="64">
        <f>+IngresosBrutos!C18-PagoCorpac!C18-RetribucionEstado!C18-RetribucionOsitran!C18</f>
        <v>3576.9366545334669</v>
      </c>
      <c r="D18" s="64">
        <f>+IngresosBrutos!D18-PagoCorpac!D18-RetribucionEstado!D18-RetribucionOsitran!D18</f>
        <v>4406.6680438500007</v>
      </c>
      <c r="E18" s="64">
        <f>+IngresosBrutos!E18-PagoCorpac!E18-RetribucionEstado!E18-RetribucionOsitran!E18</f>
        <v>5456.7192631499993</v>
      </c>
      <c r="F18" s="64">
        <f>+IngresosBrutos!F18-PagoCorpac!F18-RetribucionEstado!F18-RetribucionOsitran!F18</f>
        <v>3953.3563133999996</v>
      </c>
      <c r="G18" s="64">
        <f>+IngresosBrutos!G18-PagoCorpac!G18-RetribucionEstado!G18-RetribucionOsitran!G18</f>
        <v>2301.9650630999995</v>
      </c>
      <c r="H18" s="64">
        <f>+IngresosBrutos!H18-PagoCorpac!H18-RetribucionEstado!H18-RetribucionOsitran!H18</f>
        <v>2301.9650630999995</v>
      </c>
      <c r="I18" s="64">
        <f>+IngresosBrutos!I18-PagoCorpac!I18-RetribucionEstado!I18-RetribucionOsitran!I18</f>
        <v>2081.4608461500002</v>
      </c>
      <c r="J18" s="64">
        <f>+IngresosBrutos!J18-PagoCorpac!J18-RetribucionEstado!J18-RetribucionOsitran!J18</f>
        <v>2520.3427843499999</v>
      </c>
      <c r="K18" s="64">
        <f>+IngresosBrutos!K18-PagoCorpac!K18-RetribucionEstado!K18-RetribucionOsitran!K18</f>
        <v>3156.0362761499996</v>
      </c>
      <c r="L18" s="64">
        <f>+IngresosBrutos!L18-PagoCorpac!L18-RetribucionEstado!L18-RetribucionOsitran!L18</f>
        <v>2787.9826063499995</v>
      </c>
      <c r="M18" s="64">
        <f>+IngresosBrutos!M18-PagoCorpac!M18-RetribucionEstado!M18-RetribucionOsitran!M18</f>
        <v>3796.9687736999999</v>
      </c>
      <c r="N18" s="64">
        <f>+IngresosBrutos!N18-PagoCorpac!N18-RetribucionEstado!N18-RetribucionOsitran!N18</f>
        <v>4059.1610595000002</v>
      </c>
      <c r="O18" s="64">
        <f>+IngresosBrutos!O18-PagoCorpac!O18-RetribucionEstado!O18-RetribucionOsitran!O18</f>
        <v>4984.0193497500049</v>
      </c>
    </row>
    <row r="19" spans="2:15">
      <c r="B19" s="53" t="str">
        <f>+IngresosBrutos!B19</f>
        <v>DID-Más de 35 t hasta 70 t</v>
      </c>
      <c r="C19" s="63">
        <f>+IngresosBrutos!C19-PagoCorpac!C19-RetribucionEstado!C19-RetribucionOsitran!C19</f>
        <v>24379.614948680857</v>
      </c>
      <c r="D19" s="63">
        <f>+IngresosBrutos!D19-PagoCorpac!D19-RetribucionEstado!D19-RetribucionOsitran!D19</f>
        <v>20238.315254549998</v>
      </c>
      <c r="E19" s="63">
        <f>+IngresosBrutos!E19-PagoCorpac!E19-RetribucionEstado!E19-RetribucionOsitran!E19</f>
        <v>13903.5025854</v>
      </c>
      <c r="F19" s="63">
        <f>+IngresosBrutos!F19-PagoCorpac!F19-RetribucionEstado!F19-RetribucionOsitran!F19</f>
        <v>11671.220160449999</v>
      </c>
      <c r="G19" s="63">
        <f>+IngresosBrutos!G19-PagoCorpac!G19-RetribucionEstado!G19-RetribucionOsitran!G19</f>
        <v>19353.837212549999</v>
      </c>
      <c r="H19" s="63">
        <f>+IngresosBrutos!H19-PagoCorpac!H19-RetribucionEstado!H19-RetribucionOsitran!H19</f>
        <v>19353.837212549999</v>
      </c>
      <c r="I19" s="63">
        <f>+IngresosBrutos!I19-PagoCorpac!I19-RetribucionEstado!I19-RetribucionOsitran!I19</f>
        <v>30548.822739749856</v>
      </c>
      <c r="J19" s="63">
        <f>+IngresosBrutos!J19-PagoCorpac!J19-RetribucionEstado!J19-RetribucionOsitran!J19</f>
        <v>59710.593606299997</v>
      </c>
      <c r="K19" s="63">
        <f>+IngresosBrutos!K19-PagoCorpac!K19-RetribucionEstado!K19-RetribucionOsitran!K19</f>
        <v>72259.44892065</v>
      </c>
      <c r="L19" s="63">
        <f>+IngresosBrutos!L19-PagoCorpac!L19-RetribucionEstado!L19-RetribucionOsitran!L19</f>
        <v>118316.8897573498</v>
      </c>
      <c r="M19" s="63">
        <f>+IngresosBrutos!M19-PagoCorpac!M19-RetribucionEstado!M19-RetribucionOsitran!M19</f>
        <v>81415.835619749923</v>
      </c>
      <c r="N19" s="63">
        <f>+IngresosBrutos!N19-PagoCorpac!N19-RetribucionEstado!N19-RetribucionOsitran!N19</f>
        <v>141186.94424775013</v>
      </c>
      <c r="O19" s="63">
        <f>+IngresosBrutos!O19-PagoCorpac!O19-RetribucionEstado!O19-RetribucionOsitran!O19</f>
        <v>189277.05237975728</v>
      </c>
    </row>
    <row r="20" spans="2:15">
      <c r="B20" s="60" t="str">
        <f>+IngresosBrutos!B20</f>
        <v>DID-Más de 70 t hasta 100 t</v>
      </c>
      <c r="C20" s="64">
        <f>+IngresosBrutos!C20-PagoCorpac!C20-RetribucionEstado!C20-RetribucionOsitran!C20</f>
        <v>202689.42607590155</v>
      </c>
      <c r="D20" s="64">
        <f>+IngresosBrutos!D20-PagoCorpac!D20-RetribucionEstado!D20-RetribucionOsitran!D20</f>
        <v>197210.37452174973</v>
      </c>
      <c r="E20" s="64">
        <f>+IngresosBrutos!E20-PagoCorpac!E20-RetribucionEstado!E20-RetribucionOsitran!E20</f>
        <v>178408.66415399997</v>
      </c>
      <c r="F20" s="64">
        <f>+IngresosBrutos!F20-PagoCorpac!F20-RetribucionEstado!F20-RetribucionOsitran!F20</f>
        <v>200372.31401175025</v>
      </c>
      <c r="G20" s="64">
        <f>+IngresosBrutos!G20-PagoCorpac!G20-RetribucionEstado!G20-RetribucionOsitran!G20</f>
        <v>224090.26875855023</v>
      </c>
      <c r="H20" s="64">
        <f>+IngresosBrutos!H20-PagoCorpac!H20-RetribucionEstado!H20-RetribucionOsitran!H20</f>
        <v>224090.26875855023</v>
      </c>
      <c r="I20" s="64">
        <f>+IngresosBrutos!I20-PagoCorpac!I20-RetribucionEstado!I20-RetribucionOsitran!I20</f>
        <v>191203.32280545236</v>
      </c>
      <c r="J20" s="64">
        <f>+IngresosBrutos!J20-PagoCorpac!J20-RetribucionEstado!J20-RetribucionOsitran!J20</f>
        <v>220340.71363049964</v>
      </c>
      <c r="K20" s="64">
        <f>+IngresosBrutos!K20-PagoCorpac!K20-RetribucionEstado!K20-RetribucionOsitran!K20</f>
        <v>257788.24369514981</v>
      </c>
      <c r="L20" s="64">
        <f>+IngresosBrutos!L20-PagoCorpac!L20-RetribucionEstado!L20-RetribucionOsitran!L20</f>
        <v>289988.81295929867</v>
      </c>
      <c r="M20" s="64">
        <f>+IngresosBrutos!M20-PagoCorpac!M20-RetribucionEstado!M20-RetribucionOsitran!M20</f>
        <v>344210.63282550173</v>
      </c>
      <c r="N20" s="64">
        <f>+IngresosBrutos!N20-PagoCorpac!N20-RetribucionEstado!N20-RetribucionOsitran!N20</f>
        <v>411517.81823715259</v>
      </c>
      <c r="O20" s="64">
        <f>+IngresosBrutos!O20-PagoCorpac!O20-RetribucionEstado!O20-RetribucionOsitran!O20</f>
        <v>424709.50084423431</v>
      </c>
    </row>
    <row r="21" spans="2:15">
      <c r="B21" s="53" t="str">
        <f>+IngresosBrutos!B21</f>
        <v>DID-Más de 100 t</v>
      </c>
      <c r="C21" s="63">
        <f>+IngresosBrutos!C21-PagoCorpac!C21-RetribucionEstado!C21-RetribucionOsitran!C21</f>
        <v>357654.30661981879</v>
      </c>
      <c r="D21" s="63">
        <f>+IngresosBrutos!D21-PagoCorpac!D21-RetribucionEstado!D21-RetribucionOsitran!D21</f>
        <v>368916.24957029999</v>
      </c>
      <c r="E21" s="63">
        <f>+IngresosBrutos!E21-PagoCorpac!E21-RetribucionEstado!E21-RetribucionOsitran!E21</f>
        <v>424119.33135180001</v>
      </c>
      <c r="F21" s="63">
        <f>+IngresosBrutos!F21-PagoCorpac!F21-RetribucionEstado!F21-RetribucionOsitran!F21</f>
        <v>477806.53578209999</v>
      </c>
      <c r="G21" s="63">
        <f>+IngresosBrutos!G21-PagoCorpac!G21-RetribucionEstado!G21-RetribucionOsitran!G21</f>
        <v>518694.23902049998</v>
      </c>
      <c r="H21" s="63">
        <f>+IngresosBrutos!H21-PagoCorpac!H21-RetribucionEstado!H21-RetribucionOsitran!H21</f>
        <v>518694.23902049998</v>
      </c>
      <c r="I21" s="63">
        <f>+IngresosBrutos!I21-PagoCorpac!I21-RetribucionEstado!I21-RetribucionOsitran!I21</f>
        <v>492214.24440000678</v>
      </c>
      <c r="J21" s="63">
        <f>+IngresosBrutos!J21-PagoCorpac!J21-RetribucionEstado!J21-RetribucionOsitran!J21</f>
        <v>539257.41897164995</v>
      </c>
      <c r="K21" s="63">
        <f>+IngresosBrutos!K21-PagoCorpac!K21-RetribucionEstado!K21-RetribucionOsitran!K21</f>
        <v>554169.5421524999</v>
      </c>
      <c r="L21" s="63">
        <f>+IngresosBrutos!L21-PagoCorpac!L21-RetribucionEstado!L21-RetribucionOsitran!L21</f>
        <v>557867.93523570022</v>
      </c>
      <c r="M21" s="63">
        <f>+IngresosBrutos!M21-PagoCorpac!M21-RetribucionEstado!M21-RetribucionOsitran!M21</f>
        <v>649495.54560870025</v>
      </c>
      <c r="N21" s="63">
        <f>+IngresosBrutos!N21-PagoCorpac!N21-RetribucionEstado!N21-RetribucionOsitran!N21</f>
        <v>645081.39106425061</v>
      </c>
      <c r="O21" s="63">
        <f>+IngresosBrutos!O21-PagoCorpac!O21-RetribucionEstado!O21-RetribucionOsitran!O21</f>
        <v>801949.420963321</v>
      </c>
    </row>
    <row r="22" spans="2:15">
      <c r="B22" s="60" t="str">
        <f>+IngresosBrutos!B22</f>
        <v>DIN-Hasta 10 t</v>
      </c>
      <c r="C22" s="64">
        <f>+IngresosBrutos!C22-PagoCorpac!C22-RetribucionEstado!C22-RetribucionOsitran!C22</f>
        <v>160.68958403478118</v>
      </c>
      <c r="D22" s="64">
        <f>+IngresosBrutos!D22-PagoCorpac!D22-RetribucionEstado!D22-RetribucionOsitran!D22</f>
        <v>103.97173769999999</v>
      </c>
      <c r="E22" s="64">
        <f>+IngresosBrutos!E22-PagoCorpac!E22-RetribucionEstado!E22-RetribucionOsitran!E22</f>
        <v>122.25805604999998</v>
      </c>
      <c r="F22" s="64">
        <f>+IngresosBrutos!F22-PagoCorpac!F22-RetribucionEstado!F22-RetribucionOsitran!F22</f>
        <v>157.67991359999999</v>
      </c>
      <c r="G22" s="64">
        <f>+IngresosBrutos!G22-PagoCorpac!G22-RetribucionEstado!G22-RetribucionOsitran!G22</f>
        <v>167.75631089999999</v>
      </c>
      <c r="H22" s="64">
        <f>+IngresosBrutos!H22-PagoCorpac!H22-RetribucionEstado!H22-RetribucionOsitran!H22</f>
        <v>167.75631089999999</v>
      </c>
      <c r="I22" s="64">
        <f>+IngresosBrutos!I22-PagoCorpac!I22-RetribucionEstado!I22-RetribucionOsitran!I22</f>
        <v>115.84252664999998</v>
      </c>
      <c r="J22" s="64">
        <f>+IngresosBrutos!J22-PagoCorpac!J22-RetribucionEstado!J22-RetribucionOsitran!J22</f>
        <v>206.35503974999997</v>
      </c>
      <c r="K22" s="64">
        <f>+IngresosBrutos!K22-PagoCorpac!K22-RetribucionEstado!K22-RetribucionOsitran!K22</f>
        <v>236.55333824999997</v>
      </c>
      <c r="L22" s="64">
        <f>+IngresosBrutos!L22-PagoCorpac!L22-RetribucionEstado!L22-RetribucionOsitran!L22</f>
        <v>136.58744474999997</v>
      </c>
      <c r="M22" s="64">
        <f>+IngresosBrutos!M22-PagoCorpac!M22-RetribucionEstado!M22-RetribucionOsitran!M22</f>
        <v>268.95021704999999</v>
      </c>
      <c r="N22" s="64">
        <f>+IngresosBrutos!N22-PagoCorpac!N22-RetribucionEstado!N22-RetribucionOsitran!N22</f>
        <v>333.97824959999997</v>
      </c>
      <c r="O22" s="64">
        <f>+IngresosBrutos!O22-PagoCorpac!O22-RetribucionEstado!O22-RetribucionOsitran!O22</f>
        <v>333.9782495999998</v>
      </c>
    </row>
    <row r="23" spans="2:15">
      <c r="B23" s="53" t="str">
        <f>+IngresosBrutos!B23</f>
        <v>DIN-Más de 10 t hasta 35 t</v>
      </c>
      <c r="C23" s="63">
        <f>+IngresosBrutos!C23-PagoCorpac!C23-RetribucionEstado!C23-RetribucionOsitran!C23</f>
        <v>461.59336339974743</v>
      </c>
      <c r="D23" s="63">
        <f>+IngresosBrutos!D23-PagoCorpac!D23-RetribucionEstado!D23-RetribucionOsitran!D23</f>
        <v>824.44959134999988</v>
      </c>
      <c r="E23" s="63">
        <f>+IngresosBrutos!E23-PagoCorpac!E23-RetribucionEstado!E23-RetribucionOsitran!E23</f>
        <v>814.54053329999999</v>
      </c>
      <c r="F23" s="63">
        <f>+IngresosBrutos!F23-PagoCorpac!F23-RetribucionEstado!F23-RetribucionOsitran!F23</f>
        <v>674.41579424999998</v>
      </c>
      <c r="G23" s="63">
        <f>+IngresosBrutos!G23-PagoCorpac!G23-RetribucionEstado!G23-RetribucionOsitran!G23</f>
        <v>575.31234149999989</v>
      </c>
      <c r="H23" s="63">
        <f>+IngresosBrutos!H23-PagoCorpac!H23-RetribucionEstado!H23-RetribucionOsitran!H23</f>
        <v>575.31234149999989</v>
      </c>
      <c r="I23" s="63">
        <f>+IngresosBrutos!I23-PagoCorpac!I23-RetribucionEstado!I23-RetribucionOsitran!I23</f>
        <v>967.4602888500001</v>
      </c>
      <c r="J23" s="63">
        <f>+IngresosBrutos!J23-PagoCorpac!J23-RetribucionEstado!J23-RetribucionOsitran!J23</f>
        <v>1016.8099208999997</v>
      </c>
      <c r="K23" s="63">
        <f>+IngresosBrutos!K23-PagoCorpac!K23-RetribucionEstado!K23-RetribucionOsitran!K23</f>
        <v>876.79073429999983</v>
      </c>
      <c r="L23" s="63">
        <f>+IngresosBrutos!L23-PagoCorpac!L23-RetribucionEstado!L23-RetribucionOsitran!L23</f>
        <v>890.13410865000014</v>
      </c>
      <c r="M23" s="63">
        <f>+IngresosBrutos!M23-PagoCorpac!M23-RetribucionEstado!M23-RetribucionOsitran!M23</f>
        <v>1237.3913713500001</v>
      </c>
      <c r="N23" s="63">
        <f>+IngresosBrutos!N23-PagoCorpac!N23-RetribucionEstado!N23-RetribucionOsitran!N23</f>
        <v>1391.6215219500002</v>
      </c>
      <c r="O23" s="63">
        <f>+IngresosBrutos!O23-PagoCorpac!O23-RetribucionEstado!O23-RetribucionOsitran!O23</f>
        <v>1711.1854260000007</v>
      </c>
    </row>
    <row r="24" spans="2:15">
      <c r="B24" s="60" t="str">
        <f>+IngresosBrutos!B24</f>
        <v>DIN-Más de 35 t hasta 70 t</v>
      </c>
      <c r="C24" s="64">
        <f>+IngresosBrutos!C24-PagoCorpac!C24-RetribucionEstado!C24-RetribucionOsitran!C24</f>
        <v>5477.0814575355198</v>
      </c>
      <c r="D24" s="64">
        <f>+IngresosBrutos!D24-PagoCorpac!D24-RetribucionEstado!D24-RetribucionOsitran!D24</f>
        <v>21524.399773199999</v>
      </c>
      <c r="E24" s="64">
        <f>+IngresosBrutos!E24-PagoCorpac!E24-RetribucionEstado!E24-RetribucionOsitran!E24</f>
        <v>8931.8097022500006</v>
      </c>
      <c r="F24" s="64">
        <f>+IngresosBrutos!F24-PagoCorpac!F24-RetribucionEstado!F24-RetribucionOsitran!F24</f>
        <v>10143.86076225</v>
      </c>
      <c r="G24" s="64">
        <f>+IngresosBrutos!G24-PagoCorpac!G24-RetribucionEstado!G24-RetribucionOsitran!G24</f>
        <v>2251.4028650999999</v>
      </c>
      <c r="H24" s="64">
        <f>+IngresosBrutos!H24-PagoCorpac!H24-RetribucionEstado!H24-RetribucionOsitran!H24</f>
        <v>2251.4028650999999</v>
      </c>
      <c r="I24" s="64">
        <f>+IngresosBrutos!I24-PagoCorpac!I24-RetribucionEstado!I24-RetribucionOsitran!I24</f>
        <v>24450.645791250001</v>
      </c>
      <c r="J24" s="64">
        <f>+IngresosBrutos!J24-PagoCorpac!J24-RetribucionEstado!J24-RetribucionOsitran!J24</f>
        <v>62615.4588171</v>
      </c>
      <c r="K24" s="64">
        <f>+IngresosBrutos!K24-PagoCorpac!K24-RetribucionEstado!K24-RetribucionOsitran!K24</f>
        <v>70747.23758624999</v>
      </c>
      <c r="L24" s="64">
        <f>+IngresosBrutos!L24-PagoCorpac!L24-RetribucionEstado!L24-RetribucionOsitran!L24</f>
        <v>95059.051012349955</v>
      </c>
      <c r="M24" s="64">
        <f>+IngresosBrutos!M24-PagoCorpac!M24-RetribucionEstado!M24-RetribucionOsitran!M24</f>
        <v>86280.524063099874</v>
      </c>
      <c r="N24" s="64">
        <f>+IngresosBrutos!N24-PagoCorpac!N24-RetribucionEstado!N24-RetribucionOsitran!N24</f>
        <v>151338.40221194949</v>
      </c>
      <c r="O24" s="64">
        <f>+IngresosBrutos!O24-PagoCorpac!O24-RetribucionEstado!O24-RetribucionOsitran!O24</f>
        <v>127852.07845500213</v>
      </c>
    </row>
    <row r="25" spans="2:15">
      <c r="B25" s="53" t="str">
        <f>+IngresosBrutos!B25</f>
        <v>DIN-Más de 70 t hasta 100 t</v>
      </c>
      <c r="C25" s="63">
        <f>+IngresosBrutos!C25-PagoCorpac!C25-RetribucionEstado!C25-RetribucionOsitran!C25</f>
        <v>148953.5626557823</v>
      </c>
      <c r="D25" s="63">
        <f>+IngresosBrutos!D25-PagoCorpac!D25-RetribucionEstado!D25-RetribucionOsitran!D25</f>
        <v>124682.91248385</v>
      </c>
      <c r="E25" s="63">
        <f>+IngresosBrutos!E25-PagoCorpac!E25-RetribucionEstado!E25-RetribucionOsitran!E25</f>
        <v>121657.1330799</v>
      </c>
      <c r="F25" s="63">
        <f>+IngresosBrutos!F25-PagoCorpac!F25-RetribucionEstado!F25-RetribucionOsitran!F25</f>
        <v>144873.78577379996</v>
      </c>
      <c r="G25" s="63">
        <f>+IngresosBrutos!G25-PagoCorpac!G25-RetribucionEstado!G25-RetribucionOsitran!G25</f>
        <v>131291.74446210027</v>
      </c>
      <c r="H25" s="63">
        <f>+IngresosBrutos!H25-PagoCorpac!H25-RetribucionEstado!H25-RetribucionOsitran!H25</f>
        <v>131291.74446210027</v>
      </c>
      <c r="I25" s="63">
        <f>+IngresosBrutos!I25-PagoCorpac!I25-RetribucionEstado!I25-RetribucionOsitran!I25</f>
        <v>150007.72821930025</v>
      </c>
      <c r="J25" s="63">
        <f>+IngresosBrutos!J25-PagoCorpac!J25-RetribucionEstado!J25-RetribucionOsitran!J25</f>
        <v>259211.71116359998</v>
      </c>
      <c r="K25" s="63">
        <f>+IngresosBrutos!K25-PagoCorpac!K25-RetribucionEstado!K25-RetribucionOsitran!K25</f>
        <v>310943.93490180006</v>
      </c>
      <c r="L25" s="63">
        <f>+IngresosBrutos!L25-PagoCorpac!L25-RetribucionEstado!L25-RetribucionOsitran!L25</f>
        <v>284450.29054740007</v>
      </c>
      <c r="M25" s="63">
        <f>+IngresosBrutos!M25-PagoCorpac!M25-RetribucionEstado!M25-RetribucionOsitran!M25</f>
        <v>366727.53971159941</v>
      </c>
      <c r="N25" s="63">
        <f>+IngresosBrutos!N25-PagoCorpac!N25-RetribucionEstado!N25-RetribucionOsitran!N25</f>
        <v>402445.14750314999</v>
      </c>
      <c r="O25" s="63">
        <f>+IngresosBrutos!O25-PagoCorpac!O25-RetribucionEstado!O25-RetribucionOsitran!O25</f>
        <v>438704.55859502708</v>
      </c>
    </row>
    <row r="26" spans="2:15">
      <c r="B26" s="60" t="str">
        <f>+IngresosBrutos!B26</f>
        <v>DIN-Más de 100 t</v>
      </c>
      <c r="C26" s="64">
        <f>+IngresosBrutos!C26-PagoCorpac!C26-RetribucionEstado!C26-RetribucionOsitran!C26</f>
        <v>658690.66881745809</v>
      </c>
      <c r="D26" s="64">
        <f>+IngresosBrutos!D26-PagoCorpac!D26-RetribucionEstado!D26-RetribucionOsitran!D26</f>
        <v>680251.90506074997</v>
      </c>
      <c r="E26" s="64">
        <f>+IngresosBrutos!E26-PagoCorpac!E26-RetribucionEstado!E26-RetribucionOsitran!E26</f>
        <v>699448.02374294994</v>
      </c>
      <c r="F26" s="64">
        <f>+IngresosBrutos!F26-PagoCorpac!F26-RetribucionEstado!F26-RetribucionOsitran!F26</f>
        <v>676346.21726355003</v>
      </c>
      <c r="G26" s="64">
        <f>+IngresosBrutos!G26-PagoCorpac!G26-RetribucionEstado!G26-RetribucionOsitran!G26</f>
        <v>910485.91853279993</v>
      </c>
      <c r="H26" s="64">
        <f>+IngresosBrutos!H26-PagoCorpac!H26-RetribucionEstado!H26-RetribucionOsitran!H26</f>
        <v>910485.91853279993</v>
      </c>
      <c r="I26" s="64">
        <f>+IngresosBrutos!I26-PagoCorpac!I26-RetribucionEstado!I26-RetribucionOsitran!I26</f>
        <v>1110638.989808118</v>
      </c>
      <c r="J26" s="64">
        <f>+IngresosBrutos!J26-PagoCorpac!J26-RetribucionEstado!J26-RetribucionOsitran!J26</f>
        <v>1001454.2199841477</v>
      </c>
      <c r="K26" s="64">
        <f>+IngresosBrutos!K26-PagoCorpac!K26-RetribucionEstado!K26-RetribucionOsitran!K26</f>
        <v>1016784.5265251966</v>
      </c>
      <c r="L26" s="64">
        <f>+IngresosBrutos!L26-PagoCorpac!L26-RetribucionEstado!L26-RetribucionOsitran!L26</f>
        <v>1149533.502367496</v>
      </c>
      <c r="M26" s="64">
        <f>+IngresosBrutos!M26-PagoCorpac!M26-RetribucionEstado!M26-RetribucionOsitran!M26</f>
        <v>1242247.0389205529</v>
      </c>
      <c r="N26" s="64">
        <f>+IngresosBrutos!N26-PagoCorpac!N26-RetribucionEstado!N26-RetribucionOsitran!N26</f>
        <v>1259599.6377234063</v>
      </c>
      <c r="O26" s="64">
        <f>+IngresosBrutos!O26-PagoCorpac!O26-RetribucionEstado!O26-RetribucionOsitran!O26</f>
        <v>1250058.581854118</v>
      </c>
    </row>
    <row r="27" spans="2:15">
      <c r="B27" s="53" t="str">
        <f>+IngresosBrutos!B27</f>
        <v>AND-Hasta 10 t</v>
      </c>
      <c r="C27" s="63">
        <f>+IngresosBrutos!C27-PagoCorpac!C27-RetribucionEstado!C27-RetribucionOsitran!C27</f>
        <v>3149.8057932878169</v>
      </c>
      <c r="D27" s="63">
        <f>+IngresosBrutos!D27-PagoCorpac!D27-RetribucionEstado!D27-RetribucionOsitran!D27</f>
        <v>3782.7011717999994</v>
      </c>
      <c r="E27" s="63">
        <f>+IngresosBrutos!E27-PagoCorpac!E27-RetribucionEstado!E27-RetribucionOsitran!E27</f>
        <v>3519.2062142999998</v>
      </c>
      <c r="F27" s="63">
        <f>+IngresosBrutos!F27-PagoCorpac!F27-RetribucionEstado!F27-RetribucionOsitran!F27</f>
        <v>6809.0212102500509</v>
      </c>
      <c r="G27" s="63">
        <f>+IngresosBrutos!G27-PagoCorpac!G27-RetribucionEstado!G27-RetribucionOsitran!G27</f>
        <v>6328.314757350051</v>
      </c>
      <c r="H27" s="63">
        <f>+IngresosBrutos!H27-PagoCorpac!H27-RetribucionEstado!H27-RetribucionOsitran!H27</f>
        <v>6328.314757350051</v>
      </c>
      <c r="I27" s="63">
        <f>+IngresosBrutos!I27-PagoCorpac!I27-RetribucionEstado!I27-RetribucionOsitran!I27</f>
        <v>8228.5652168995366</v>
      </c>
      <c r="J27" s="63">
        <f>+IngresosBrutos!J27-PagoCorpac!J27-RetribucionEstado!J27-RetribucionOsitran!J27</f>
        <v>7707.1953262500538</v>
      </c>
      <c r="K27" s="63">
        <f>+IngresosBrutos!K27-PagoCorpac!K27-RetribucionEstado!K27-RetribucionOsitran!K27</f>
        <v>9033.6163275000399</v>
      </c>
      <c r="L27" s="63">
        <f>+IngresosBrutos!L27-PagoCorpac!L27-RetribucionEstado!L27-RetribucionOsitran!L27</f>
        <v>10136.443771800046</v>
      </c>
      <c r="M27" s="63">
        <f>+IngresosBrutos!M27-PagoCorpac!M27-RetribucionEstado!M27-RetribucionOsitran!M27</f>
        <v>10359.627991200074</v>
      </c>
      <c r="N27" s="63">
        <f>+IngresosBrutos!N27-PagoCorpac!N27-RetribucionEstado!N27-RetribucionOsitran!N27</f>
        <v>7801.5103020000097</v>
      </c>
      <c r="O27" s="63">
        <f>+IngresosBrutos!O27-PagoCorpac!O27-RetribucionEstado!O27-RetribucionOsitran!O27</f>
        <v>5504.766223499676</v>
      </c>
    </row>
    <row r="28" spans="2:15">
      <c r="B28" s="60" t="str">
        <f>+IngresosBrutos!B28</f>
        <v>AND-Más de 10 t hasta 35 t</v>
      </c>
      <c r="C28" s="64">
        <f>+IngresosBrutos!C28-PagoCorpac!C28-RetribucionEstado!C28-RetribucionOsitran!C28</f>
        <v>8912.0303831771162</v>
      </c>
      <c r="D28" s="64">
        <f>+IngresosBrutos!D28-PagoCorpac!D28-RetribucionEstado!D28-RetribucionOsitran!D28</f>
        <v>9089.2115752499994</v>
      </c>
      <c r="E28" s="64">
        <f>+IngresosBrutos!E28-PagoCorpac!E28-RetribucionEstado!E28-RetribucionOsitran!E28</f>
        <v>12080.436711299999</v>
      </c>
      <c r="F28" s="64">
        <f>+IngresosBrutos!F28-PagoCorpac!F28-RetribucionEstado!F28-RetribucionOsitran!F28</f>
        <v>10074.968480249974</v>
      </c>
      <c r="G28" s="64">
        <f>+IngresosBrutos!G28-PagoCorpac!G28-RetribucionEstado!G28-RetribucionOsitran!G28</f>
        <v>9252.4008118500005</v>
      </c>
      <c r="H28" s="64">
        <f>+IngresosBrutos!H28-PagoCorpac!H28-RetribucionEstado!H28-RetribucionOsitran!H28</f>
        <v>9252.4008118500005</v>
      </c>
      <c r="I28" s="64">
        <f>+IngresosBrutos!I28-PagoCorpac!I28-RetribucionEstado!I28-RetribucionOsitran!I28</f>
        <v>11570.111211150021</v>
      </c>
      <c r="J28" s="64">
        <f>+IngresosBrutos!J28-PagoCorpac!J28-RetribucionEstado!J28-RetribucionOsitran!J28</f>
        <v>19006.973840700048</v>
      </c>
      <c r="K28" s="64">
        <f>+IngresosBrutos!K28-PagoCorpac!K28-RetribucionEstado!K28-RetribucionOsitran!K28</f>
        <v>14122.930682250018</v>
      </c>
      <c r="L28" s="64">
        <f>+IngresosBrutos!L28-PagoCorpac!L28-RetribucionEstado!L28-RetribucionOsitran!L28</f>
        <v>10900.0822797</v>
      </c>
      <c r="M28" s="64">
        <f>+IngresosBrutos!M28-PagoCorpac!M28-RetribucionEstado!M28-RetribucionOsitran!M28</f>
        <v>13302.695465549985</v>
      </c>
      <c r="N28" s="64">
        <f>+IngresosBrutos!N28-PagoCorpac!N28-RetribucionEstado!N28-RetribucionOsitran!N28</f>
        <v>15583.882142699977</v>
      </c>
      <c r="O28" s="64">
        <f>+IngresosBrutos!O28-PagoCorpac!O28-RetribucionEstado!O28-RetribucionOsitran!O28</f>
        <v>32384.565205648574</v>
      </c>
    </row>
    <row r="29" spans="2:15">
      <c r="B29" s="53" t="str">
        <f>+IngresosBrutos!B29</f>
        <v>AND-Más de 35 t hasta 70 t</v>
      </c>
      <c r="C29" s="63">
        <f>+IngresosBrutos!C29-PagoCorpac!C29-RetribucionEstado!C29-RetribucionOsitran!C29</f>
        <v>49109.114773323185</v>
      </c>
      <c r="D29" s="63">
        <f>+IngresosBrutos!D29-PagoCorpac!D29-RetribucionEstado!D29-RetribucionOsitran!D29</f>
        <v>30995.229795299998</v>
      </c>
      <c r="E29" s="63">
        <f>+IngresosBrutos!E29-PagoCorpac!E29-RetribucionEstado!E29-RetribucionOsitran!E29</f>
        <v>32485.470773399993</v>
      </c>
      <c r="F29" s="63">
        <f>+IngresosBrutos!F29-PagoCorpac!F29-RetribucionEstado!F29-RetribucionOsitran!F29</f>
        <v>25866.799247249997</v>
      </c>
      <c r="G29" s="63">
        <f>+IngresosBrutos!G29-PagoCorpac!G29-RetribucionEstado!G29-RetribucionOsitran!G29</f>
        <v>55464.447668849993</v>
      </c>
      <c r="H29" s="63">
        <f>+IngresosBrutos!H29-PagoCorpac!H29-RetribucionEstado!H29-RetribucionOsitran!H29</f>
        <v>55464.447668849993</v>
      </c>
      <c r="I29" s="63">
        <f>+IngresosBrutos!I29-PagoCorpac!I29-RetribucionEstado!I29-RetribucionOsitran!I29</f>
        <v>107299.08560249944</v>
      </c>
      <c r="J29" s="63">
        <f>+IngresosBrutos!J29-PagoCorpac!J29-RetribucionEstado!J29-RetribucionOsitran!J29</f>
        <v>169195.28942970061</v>
      </c>
      <c r="K29" s="63">
        <f>+IngresosBrutos!K29-PagoCorpac!K29-RetribucionEstado!K29-RetribucionOsitran!K29</f>
        <v>206916.97782375166</v>
      </c>
      <c r="L29" s="63">
        <f>+IngresosBrutos!L29-PagoCorpac!L29-RetribucionEstado!L29-RetribucionOsitran!L29</f>
        <v>233331.12831105076</v>
      </c>
      <c r="M29" s="63">
        <f>+IngresosBrutos!M29-PagoCorpac!M29-RetribucionEstado!M29-RetribucionOsitran!M29</f>
        <v>294795.69212789822</v>
      </c>
      <c r="N29" s="63">
        <f>+IngresosBrutos!N29-PagoCorpac!N29-RetribucionEstado!N29-RetribucionOsitran!N29</f>
        <v>348811.47618614958</v>
      </c>
      <c r="O29" s="63">
        <f>+IngresosBrutos!O29-PagoCorpac!O29-RetribucionEstado!O29-RetribucionOsitran!O29</f>
        <v>381709.70595359744</v>
      </c>
    </row>
    <row r="30" spans="2:15">
      <c r="B30" s="60" t="str">
        <f>+IngresosBrutos!B30</f>
        <v>AND-Más de 70 t hasta 100 t</v>
      </c>
      <c r="C30" s="64">
        <f>+IngresosBrutos!C30-PagoCorpac!C30-RetribucionEstado!C30-RetribucionOsitran!C30</f>
        <v>28633.332219272572</v>
      </c>
      <c r="D30" s="64">
        <f>+IngresosBrutos!D30-PagoCorpac!D30-RetribucionEstado!D30-RetribucionOsitran!D30</f>
        <v>47947.993343099988</v>
      </c>
      <c r="E30" s="64">
        <f>+IngresosBrutos!E30-PagoCorpac!E30-RetribucionEstado!E30-RetribucionOsitran!E30</f>
        <v>48172.943635199998</v>
      </c>
      <c r="F30" s="64">
        <f>+IngresosBrutos!F30-PagoCorpac!F30-RetribucionEstado!F30-RetribucionOsitran!F30</f>
        <v>55087.985845349736</v>
      </c>
      <c r="G30" s="64">
        <f>+IngresosBrutos!G30-PagoCorpac!G30-RetribucionEstado!G30-RetribucionOsitran!G30</f>
        <v>83372.474257650523</v>
      </c>
      <c r="H30" s="64">
        <f>+IngresosBrutos!H30-PagoCorpac!H30-RetribucionEstado!H30-RetribucionOsitran!H30</f>
        <v>83372.474257650523</v>
      </c>
      <c r="I30" s="64">
        <f>+IngresosBrutos!I30-PagoCorpac!I30-RetribucionEstado!I30-RetribucionOsitran!I30</f>
        <v>51869.920770900302</v>
      </c>
      <c r="J30" s="64">
        <f>+IngresosBrutos!J30-PagoCorpac!J30-RetribucionEstado!J30-RetribucionOsitran!J30</f>
        <v>12316.341288149999</v>
      </c>
      <c r="K30" s="64">
        <f>+IngresosBrutos!K30-PagoCorpac!K30-RetribucionEstado!K30-RetribucionOsitran!K30</f>
        <v>17653.073160150001</v>
      </c>
      <c r="L30" s="64">
        <f>+IngresosBrutos!L30-PagoCorpac!L30-RetribucionEstado!L30-RetribucionOsitran!L30</f>
        <v>16328.940844949999</v>
      </c>
      <c r="M30" s="64">
        <f>+IngresosBrutos!M30-PagoCorpac!M30-RetribucionEstado!M30-RetribucionOsitran!M30</f>
        <v>24447.046710150014</v>
      </c>
      <c r="N30" s="64">
        <f>+IngresosBrutos!N30-PagoCorpac!N30-RetribucionEstado!N30-RetribucionOsitran!N30</f>
        <v>24802.246151100018</v>
      </c>
      <c r="O30" s="64">
        <f>+IngresosBrutos!O30-PagoCorpac!O30-RetribucionEstado!O30-RetribucionOsitran!O30</f>
        <v>44822.618766450119</v>
      </c>
    </row>
    <row r="31" spans="2:15">
      <c r="B31" s="53" t="str">
        <f>+IngresosBrutos!B31</f>
        <v>AND-Más de 100 t</v>
      </c>
      <c r="C31" s="63">
        <f>+IngresosBrutos!C31-PagoCorpac!C31-RetribucionEstado!C31-RetribucionOsitran!C31</f>
        <v>3913.700539491193</v>
      </c>
      <c r="D31" s="63">
        <f>+IngresosBrutos!D31-PagoCorpac!D31-RetribucionEstado!D31-RetribucionOsitran!D31</f>
        <v>1948.3720789499998</v>
      </c>
      <c r="E31" s="63">
        <f>+IngresosBrutos!E31-PagoCorpac!E31-RetribucionEstado!E31-RetribucionOsitran!E31</f>
        <v>790.82469989999993</v>
      </c>
      <c r="F31" s="63">
        <f>+IngresosBrutos!F31-PagoCorpac!F31-RetribucionEstado!F31-RetribucionOsitran!F31</f>
        <v>5204.4180142499999</v>
      </c>
      <c r="G31" s="63">
        <f>+IngresosBrutos!G31-PagoCorpac!G31-RetribucionEstado!G31-RetribucionOsitran!G31</f>
        <v>835.60725764999995</v>
      </c>
      <c r="H31" s="63">
        <f>+IngresosBrutos!H31-PagoCorpac!H31-RetribucionEstado!H31-RetribucionOsitran!H31</f>
        <v>835.60725764999995</v>
      </c>
      <c r="I31" s="63">
        <f>+IngresosBrutos!I31-PagoCorpac!I31-RetribucionEstado!I31-RetribucionOsitran!I31</f>
        <v>873.32295015</v>
      </c>
      <c r="J31" s="63">
        <f>+IngresosBrutos!J31-PagoCorpac!J31-RetribucionEstado!J31-RetribucionOsitran!J31</f>
        <v>498.17924504999985</v>
      </c>
      <c r="K31" s="63">
        <f>+IngresosBrutos!K31-PagoCorpac!K31-RetribucionEstado!K31-RetribucionOsitran!K31</f>
        <v>989.07537104999994</v>
      </c>
      <c r="L31" s="63">
        <f>+IngresosBrutos!L31-PagoCorpac!L31-RetribucionEstado!L31-RetribucionOsitran!L31</f>
        <v>558.04293089999999</v>
      </c>
      <c r="M31" s="63">
        <f>+IngresosBrutos!M31-PagoCorpac!M31-RetribucionEstado!M31-RetribucionOsitran!M31</f>
        <v>525.57396749999998</v>
      </c>
      <c r="N31" s="63">
        <f>+IngresosBrutos!N31-PagoCorpac!N31-RetribucionEstado!N31-RetribucionOsitran!N31</f>
        <v>528.38526690000003</v>
      </c>
      <c r="O31" s="63">
        <f>+IngresosBrutos!O31-PagoCorpac!O31-RetribucionEstado!O31-RetribucionOsitran!O31</f>
        <v>72.589192199999999</v>
      </c>
    </row>
    <row r="32" spans="2:15">
      <c r="B32" s="60" t="str">
        <f>+IngresosBrutos!B32</f>
        <v>ANN-Hasta 10 t</v>
      </c>
      <c r="C32" s="64">
        <f>+IngresosBrutos!C32-PagoCorpac!C32-RetribucionEstado!C32-RetribucionOsitran!C32</f>
        <v>702.90834077976524</v>
      </c>
      <c r="D32" s="64">
        <f>+IngresosBrutos!D32-PagoCorpac!D32-RetribucionEstado!D32-RetribucionOsitran!D32</f>
        <v>821.70522764999998</v>
      </c>
      <c r="E32" s="64">
        <f>+IngresosBrutos!E32-PagoCorpac!E32-RetribucionEstado!E32-RetribucionOsitran!E32</f>
        <v>831.5936901</v>
      </c>
      <c r="F32" s="64">
        <f>+IngresosBrutos!F32-PagoCorpac!F32-RetribucionEstado!F32-RetribucionOsitran!F32</f>
        <v>1446.9284312999998</v>
      </c>
      <c r="G32" s="64">
        <f>+IngresosBrutos!G32-PagoCorpac!G32-RetribucionEstado!G32-RetribucionOsitran!G32</f>
        <v>1856.6907655500024</v>
      </c>
      <c r="H32" s="64">
        <f>+IngresosBrutos!H32-PagoCorpac!H32-RetribucionEstado!H32-RetribucionOsitran!H32</f>
        <v>1856.6907655500024</v>
      </c>
      <c r="I32" s="64">
        <f>+IngresosBrutos!I32-PagoCorpac!I32-RetribucionEstado!I32-RetribucionOsitran!I32</f>
        <v>2013.9278737499853</v>
      </c>
      <c r="J32" s="64">
        <f>+IngresosBrutos!J32-PagoCorpac!J32-RetribucionEstado!J32-RetribucionOsitran!J32</f>
        <v>2061.0480321000018</v>
      </c>
      <c r="K32" s="64">
        <f>+IngresosBrutos!K32-PagoCorpac!K32-RetribucionEstado!K32-RetribucionOsitran!K32</f>
        <v>2025.8141094000018</v>
      </c>
      <c r="L32" s="64">
        <f>+IngresosBrutos!L32-PagoCorpac!L32-RetribucionEstado!L32-RetribucionOsitran!L32</f>
        <v>1993.6823989500026</v>
      </c>
      <c r="M32" s="64">
        <f>+IngresosBrutos!M32-PagoCorpac!M32-RetribucionEstado!M32-RetribucionOsitran!M32</f>
        <v>1821.4310983500006</v>
      </c>
      <c r="N32" s="64">
        <f>+IngresosBrutos!N32-PagoCorpac!N32-RetribucionEstado!N32-RetribucionOsitran!N32</f>
        <v>1464.6303494999995</v>
      </c>
      <c r="O32" s="64">
        <f>+IngresosBrutos!O32-PagoCorpac!O32-RetribucionEstado!O32-RetribucionOsitran!O32</f>
        <v>813.34083960000453</v>
      </c>
    </row>
    <row r="33" spans="2:15">
      <c r="B33" s="53" t="str">
        <f>+IngresosBrutos!B33</f>
        <v>ANN-Más de 10 t hasta 35 t</v>
      </c>
      <c r="C33" s="63">
        <f>+IngresosBrutos!C33-PagoCorpac!C33-RetribucionEstado!C33-RetribucionOsitran!C33</f>
        <v>2836.8181960421612</v>
      </c>
      <c r="D33" s="63">
        <f>+IngresosBrutos!D33-PagoCorpac!D33-RetribucionEstado!D33-RetribucionOsitran!D33</f>
        <v>2779.7829830999999</v>
      </c>
      <c r="E33" s="63">
        <f>+IngresosBrutos!E33-PagoCorpac!E33-RetribucionEstado!E33-RetribucionOsitran!E33</f>
        <v>3707.8516124999996</v>
      </c>
      <c r="F33" s="63">
        <f>+IngresosBrutos!F33-PagoCorpac!F33-RetribucionEstado!F33-RetribucionOsitran!F33</f>
        <v>3856.7243326500002</v>
      </c>
      <c r="G33" s="63">
        <f>+IngresosBrutos!G33-PagoCorpac!G33-RetribucionEstado!G33-RetribucionOsitran!G33</f>
        <v>2545.2969281999999</v>
      </c>
      <c r="H33" s="63">
        <f>+IngresosBrutos!H33-PagoCorpac!H33-RetribucionEstado!H33-RetribucionOsitran!H33</f>
        <v>2545.2969281999999</v>
      </c>
      <c r="I33" s="63">
        <f>+IngresosBrutos!I33-PagoCorpac!I33-RetribucionEstado!I33-RetribucionOsitran!I33</f>
        <v>3379.7843000999997</v>
      </c>
      <c r="J33" s="63">
        <f>+IngresosBrutos!J33-PagoCorpac!J33-RetribucionEstado!J33-RetribucionOsitran!J33</f>
        <v>4497.2268970499999</v>
      </c>
      <c r="K33" s="63">
        <f>+IngresosBrutos!K33-PagoCorpac!K33-RetribucionEstado!K33-RetribucionOsitran!K33</f>
        <v>2669.9981372999996</v>
      </c>
      <c r="L33" s="63">
        <f>+IngresosBrutos!L33-PagoCorpac!L33-RetribucionEstado!L33-RetribucionOsitran!L33</f>
        <v>1916.2532407499998</v>
      </c>
      <c r="M33" s="63">
        <f>+IngresosBrutos!M33-PagoCorpac!M33-RetribucionEstado!M33-RetribucionOsitran!M33</f>
        <v>2829.5882928000005</v>
      </c>
      <c r="N33" s="63">
        <f>+IngresosBrutos!N33-PagoCorpac!N33-RetribucionEstado!N33-RetribucionOsitran!N33</f>
        <v>3162.6294425999999</v>
      </c>
      <c r="O33" s="63">
        <f>+IngresosBrutos!O33-PagoCorpac!O33-RetribucionEstado!O33-RetribucionOsitran!O33</f>
        <v>5526.8704512000068</v>
      </c>
    </row>
    <row r="34" spans="2:15">
      <c r="B34" s="60" t="str">
        <f>+IngresosBrutos!B34</f>
        <v>ANN-Más de 35 t hasta 70 t</v>
      </c>
      <c r="C34" s="64">
        <f>+IngresosBrutos!C34-PagoCorpac!C34-RetribucionEstado!C34-RetribucionOsitran!C34</f>
        <v>26982.794066264094</v>
      </c>
      <c r="D34" s="64">
        <f>+IngresosBrutos!D34-PagoCorpac!D34-RetribucionEstado!D34-RetribucionOsitran!D34</f>
        <v>19600.201779749998</v>
      </c>
      <c r="E34" s="64">
        <f>+IngresosBrutos!E34-PagoCorpac!E34-RetribucionEstado!E34-RetribucionOsitran!E34</f>
        <v>19399.958484299998</v>
      </c>
      <c r="F34" s="64">
        <f>+IngresosBrutos!F34-PagoCorpac!F34-RetribucionEstado!F34-RetribucionOsitran!F34</f>
        <v>14963.249183399999</v>
      </c>
      <c r="G34" s="64">
        <f>+IngresosBrutos!G34-PagoCorpac!G34-RetribucionEstado!G34-RetribucionOsitran!G34</f>
        <v>23380.763583599997</v>
      </c>
      <c r="H34" s="64">
        <f>+IngresosBrutos!H34-PagoCorpac!H34-RetribucionEstado!H34-RetribucionOsitran!H34</f>
        <v>23380.763583599997</v>
      </c>
      <c r="I34" s="64">
        <f>+IngresosBrutos!I34-PagoCorpac!I34-RetribucionEstado!I34-RetribucionOsitran!I34</f>
        <v>74291.701729501365</v>
      </c>
      <c r="J34" s="64">
        <f>+IngresosBrutos!J34-PagoCorpac!J34-RetribucionEstado!J34-RetribucionOsitran!J34</f>
        <v>125998.04709629847</v>
      </c>
      <c r="K34" s="64">
        <f>+IngresosBrutos!K34-PagoCorpac!K34-RetribucionEstado!K34-RetribucionOsitran!K34</f>
        <v>137449.81856429848</v>
      </c>
      <c r="L34" s="64">
        <f>+IngresosBrutos!L34-PagoCorpac!L34-RetribucionEstado!L34-RetribucionOsitran!L34</f>
        <v>153733.45423815175</v>
      </c>
      <c r="M34" s="64">
        <f>+IngresosBrutos!M34-PagoCorpac!M34-RetribucionEstado!M34-RetribucionOsitran!M34</f>
        <v>206263.33784099974</v>
      </c>
      <c r="N34" s="64">
        <f>+IngresosBrutos!N34-PagoCorpac!N34-RetribucionEstado!N34-RetribucionOsitran!N34</f>
        <v>234162.49544954908</v>
      </c>
      <c r="O34" s="64">
        <f>+IngresosBrutos!O34-PagoCorpac!O34-RetribucionEstado!O34-RetribucionOsitran!O34</f>
        <v>232947.70517471628</v>
      </c>
    </row>
    <row r="35" spans="2:15">
      <c r="B35" s="53" t="str">
        <f>+IngresosBrutos!B35</f>
        <v>ANN-Más de 70 t hasta 100 t</v>
      </c>
      <c r="C35" s="63">
        <f>+IngresosBrutos!C35-PagoCorpac!C35-RetribucionEstado!C35-RetribucionOsitran!C35</f>
        <v>9237.8642064694377</v>
      </c>
      <c r="D35" s="63">
        <f>+IngresosBrutos!D35-PagoCorpac!D35-RetribucionEstado!D35-RetribucionOsitran!D35</f>
        <v>19113.548347350024</v>
      </c>
      <c r="E35" s="63">
        <f>+IngresosBrutos!E35-PagoCorpac!E35-RetribucionEstado!E35-RetribucionOsitran!E35</f>
        <v>18798.644197799997</v>
      </c>
      <c r="F35" s="63">
        <f>+IngresosBrutos!F35-PagoCorpac!F35-RetribucionEstado!F35-RetribucionOsitran!F35</f>
        <v>31268.11892085</v>
      </c>
      <c r="G35" s="63">
        <f>+IngresosBrutos!G35-PagoCorpac!G35-RetribucionEstado!G35-RetribucionOsitran!G35</f>
        <v>52533.652597649991</v>
      </c>
      <c r="H35" s="63">
        <f>+IngresosBrutos!H35-PagoCorpac!H35-RetribucionEstado!H35-RetribucionOsitran!H35</f>
        <v>52533.652597649991</v>
      </c>
      <c r="I35" s="63">
        <f>+IngresosBrutos!I35-PagoCorpac!I35-RetribucionEstado!I35-RetribucionOsitran!I35</f>
        <v>33523.86745754943</v>
      </c>
      <c r="J35" s="63">
        <f>+IngresosBrutos!J35-PagoCorpac!J35-RetribucionEstado!J35-RetribucionOsitran!J35</f>
        <v>1847.1266837999999</v>
      </c>
      <c r="K35" s="63">
        <f>+IngresosBrutos!K35-PagoCorpac!K35-RetribucionEstado!K35-RetribucionOsitran!K35</f>
        <v>3140.1210262500003</v>
      </c>
      <c r="L35" s="63">
        <f>+IngresosBrutos!L35-PagoCorpac!L35-RetribucionEstado!L35-RetribucionOsitran!L35</f>
        <v>2067.8265589499997</v>
      </c>
      <c r="M35" s="63">
        <f>+IngresosBrutos!M35-PagoCorpac!M35-RetribucionEstado!M35-RetribucionOsitran!M35</f>
        <v>3417.89388345</v>
      </c>
      <c r="N35" s="63">
        <f>+IngresosBrutos!N35-PagoCorpac!N35-RetribucionEstado!N35-RetribucionOsitran!N35</f>
        <v>7291.4602679999989</v>
      </c>
      <c r="O35" s="63">
        <f>+IngresosBrutos!O35-PagoCorpac!O35-RetribucionEstado!O35-RetribucionOsitran!O35</f>
        <v>16201.109104650039</v>
      </c>
    </row>
    <row r="36" spans="2:15">
      <c r="B36" s="60" t="str">
        <f>+IngresosBrutos!B36</f>
        <v>ANN-Más de 100 t</v>
      </c>
      <c r="C36" s="64">
        <f>+IngresosBrutos!C36-PagoCorpac!C36-RetribucionEstado!C36-RetribucionOsitran!C36</f>
        <v>5019.3239342547795</v>
      </c>
      <c r="D36" s="64">
        <f>+IngresosBrutos!D36-PagoCorpac!D36-RetribucionEstado!D36-RetribucionOsitran!D36</f>
        <v>3357.8705816999995</v>
      </c>
      <c r="E36" s="64">
        <f>+IngresosBrutos!E36-PagoCorpac!E36-RetribucionEstado!E36-RetribucionOsitran!E36</f>
        <v>1668.3002379</v>
      </c>
      <c r="F36" s="64">
        <f>+IngresosBrutos!F36-PagoCorpac!F36-RetribucionEstado!F36-RetribucionOsitran!F36</f>
        <v>3015.7673679</v>
      </c>
      <c r="G36" s="64">
        <f>+IngresosBrutos!G36-PagoCorpac!G36-RetribucionEstado!G36-RetribucionOsitran!G36</f>
        <v>3652.7377868999997</v>
      </c>
      <c r="H36" s="64">
        <f>+IngresosBrutos!H36-PagoCorpac!H36-RetribucionEstado!H36-RetribucionOsitran!H36</f>
        <v>3652.7377868999997</v>
      </c>
      <c r="I36" s="64">
        <f>+IngresosBrutos!I36-PagoCorpac!I36-RetribucionEstado!I36-RetribucionOsitran!I36</f>
        <v>3059.0026811999996</v>
      </c>
      <c r="J36" s="64">
        <f>+IngresosBrutos!J36-PagoCorpac!J36-RetribucionEstado!J36-RetribucionOsitran!J36</f>
        <v>757.44438119999995</v>
      </c>
      <c r="K36" s="64">
        <f>+IngresosBrutos!K36-PagoCorpac!K36-RetribucionEstado!K36-RetribucionOsitran!K36</f>
        <v>1420.2082147499996</v>
      </c>
      <c r="L36" s="64">
        <f>+IngresosBrutos!L36-PagoCorpac!L36-RetribucionEstado!L36-RetribucionOsitran!L36</f>
        <v>1022.8470061499999</v>
      </c>
      <c r="M36" s="64">
        <f>+IngresosBrutos!M36-PagoCorpac!M36-RetribucionEstado!M36-RetribucionOsitran!M36</f>
        <v>2211.3753164999998</v>
      </c>
      <c r="N36" s="64">
        <f>+IngresosBrutos!N36-PagoCorpac!N36-RetribucionEstado!N36-RetribucionOsitran!N36</f>
        <v>2116.7076410999998</v>
      </c>
      <c r="O36" s="64">
        <f>+IngresosBrutos!O36-PagoCorpac!O36-RetribucionEstado!O36-RetribucionOsitran!O36</f>
        <v>360.08317260000001</v>
      </c>
    </row>
    <row r="37" spans="2:15">
      <c r="B37" s="53" t="str">
        <f>+IngresosBrutos!B37</f>
        <v>DND-Hasta 10 t</v>
      </c>
      <c r="C37" s="63">
        <f>+IngresosBrutos!C37-PagoCorpac!C37-RetribucionEstado!C37-RetribucionOsitran!C37</f>
        <v>3282.9606468792958</v>
      </c>
      <c r="D37" s="63">
        <f>+IngresosBrutos!D37-PagoCorpac!D37-RetribucionEstado!D37-RetribucionOsitran!D37</f>
        <v>4064.0422166999997</v>
      </c>
      <c r="E37" s="63">
        <f>+IngresosBrutos!E37-PagoCorpac!E37-RetribucionEstado!E37-RetribucionOsitran!E37</f>
        <v>3739.9086639000002</v>
      </c>
      <c r="F37" s="63">
        <f>+IngresosBrutos!F37-PagoCorpac!F37-RetribucionEstado!F37-RetribucionOsitran!F37</f>
        <v>6973.2530991000513</v>
      </c>
      <c r="G37" s="63">
        <f>+IngresosBrutos!G37-PagoCorpac!G37-RetribucionEstado!G37-RetribucionOsitran!G37</f>
        <v>6783.4672195500507</v>
      </c>
      <c r="H37" s="63">
        <f>+IngresosBrutos!H37-PagoCorpac!H37-RetribucionEstado!H37-RetribucionOsitran!H37</f>
        <v>6783.4672195500507</v>
      </c>
      <c r="I37" s="63">
        <f>+IngresosBrutos!I37-PagoCorpac!I37-RetribucionEstado!I37-RetribucionOsitran!I37</f>
        <v>8607.9027010495047</v>
      </c>
      <c r="J37" s="63">
        <f>+IngresosBrutos!J37-PagoCorpac!J37-RetribucionEstado!J37-RetribucionOsitran!J37</f>
        <v>9113.4912132000609</v>
      </c>
      <c r="K37" s="63">
        <f>+IngresosBrutos!K37-PagoCorpac!K37-RetribucionEstado!K37-RetribucionOsitran!K37</f>
        <v>9393.1897590000481</v>
      </c>
      <c r="L37" s="63">
        <f>+IngresosBrutos!L37-PagoCorpac!L37-RetribucionEstado!L37-RetribucionOsitran!L37</f>
        <v>9912.1370922000406</v>
      </c>
      <c r="M37" s="63">
        <f>+IngresosBrutos!M37-PagoCorpac!M37-RetribucionEstado!M37-RetribucionOsitran!M37</f>
        <v>10386.842502150073</v>
      </c>
      <c r="N37" s="63">
        <f>+IngresosBrutos!N37-PagoCorpac!N37-RetribucionEstado!N37-RetribucionOsitran!N37</f>
        <v>8259.1960230000241</v>
      </c>
      <c r="O37" s="63">
        <f>+IngresosBrutos!O37-PagoCorpac!O37-RetribucionEstado!O37-RetribucionOsitran!O37</f>
        <v>6271.159392899589</v>
      </c>
    </row>
    <row r="38" spans="2:15">
      <c r="B38" s="60" t="str">
        <f>+IngresosBrutos!B38</f>
        <v>DND-Más de 10 t hasta 35 t</v>
      </c>
      <c r="C38" s="64">
        <f>+IngresosBrutos!C38-PagoCorpac!C38-RetribucionEstado!C38-RetribucionOsitran!C38</f>
        <v>10713.097809558192</v>
      </c>
      <c r="D38" s="64">
        <f>+IngresosBrutos!D38-PagoCorpac!D38-RetribucionEstado!D38-RetribucionOsitran!D38</f>
        <v>10841.5701801</v>
      </c>
      <c r="E38" s="64">
        <f>+IngresosBrutos!E38-PagoCorpac!E38-RetribucionEstado!E38-RetribucionOsitran!E38</f>
        <v>14666.386779450024</v>
      </c>
      <c r="F38" s="64">
        <f>+IngresosBrutos!F38-PagoCorpac!F38-RetribucionEstado!F38-RetribucionOsitran!F38</f>
        <v>12129.897044699999</v>
      </c>
      <c r="G38" s="64">
        <f>+IngresosBrutos!G38-PagoCorpac!G38-RetribucionEstado!G38-RetribucionOsitran!G38</f>
        <v>10797.166066499998</v>
      </c>
      <c r="H38" s="64">
        <f>+IngresosBrutos!H38-PagoCorpac!H38-RetribucionEstado!H38-RetribucionOsitran!H38</f>
        <v>10797.166066499998</v>
      </c>
      <c r="I38" s="64">
        <f>+IngresosBrutos!I38-PagoCorpac!I38-RetribucionEstado!I38-RetribucionOsitran!I38</f>
        <v>13559.260003650023</v>
      </c>
      <c r="J38" s="64">
        <f>+IngresosBrutos!J38-PagoCorpac!J38-RetribucionEstado!J38-RetribucionOsitran!J38</f>
        <v>21884.022119250054</v>
      </c>
      <c r="K38" s="64">
        <f>+IngresosBrutos!K38-PagoCorpac!K38-RetribucionEstado!K38-RetribucionOsitran!K38</f>
        <v>15718.518154350024</v>
      </c>
      <c r="L38" s="64">
        <f>+IngresosBrutos!L38-PagoCorpac!L38-RetribucionEstado!L38-RetribucionOsitran!L38</f>
        <v>12413.210118299998</v>
      </c>
      <c r="M38" s="64">
        <f>+IngresosBrutos!M38-PagoCorpac!M38-RetribucionEstado!M38-RetribucionOsitran!M38</f>
        <v>15528.577807799969</v>
      </c>
      <c r="N38" s="64">
        <f>+IngresosBrutos!N38-PagoCorpac!N38-RetribucionEstado!N38-RetribucionOsitran!N38</f>
        <v>18207.493839899947</v>
      </c>
      <c r="O38" s="64">
        <f>+IngresosBrutos!O38-PagoCorpac!O38-RetribucionEstado!O38-RetribucionOsitran!O38</f>
        <v>33940.722401548759</v>
      </c>
    </row>
    <row r="39" spans="2:15">
      <c r="B39" s="53" t="str">
        <f>+IngresosBrutos!B39</f>
        <v>DND-Más de 35 t hasta 70 t</v>
      </c>
      <c r="C39" s="63">
        <f>+IngresosBrutos!C39-PagoCorpac!C39-RetribucionEstado!C39-RetribucionOsitran!C39</f>
        <v>67436.188642778929</v>
      </c>
      <c r="D39" s="63">
        <f>+IngresosBrutos!D39-PagoCorpac!D39-RetribucionEstado!D39-RetribucionOsitran!D39</f>
        <v>44943.211153349745</v>
      </c>
      <c r="E39" s="63">
        <f>+IngresosBrutos!E39-PagoCorpac!E39-RetribucionEstado!E39-RetribucionOsitran!E39</f>
        <v>45866.576262599745</v>
      </c>
      <c r="F39" s="63">
        <f>+IngresosBrutos!F39-PagoCorpac!F39-RetribucionEstado!F39-RetribucionOsitran!F39</f>
        <v>32497.086691800003</v>
      </c>
      <c r="G39" s="63">
        <f>+IngresosBrutos!G39-PagoCorpac!G39-RetribucionEstado!G39-RetribucionOsitran!G39</f>
        <v>66155.137057800006</v>
      </c>
      <c r="H39" s="63">
        <f>+IngresosBrutos!H39-PagoCorpac!H39-RetribucionEstado!H39-RetribucionOsitran!H39</f>
        <v>66155.137057800006</v>
      </c>
      <c r="I39" s="63">
        <f>+IngresosBrutos!I39-PagoCorpac!I39-RetribucionEstado!I39-RetribucionOsitran!I39</f>
        <v>154453.27818150099</v>
      </c>
      <c r="J39" s="63">
        <f>+IngresosBrutos!J39-PagoCorpac!J39-RetribucionEstado!J39-RetribucionOsitran!J39</f>
        <v>200766.41854110151</v>
      </c>
      <c r="K39" s="63">
        <f>+IngresosBrutos!K39-PagoCorpac!K39-RetribucionEstado!K39-RetribucionOsitran!K39</f>
        <v>208233.04438710157</v>
      </c>
      <c r="L39" s="63">
        <f>+IngresosBrutos!L39-PagoCorpac!L39-RetribucionEstado!L39-RetribucionOsitran!L39</f>
        <v>233659.68476895097</v>
      </c>
      <c r="M39" s="63">
        <f>+IngresosBrutos!M39-PagoCorpac!M39-RetribucionEstado!M39-RetribucionOsitran!M39</f>
        <v>308893.44983804808</v>
      </c>
      <c r="N39" s="63">
        <f>+IngresosBrutos!N39-PagoCorpac!N39-RetribucionEstado!N39-RetribucionOsitran!N39</f>
        <v>408619.32221564965</v>
      </c>
      <c r="O39" s="63">
        <f>+IngresosBrutos!O39-PagoCorpac!O39-RetribucionEstado!O39-RetribucionOsitran!O39</f>
        <v>442958.83722000127</v>
      </c>
    </row>
    <row r="40" spans="2:15">
      <c r="B40" s="60" t="str">
        <f>+IngresosBrutos!B40</f>
        <v>DND-Más de 70 t hasta 100 t</v>
      </c>
      <c r="C40" s="64">
        <f>+IngresosBrutos!C40-PagoCorpac!C40-RetribucionEstado!C40-RetribucionOsitran!C40</f>
        <v>32446.803930441427</v>
      </c>
      <c r="D40" s="64">
        <f>+IngresosBrutos!D40-PagoCorpac!D40-RetribucionEstado!D40-RetribucionOsitran!D40</f>
        <v>58966.83500129974</v>
      </c>
      <c r="E40" s="64">
        <f>+IngresosBrutos!E40-PagoCorpac!E40-RetribucionEstado!E40-RetribucionOsitran!E40</f>
        <v>55122.607048949736</v>
      </c>
      <c r="F40" s="64">
        <f>+IngresosBrutos!F40-PagoCorpac!F40-RetribucionEstado!F40-RetribucionOsitran!F40</f>
        <v>66576.942669149736</v>
      </c>
      <c r="G40" s="64">
        <f>+IngresosBrutos!G40-PagoCorpac!G40-RetribucionEstado!G40-RetribucionOsitran!G40</f>
        <v>95394.630569850764</v>
      </c>
      <c r="H40" s="64">
        <f>+IngresosBrutos!H40-PagoCorpac!H40-RetribucionEstado!H40-RetribucionOsitran!H40</f>
        <v>95394.630569850764</v>
      </c>
      <c r="I40" s="64">
        <f>+IngresosBrutos!I40-PagoCorpac!I40-RetribucionEstado!I40-RetribucionOsitran!I40</f>
        <v>80426.639249551008</v>
      </c>
      <c r="J40" s="64">
        <f>+IngresosBrutos!J40-PagoCorpac!J40-RetribucionEstado!J40-RetribucionOsitran!J40</f>
        <v>13266.70980345</v>
      </c>
      <c r="K40" s="64">
        <f>+IngresosBrutos!K40-PagoCorpac!K40-RetribucionEstado!K40-RetribucionOsitran!K40</f>
        <v>15922.082490300003</v>
      </c>
      <c r="L40" s="64">
        <f>+IngresosBrutos!L40-PagoCorpac!L40-RetribucionEstado!L40-RetribucionOsitran!L40</f>
        <v>13915.1699928</v>
      </c>
      <c r="M40" s="64">
        <f>+IngresosBrutos!M40-PagoCorpac!M40-RetribucionEstado!M40-RetribucionOsitran!M40</f>
        <v>24039.318191400027</v>
      </c>
      <c r="N40" s="64">
        <f>+IngresosBrutos!N40-PagoCorpac!N40-RetribucionEstado!N40-RetribucionOsitran!N40</f>
        <v>28383.071826150019</v>
      </c>
      <c r="O40" s="64">
        <f>+IngresosBrutos!O40-PagoCorpac!O40-RetribucionEstado!O40-RetribucionOsitran!O40</f>
        <v>49808.707974000426</v>
      </c>
    </row>
    <row r="41" spans="2:15">
      <c r="B41" s="53" t="str">
        <f>+IngresosBrutos!B41</f>
        <v>DND-Más de 100 t</v>
      </c>
      <c r="C41" s="63">
        <f>+IngresosBrutos!C41-PagoCorpac!C41-RetribucionEstado!C41-RetribucionOsitran!C41</f>
        <v>5928.91691911406</v>
      </c>
      <c r="D41" s="63">
        <f>+IngresosBrutos!D41-PagoCorpac!D41-RetribucionEstado!D41-RetribucionOsitran!D41</f>
        <v>3329.2993355999997</v>
      </c>
      <c r="E41" s="63">
        <f>+IngresosBrutos!E41-PagoCorpac!E41-RetribucionEstado!E41-RetribucionOsitran!E41</f>
        <v>1254.1227218999998</v>
      </c>
      <c r="F41" s="63">
        <f>+IngresosBrutos!F41-PagoCorpac!F41-RetribucionEstado!F41-RetribucionOsitran!F41</f>
        <v>6841.5365137499994</v>
      </c>
      <c r="G41" s="63">
        <f>+IngresosBrutos!G41-PagoCorpac!G41-RetribucionEstado!G41-RetribucionOsitran!G41</f>
        <v>2850.43876335</v>
      </c>
      <c r="H41" s="63">
        <f>+IngresosBrutos!H41-PagoCorpac!H41-RetribucionEstado!H41-RetribucionOsitran!H41</f>
        <v>2850.43876335</v>
      </c>
      <c r="I41" s="63">
        <f>+IngresosBrutos!I41-PagoCorpac!I41-RetribucionEstado!I41-RetribucionOsitran!I41</f>
        <v>1203.1280162999999</v>
      </c>
      <c r="J41" s="63">
        <f>+IngresosBrutos!J41-PagoCorpac!J41-RetribucionEstado!J41-RetribucionOsitran!J41</f>
        <v>990.36259604999998</v>
      </c>
      <c r="K41" s="63">
        <f>+IngresosBrutos!K41-PagoCorpac!K41-RetribucionEstado!K41-RetribucionOsitran!K41</f>
        <v>1731.0292866000002</v>
      </c>
      <c r="L41" s="63">
        <f>+IngresosBrutos!L41-PagoCorpac!L41-RetribucionEstado!L41-RetribucionOsitran!L41</f>
        <v>1244.1750471</v>
      </c>
      <c r="M41" s="63">
        <f>+IngresosBrutos!M41-PagoCorpac!M41-RetribucionEstado!M41-RetribucionOsitran!M41</f>
        <v>2360.0343572999996</v>
      </c>
      <c r="N41" s="63">
        <f>+IngresosBrutos!N41-PagoCorpac!N41-RetribucionEstado!N41-RetribucionOsitran!N41</f>
        <v>1141.9178930999999</v>
      </c>
      <c r="O41" s="63">
        <f>+IngresosBrutos!O41-PagoCorpac!O41-RetribucionEstado!O41-RetribucionOsitran!O41</f>
        <v>235.23007095</v>
      </c>
    </row>
    <row r="42" spans="2:15">
      <c r="B42" s="60" t="str">
        <f>+IngresosBrutos!B42</f>
        <v>DNN-Hasta 10 t</v>
      </c>
      <c r="C42" s="64">
        <f>+IngresosBrutos!C42-PagoCorpac!C42-RetribucionEstado!C42-RetribucionOsitran!C42</f>
        <v>525.48101978452985</v>
      </c>
      <c r="D42" s="64">
        <f>+IngresosBrutos!D42-PagoCorpac!D42-RetribucionEstado!D42-RetribucionOsitran!D42</f>
        <v>484.68912704999997</v>
      </c>
      <c r="E42" s="64">
        <f>+IngresosBrutos!E42-PagoCorpac!E42-RetribucionEstado!E42-RetribucionOsitran!E42</f>
        <v>582.15780404999998</v>
      </c>
      <c r="F42" s="64">
        <f>+IngresosBrutos!F42-PagoCorpac!F42-RetribucionEstado!F42-RetribucionOsitran!F42</f>
        <v>1251.4427194499999</v>
      </c>
      <c r="G42" s="64">
        <f>+IngresosBrutos!G42-PagoCorpac!G42-RetribucionEstado!G42-RetribucionOsitran!G42</f>
        <v>1333.72729035</v>
      </c>
      <c r="H42" s="64">
        <f>+IngresosBrutos!H42-PagoCorpac!H42-RetribucionEstado!H42-RetribucionOsitran!H42</f>
        <v>1333.72729035</v>
      </c>
      <c r="I42" s="64">
        <f>+IngresosBrutos!I42-PagoCorpac!I42-RetribucionEstado!I42-RetribucionOsitran!I42</f>
        <v>1581.9634827</v>
      </c>
      <c r="J42" s="64">
        <f>+IngresosBrutos!J42-PagoCorpac!J42-RetribucionEstado!J42-RetribucionOsitran!J42</f>
        <v>1930.1784408000015</v>
      </c>
      <c r="K42" s="64">
        <f>+IngresosBrutos!K42-PagoCorpac!K42-RetribucionEstado!K42-RetribucionOsitran!K42</f>
        <v>1619.1591362999998</v>
      </c>
      <c r="L42" s="64">
        <f>+IngresosBrutos!L42-PagoCorpac!L42-RetribucionEstado!L42-RetribucionOsitran!L42</f>
        <v>2250.6639979500032</v>
      </c>
      <c r="M42" s="64">
        <f>+IngresosBrutos!M42-PagoCorpac!M42-RetribucionEstado!M42-RetribucionOsitran!M42</f>
        <v>1852.4454975000012</v>
      </c>
      <c r="N42" s="64">
        <f>+IngresosBrutos!N42-PagoCorpac!N42-RetribucionEstado!N42-RetribucionOsitran!N42</f>
        <v>965.85125759999937</v>
      </c>
      <c r="O42" s="64">
        <f>+IngresosBrutos!O42-PagoCorpac!O42-RetribucionEstado!O42-RetribucionOsitran!O42</f>
        <v>255.67892730000065</v>
      </c>
    </row>
    <row r="43" spans="2:15">
      <c r="B43" s="53" t="str">
        <f>+IngresosBrutos!B43</f>
        <v>DNN-Más de 10 t hasta 35 t</v>
      </c>
      <c r="C43" s="63">
        <f>+IngresosBrutos!C43-PagoCorpac!C43-RetribucionEstado!C43-RetribucionOsitran!C43</f>
        <v>692.17623320912173</v>
      </c>
      <c r="D43" s="63">
        <f>+IngresosBrutos!D43-PagoCorpac!D43-RetribucionEstado!D43-RetribucionOsitran!D43</f>
        <v>702.40778909999995</v>
      </c>
      <c r="E43" s="63">
        <f>+IngresosBrutos!E43-PagoCorpac!E43-RetribucionEstado!E43-RetribucionOsitran!E43</f>
        <v>723.39985439999998</v>
      </c>
      <c r="F43" s="63">
        <f>+IngresosBrutos!F43-PagoCorpac!F43-RetribucionEstado!F43-RetribucionOsitran!F43</f>
        <v>1497.6090539999998</v>
      </c>
      <c r="G43" s="63">
        <f>+IngresosBrutos!G43-PagoCorpac!G43-RetribucionEstado!G43-RetribucionOsitran!G43</f>
        <v>798.08722334999993</v>
      </c>
      <c r="H43" s="63">
        <f>+IngresosBrutos!H43-PagoCorpac!H43-RetribucionEstado!H43-RetribucionOsitran!H43</f>
        <v>798.08722334999993</v>
      </c>
      <c r="I43" s="63">
        <f>+IngresosBrutos!I43-PagoCorpac!I43-RetribucionEstado!I43-RetribucionOsitran!I43</f>
        <v>1080.7154932500025</v>
      </c>
      <c r="J43" s="63">
        <f>+IngresosBrutos!J43-PagoCorpac!J43-RetribucionEstado!J43-RetribucionOsitran!J43</f>
        <v>1163.3553382500002</v>
      </c>
      <c r="K43" s="63">
        <f>+IngresosBrutos!K43-PagoCorpac!K43-RetribucionEstado!K43-RetribucionOsitran!K43</f>
        <v>880.12979595000002</v>
      </c>
      <c r="L43" s="63">
        <f>+IngresosBrutos!L43-PagoCorpac!L43-RetribucionEstado!L43-RetribucionOsitran!L43</f>
        <v>208.91146859999995</v>
      </c>
      <c r="M43" s="63">
        <f>+IngresosBrutos!M43-PagoCorpac!M43-RetribucionEstado!M43-RetribucionOsitran!M43</f>
        <v>291.94520445000001</v>
      </c>
      <c r="N43" s="63">
        <f>+IngresosBrutos!N43-PagoCorpac!N43-RetribucionEstado!N43-RetribucionOsitran!N43</f>
        <v>221.83520759999999</v>
      </c>
      <c r="O43" s="63">
        <f>+IngresosBrutos!O43-PagoCorpac!O43-RetribucionEstado!O43-RetribucionOsitran!O43</f>
        <v>3440.5825112999992</v>
      </c>
    </row>
    <row r="44" spans="2:15">
      <c r="B44" s="60" t="str">
        <f>+IngresosBrutos!B44</f>
        <v>DNN-Más de 35 t hasta 70 t</v>
      </c>
      <c r="C44" s="64">
        <f>+IngresosBrutos!C44-PagoCorpac!C44-RetribucionEstado!C44-RetribucionOsitran!C44</f>
        <v>5699.5365065654787</v>
      </c>
      <c r="D44" s="64">
        <f>+IngresosBrutos!D44-PagoCorpac!D44-RetribucionEstado!D44-RetribucionOsitran!D44</f>
        <v>3481.6475632500001</v>
      </c>
      <c r="E44" s="64">
        <f>+IngresosBrutos!E44-PagoCorpac!E44-RetribucionEstado!E44-RetribucionOsitran!E44</f>
        <v>4054.1074141500003</v>
      </c>
      <c r="F44" s="64">
        <f>+IngresosBrutos!F44-PagoCorpac!F44-RetribucionEstado!F44-RetribucionOsitran!F44</f>
        <v>7281.6361668000009</v>
      </c>
      <c r="G44" s="64">
        <f>+IngresosBrutos!G44-PagoCorpac!G44-RetribucionEstado!G44-RetribucionOsitran!G44</f>
        <v>11020.484157299999</v>
      </c>
      <c r="H44" s="64">
        <f>+IngresosBrutos!H44-PagoCorpac!H44-RetribucionEstado!H44-RetribucionOsitran!H44</f>
        <v>11020.484157299999</v>
      </c>
      <c r="I44" s="64">
        <f>+IngresosBrutos!I44-PagoCorpac!I44-RetribucionEstado!I44-RetribucionOsitran!I44</f>
        <v>44502.398377649835</v>
      </c>
      <c r="J44" s="64">
        <f>+IngresosBrutos!J44-PagoCorpac!J44-RetribucionEstado!J44-RetribucionOsitran!J44</f>
        <v>89783.325881999335</v>
      </c>
      <c r="K44" s="64">
        <f>+IngresosBrutos!K44-PagoCorpac!K44-RetribucionEstado!K44-RetribucionOsitran!K44</f>
        <v>135903.76351019851</v>
      </c>
      <c r="L44" s="64">
        <f>+IngresosBrutos!L44-PagoCorpac!L44-RetribucionEstado!L44-RetribucionOsitran!L44</f>
        <v>153226.86941385191</v>
      </c>
      <c r="M44" s="64">
        <f>+IngresosBrutos!M44-PagoCorpac!M44-RetribucionEstado!M44-RetribucionOsitran!M44</f>
        <v>191212.39259279936</v>
      </c>
      <c r="N44" s="64">
        <f>+IngresosBrutos!N44-PagoCorpac!N44-RetribucionEstado!N44-RetribucionOsitran!N44</f>
        <v>166702.59108944959</v>
      </c>
      <c r="O44" s="64">
        <f>+IngresosBrutos!O44-PagoCorpac!O44-RetribucionEstado!O44-RetribucionOsitran!O44</f>
        <v>161818.40891068336</v>
      </c>
    </row>
    <row r="45" spans="2:15">
      <c r="B45" s="53" t="str">
        <f>+IngresosBrutos!B45</f>
        <v>DNN-Más de 70 t hasta 100 t</v>
      </c>
      <c r="C45" s="63">
        <f>+IngresosBrutos!C45-PagoCorpac!C45-RetribucionEstado!C45-RetribucionOsitran!C45</f>
        <v>4734.0217711855839</v>
      </c>
      <c r="D45" s="63">
        <f>+IngresosBrutos!D45-PagoCorpac!D45-RetribucionEstado!D45-RetribucionOsitran!D45</f>
        <v>5858.279399699999</v>
      </c>
      <c r="E45" s="63">
        <f>+IngresosBrutos!E45-PagoCorpac!E45-RetribucionEstado!E45-RetribucionOsitran!E45</f>
        <v>9341.7857158499992</v>
      </c>
      <c r="F45" s="63">
        <f>+IngresosBrutos!F45-PagoCorpac!F45-RetribucionEstado!F45-RetribucionOsitran!F45</f>
        <v>15065.230871249998</v>
      </c>
      <c r="G45" s="63">
        <f>+IngresosBrutos!G45-PagoCorpac!G45-RetribucionEstado!G45-RetribucionOsitran!G45</f>
        <v>34110.993950099997</v>
      </c>
      <c r="H45" s="63">
        <f>+IngresosBrutos!H45-PagoCorpac!H45-RetribucionEstado!H45-RetribucionOsitran!H45</f>
        <v>34110.993950099997</v>
      </c>
      <c r="I45" s="63">
        <f>+IngresosBrutos!I45-PagoCorpac!I45-RetribucionEstado!I45-RetribucionOsitran!I45</f>
        <v>24202.81121309966</v>
      </c>
      <c r="J45" s="63">
        <f>+IngresosBrutos!J45-PagoCorpac!J45-RetribucionEstado!J45-RetribucionOsitran!J45</f>
        <v>693.74476484999991</v>
      </c>
      <c r="K45" s="63">
        <f>+IngresosBrutos!K45-PagoCorpac!K45-RetribucionEstado!K45-RetribucionOsitran!K45</f>
        <v>5100.4926166499999</v>
      </c>
      <c r="L45" s="63">
        <f>+IngresosBrutos!L45-PagoCorpac!L45-RetribucionEstado!L45-RetribucionOsitran!L45</f>
        <v>4645.0672627500007</v>
      </c>
      <c r="M45" s="63">
        <f>+IngresosBrutos!M45-PagoCorpac!M45-RetribucionEstado!M45-RetribucionOsitran!M45</f>
        <v>3886.0112758499995</v>
      </c>
      <c r="N45" s="63">
        <f>+IngresosBrutos!N45-PagoCorpac!N45-RetribucionEstado!N45-RetribucionOsitran!N45</f>
        <v>3056.8478665499997</v>
      </c>
      <c r="O45" s="63">
        <f>+IngresosBrutos!O45-PagoCorpac!O45-RetribucionEstado!O45-RetribucionOsitran!O45</f>
        <v>10563.66087705003</v>
      </c>
    </row>
    <row r="46" spans="2:15">
      <c r="B46" s="60" t="str">
        <f>+IngresosBrutos!B46</f>
        <v>DNN-Más de 100 t</v>
      </c>
      <c r="C46" s="64">
        <f>+IngresosBrutos!C46-PagoCorpac!C46-RetribucionEstado!C46-RetribucionOsitran!C46</f>
        <v>2181.0088385003992</v>
      </c>
      <c r="D46" s="64">
        <f>+IngresosBrutos!D46-PagoCorpac!D46-RetribucionEstado!D46-RetribucionOsitran!D46</f>
        <v>1844.0888327999999</v>
      </c>
      <c r="E46" s="64">
        <f>+IngresosBrutos!E46-PagoCorpac!E46-RetribucionEstado!E46-RetribucionOsitran!E46</f>
        <v>2044.9680174</v>
      </c>
      <c r="F46" s="64">
        <f>+IngresosBrutos!F46-PagoCorpac!F46-RetribucionEstado!F46-RetribucionOsitran!F46</f>
        <v>1261.5216911999999</v>
      </c>
      <c r="G46" s="64">
        <f>+IngresosBrutos!G46-PagoCorpac!G46-RetribucionEstado!G46-RetribucionOsitran!G46</f>
        <v>1952.1951371999999</v>
      </c>
      <c r="H46" s="64">
        <f>+IngresosBrutos!H46-PagoCorpac!H46-RetribucionEstado!H46-RetribucionOsitran!H46</f>
        <v>1952.1951371999999</v>
      </c>
      <c r="I46" s="64">
        <f>+IngresosBrutos!I46-PagoCorpac!I46-RetribucionEstado!I46-RetribucionOsitran!I46</f>
        <v>4480.9100329500006</v>
      </c>
      <c r="J46" s="64">
        <f>+IngresosBrutos!J46-PagoCorpac!J46-RetribucionEstado!J46-RetribucionOsitran!J46</f>
        <v>3124.4580724500001</v>
      </c>
      <c r="K46" s="64">
        <f>+IngresosBrutos!K46-PagoCorpac!K46-RetribucionEstado!K46-RetribucionOsitran!K46</f>
        <v>5113.87460775</v>
      </c>
      <c r="L46" s="64">
        <f>+IngresosBrutos!L46-PagoCorpac!L46-RetribucionEstado!L46-RetribucionOsitran!L46</f>
        <v>3628.3217030999995</v>
      </c>
      <c r="M46" s="64">
        <f>+IngresosBrutos!M46-PagoCorpac!M46-RetribucionEstado!M46-RetribucionOsitran!M46</f>
        <v>3916.2636377999997</v>
      </c>
      <c r="N46" s="64">
        <f>+IngresosBrutos!N46-PagoCorpac!N46-RetribucionEstado!N46-RetribucionOsitran!N46</f>
        <v>3328.1279608499999</v>
      </c>
      <c r="O46" s="64">
        <f>+IngresosBrutos!O46-PagoCorpac!O46-RetribucionEstado!O46-RetribucionOsitran!O46</f>
        <v>90.020793150000003</v>
      </c>
    </row>
    <row r="47" spans="2:15">
      <c r="B47" s="53" t="str">
        <f>+IngresosBrutos!B47</f>
        <v>Parking Internacional</v>
      </c>
      <c r="C47" s="63">
        <f>+IngresosBrutos!C47-PagoCorpac!C47-RetribucionEstado!C47-RetribucionOsitran!C47</f>
        <v>369648.78561815858</v>
      </c>
      <c r="D47" s="63">
        <f>+IngresosBrutos!D47-PagoCorpac!D47-RetribucionEstado!D47-RetribucionOsitran!D47</f>
        <v>423295.26247740001</v>
      </c>
      <c r="E47" s="63">
        <f>+IngresosBrutos!E47-PagoCorpac!E47-RetribucionEstado!E47-RetribucionOsitran!E47</f>
        <v>387717.93483680004</v>
      </c>
      <c r="F47" s="63">
        <f>+IngresosBrutos!F47-PagoCorpac!F47-RetribucionEstado!F47-RetribucionOsitran!F47</f>
        <v>472190.39838530007</v>
      </c>
      <c r="G47" s="63">
        <f>+IngresosBrutos!G47-PagoCorpac!G47-RetribucionEstado!G47-RetribucionOsitran!G47</f>
        <v>556746.88107610005</v>
      </c>
      <c r="H47" s="63">
        <f>+IngresosBrutos!H47-PagoCorpac!H47-RetribucionEstado!H47-RetribucionOsitran!H47</f>
        <v>556746.88107610005</v>
      </c>
      <c r="I47" s="63">
        <f>+IngresosBrutos!I47-PagoCorpac!I47-RetribucionEstado!I47-RetribucionOsitran!I47</f>
        <v>602141.98747719999</v>
      </c>
      <c r="J47" s="63">
        <f>+IngresosBrutos!J47-PagoCorpac!J47-RetribucionEstado!J47-RetribucionOsitran!J47</f>
        <v>699676.14446640003</v>
      </c>
      <c r="K47" s="63">
        <f>+IngresosBrutos!K47-PagoCorpac!K47-RetribucionEstado!K47-RetribucionOsitran!K47</f>
        <v>766673.01483509992</v>
      </c>
      <c r="L47" s="63">
        <f>+IngresosBrutos!L47-PagoCorpac!L47-RetribucionEstado!L47-RetribucionOsitran!L47</f>
        <v>834342.41101409995</v>
      </c>
      <c r="M47" s="63">
        <f>+IngresosBrutos!M47-PagoCorpac!M47-RetribucionEstado!M47-RetribucionOsitran!M47</f>
        <v>938144.75714320003</v>
      </c>
      <c r="N47" s="63">
        <f>+IngresosBrutos!N47-PagoCorpac!N47-RetribucionEstado!N47-RetribucionOsitran!N47</f>
        <v>1025520.6287310997</v>
      </c>
      <c r="O47" s="63">
        <f>+IngresosBrutos!O47-PagoCorpac!O47-RetribucionEstado!O47-RetribucionOsitran!O47</f>
        <v>1176130.3083041001</v>
      </c>
    </row>
    <row r="48" spans="2:15">
      <c r="B48" s="60" t="str">
        <f>+IngresosBrutos!B48</f>
        <v>Parking Nacional</v>
      </c>
      <c r="C48" s="64">
        <f>+IngresosBrutos!C48-PagoCorpac!C48-RetribucionEstado!C48-RetribucionOsitran!C48</f>
        <v>93798.754603322246</v>
      </c>
      <c r="D48" s="64">
        <f>+IngresosBrutos!D48-PagoCorpac!D48-RetribucionEstado!D48-RetribucionOsitran!D48</f>
        <v>123163.10273950001</v>
      </c>
      <c r="E48" s="64">
        <f>+IngresosBrutos!E48-PagoCorpac!E48-RetribucionEstado!E48-RetribucionOsitran!E48</f>
        <v>78186.291677199988</v>
      </c>
      <c r="F48" s="64">
        <f>+IngresosBrutos!F48-PagoCorpac!F48-RetribucionEstado!F48-RetribucionOsitran!F48</f>
        <v>65587.362256100008</v>
      </c>
      <c r="G48" s="64">
        <f>+IngresosBrutos!G48-PagoCorpac!G48-RetribucionEstado!G48-RetribucionOsitran!G48</f>
        <v>65039.188135699987</v>
      </c>
      <c r="H48" s="64">
        <f>+IngresosBrutos!H48-PagoCorpac!H48-RetribucionEstado!H48-RetribucionOsitran!H48</f>
        <v>65039.188135699987</v>
      </c>
      <c r="I48" s="64">
        <f>+IngresosBrutos!I48-PagoCorpac!I48-RetribucionEstado!I48-RetribucionOsitran!I48</f>
        <v>78145.009078699994</v>
      </c>
      <c r="J48" s="64">
        <f>+IngresosBrutos!J48-PagoCorpac!J48-RetribucionEstado!J48-RetribucionOsitran!J48</f>
        <v>81582.408710699994</v>
      </c>
      <c r="K48" s="64">
        <f>+IngresosBrutos!K48-PagoCorpac!K48-RetribucionEstado!K48-RetribucionOsitran!K48</f>
        <v>64629.096827600013</v>
      </c>
      <c r="L48" s="64">
        <f>+IngresosBrutos!L48-PagoCorpac!L48-RetribucionEstado!L48-RetribucionOsitran!L48</f>
        <v>70577.370761400001</v>
      </c>
      <c r="M48" s="64">
        <f>+IngresosBrutos!M48-PagoCorpac!M48-RetribucionEstado!M48-RetribucionOsitran!M48</f>
        <v>96055.221676299989</v>
      </c>
      <c r="N48" s="64">
        <f>+IngresosBrutos!N48-PagoCorpac!N48-RetribucionEstado!N48-RetribucionOsitran!N48</f>
        <v>145621.24573770002</v>
      </c>
      <c r="O48" s="64">
        <f>+IngresosBrutos!O48-PagoCorpac!O48-RetribucionEstado!O48-RetribucionOsitran!O48</f>
        <v>143326.85706750004</v>
      </c>
    </row>
    <row r="49" spans="2:15">
      <c r="B49" s="53" t="str">
        <f>+IngresosBrutos!B49</f>
        <v>Boarding Bridges (PLB)</v>
      </c>
      <c r="C49" s="63">
        <f>+IngresosBrutos!C49-PagoCorpac!C49-RetribucionEstado!C49-RetribucionOsitran!C49</f>
        <v>0</v>
      </c>
      <c r="D49" s="63">
        <f>+IngresosBrutos!D49-PagoCorpac!D49-RetribucionEstado!D49-RetribucionOsitran!D49</f>
        <v>0</v>
      </c>
      <c r="E49" s="63">
        <f>+IngresosBrutos!E49-PagoCorpac!E49-RetribucionEstado!E49-RetribucionOsitran!E49</f>
        <v>0</v>
      </c>
      <c r="F49" s="63">
        <f>+IngresosBrutos!F49-PagoCorpac!F49-RetribucionEstado!F49-RetribucionOsitran!F49</f>
        <v>0</v>
      </c>
      <c r="G49" s="63">
        <f>+IngresosBrutos!G49-PagoCorpac!G49-RetribucionEstado!G49-RetribucionOsitran!G49</f>
        <v>0</v>
      </c>
      <c r="H49" s="63">
        <f>+IngresosBrutos!H49-PagoCorpac!H49-RetribucionEstado!H49-RetribucionOsitran!H49</f>
        <v>961509.61612299993</v>
      </c>
      <c r="I49" s="63">
        <f>+IngresosBrutos!I49-PagoCorpac!I49-RetribucionEstado!I49-RetribucionOsitran!I49</f>
        <v>1159054.8860114003</v>
      </c>
      <c r="J49" s="63">
        <f>+IngresosBrutos!J49-PagoCorpac!J49-RetribucionEstado!J49-RetribucionOsitran!J49</f>
        <v>1366280.9908592999</v>
      </c>
      <c r="K49" s="63">
        <f>+IngresosBrutos!K49-PagoCorpac!K49-RetribucionEstado!K49-RetribucionOsitran!K49</f>
        <v>1611641.6401876998</v>
      </c>
      <c r="L49" s="63">
        <f>+IngresosBrutos!L49-PagoCorpac!L49-RetribucionEstado!L49-RetribucionOsitran!L49</f>
        <v>3483166.6702061999</v>
      </c>
      <c r="M49" s="63">
        <f>+IngresosBrutos!M49-PagoCorpac!M49-RetribucionEstado!M49-RetribucionOsitran!M49</f>
        <v>3072091.7371687056</v>
      </c>
      <c r="N49" s="63">
        <f>+IngresosBrutos!N49-PagoCorpac!N49-RetribucionEstado!N49-RetribucionOsitran!N49</f>
        <v>4120592.5770629002</v>
      </c>
      <c r="O49" s="63">
        <f>+IngresosBrutos!O49-PagoCorpac!O49-RetribucionEstado!O49-RetribucionOsitran!O49</f>
        <v>5320695.1313081002</v>
      </c>
    </row>
    <row r="50" spans="2:15">
      <c r="B50" s="60" t="str">
        <f>+IngresosBrutos!B50</f>
        <v>Cargo</v>
      </c>
      <c r="C50" s="64">
        <f>+IngresosBrutos!C50-PagoCorpac!C50-RetribucionEstado!C50-RetribucionOsitran!C50</f>
        <v>599694.25036325899</v>
      </c>
      <c r="D50" s="64">
        <f>+IngresosBrutos!D50-PagoCorpac!D50-RetribucionEstado!D50-RetribucionOsitran!D50</f>
        <v>1288077.9919333998</v>
      </c>
      <c r="E50" s="64">
        <f>+IngresosBrutos!E50-PagoCorpac!E50-RetribucionEstado!E50-RetribucionOsitran!E50</f>
        <v>1683100.4741578661</v>
      </c>
      <c r="F50" s="64">
        <f>+IngresosBrutos!F50-PagoCorpac!F50-RetribucionEstado!F50-RetribucionOsitran!F50</f>
        <v>1562569.4956250999</v>
      </c>
      <c r="G50" s="64">
        <f>+IngresosBrutos!G50-PagoCorpac!G50-RetribucionEstado!G50-RetribucionOsitran!G50</f>
        <v>1672406.5650709998</v>
      </c>
      <c r="H50" s="64">
        <f>+IngresosBrutos!H50-PagoCorpac!H50-RetribucionEstado!H50-RetribucionOsitran!H50</f>
        <v>1672406.5650709998</v>
      </c>
      <c r="I50" s="64">
        <f>+IngresosBrutos!I50-PagoCorpac!I50-RetribucionEstado!I50-RetribucionOsitran!I50</f>
        <v>1932825.6844051899</v>
      </c>
      <c r="J50" s="64">
        <f>+IngresosBrutos!J50-PagoCorpac!J50-RetribucionEstado!J50-RetribucionOsitran!J50</f>
        <v>2267864.9444666998</v>
      </c>
      <c r="K50" s="64">
        <f>+IngresosBrutos!K50-PagoCorpac!K50-RetribucionEstado!K50-RetribucionOsitran!K50</f>
        <v>2471879.1214309996</v>
      </c>
      <c r="L50" s="64">
        <f>+IngresosBrutos!L50-PagoCorpac!L50-RetribucionEstado!L50-RetribucionOsitran!L50</f>
        <v>2436051.1378198001</v>
      </c>
      <c r="M50" s="64">
        <f>+IngresosBrutos!M50-PagoCorpac!M50-RetribucionEstado!M50-RetribucionOsitran!M50</f>
        <v>2925016.2017766996</v>
      </c>
      <c r="N50" s="64">
        <f>+IngresosBrutos!N50-PagoCorpac!N50-RetribucionEstado!N50-RetribucionOsitran!N50</f>
        <v>3141495.0570468004</v>
      </c>
      <c r="O50" s="64">
        <f>+IngresosBrutos!O50-PagoCorpac!O50-RetribucionEstado!O50-RetribucionOsitran!O50</f>
        <v>3346532.3968392005</v>
      </c>
    </row>
    <row r="51" spans="2:15">
      <c r="B51" s="53" t="str">
        <f>+IngresosBrutos!B51</f>
        <v>Ground Handling</v>
      </c>
      <c r="C51" s="63">
        <f>+IngresosBrutos!C51-PagoCorpac!C51-RetribucionEstado!C51-RetribucionOsitran!C51</f>
        <v>593307.80983565713</v>
      </c>
      <c r="D51" s="63">
        <f>+IngresosBrutos!D51-PagoCorpac!D51-RetribucionEstado!D51-RetribucionOsitran!D51</f>
        <v>628847.93927179999</v>
      </c>
      <c r="E51" s="63">
        <f>+IngresosBrutos!E51-PagoCorpac!E51-RetribucionEstado!E51-RetribucionOsitran!E51</f>
        <v>776310.49912949977</v>
      </c>
      <c r="F51" s="63">
        <f>+IngresosBrutos!F51-PagoCorpac!F51-RetribucionEstado!F51-RetribucionOsitran!F51</f>
        <v>1017892.4391034</v>
      </c>
      <c r="G51" s="63">
        <f>+IngresosBrutos!G51-PagoCorpac!G51-RetribucionEstado!G51-RetribucionOsitran!G51</f>
        <v>1363276.9246646001</v>
      </c>
      <c r="H51" s="63">
        <f>+IngresosBrutos!H51-PagoCorpac!H51-RetribucionEstado!H51-RetribucionOsitran!H51</f>
        <v>1363276.9246646001</v>
      </c>
      <c r="I51" s="63">
        <f>+IngresosBrutos!I51-PagoCorpac!I51-RetribucionEstado!I51-RetribucionOsitran!I51</f>
        <v>1386432.4417657</v>
      </c>
      <c r="J51" s="63">
        <f>+IngresosBrutos!J51-PagoCorpac!J51-RetribucionEstado!J51-RetribucionOsitran!J51</f>
        <v>1689193.4553306997</v>
      </c>
      <c r="K51" s="63">
        <f>+IngresosBrutos!K51-PagoCorpac!K51-RetribucionEstado!K51-RetribucionOsitran!K51</f>
        <v>1905954.0820506001</v>
      </c>
      <c r="L51" s="63">
        <f>+IngresosBrutos!L51-PagoCorpac!L51-RetribucionEstado!L51-RetribucionOsitran!L51</f>
        <v>2043377.7427375</v>
      </c>
      <c r="M51" s="63">
        <f>+IngresosBrutos!M51-PagoCorpac!M51-RetribucionEstado!M51-RetribucionOsitran!M51</f>
        <v>2300862.4272595001</v>
      </c>
      <c r="N51" s="63">
        <f>+IngresosBrutos!N51-PagoCorpac!N51-RetribucionEstado!N51-RetribucionOsitran!N51</f>
        <v>2626893.0322692995</v>
      </c>
      <c r="O51" s="63">
        <f>+IngresosBrutos!O51-PagoCorpac!O51-RetribucionEstado!O51-RetribucionOsitran!O51</f>
        <v>2882575.4439894999</v>
      </c>
    </row>
    <row r="52" spans="2:15">
      <c r="B52" s="60" t="str">
        <f>+IngresosBrutos!B52</f>
        <v>Catering</v>
      </c>
      <c r="C52" s="64">
        <f>+IngresosBrutos!C52-PagoCorpac!C52-RetribucionEstado!C52-RetribucionOsitran!C52</f>
        <v>336394.5325651429</v>
      </c>
      <c r="D52" s="64">
        <f>+IngresosBrutos!D52-PagoCorpac!D52-RetribucionEstado!D52-RetribucionOsitran!D52</f>
        <v>323846.63219999999</v>
      </c>
      <c r="E52" s="64">
        <f>+IngresosBrutos!E52-PagoCorpac!E52-RetribucionEstado!E52-RetribucionOsitran!E52</f>
        <v>380881.86111717601</v>
      </c>
      <c r="F52" s="64">
        <f>+IngresosBrutos!F52-PagoCorpac!F52-RetribucionEstado!F52-RetribucionOsitran!F52</f>
        <v>471440.23084619996</v>
      </c>
      <c r="G52" s="64">
        <f>+IngresosBrutos!G52-PagoCorpac!G52-RetribucionEstado!G52-RetribucionOsitran!G52</f>
        <v>552512.89788229996</v>
      </c>
      <c r="H52" s="64">
        <f>+IngresosBrutos!H52-PagoCorpac!H52-RetribucionEstado!H52-RetribucionOsitran!H52</f>
        <v>552512.89788229996</v>
      </c>
      <c r="I52" s="64">
        <f>+IngresosBrutos!I52-PagoCorpac!I52-RetribucionEstado!I52-RetribucionOsitran!I52</f>
        <v>561507.96930570004</v>
      </c>
      <c r="J52" s="64">
        <f>+IngresosBrutos!J52-PagoCorpac!J52-RetribucionEstado!J52-RetribucionOsitran!J52</f>
        <v>747728.21307898988</v>
      </c>
      <c r="K52" s="64">
        <f>+IngresosBrutos!K52-PagoCorpac!K52-RetribucionEstado!K52-RetribucionOsitran!K52</f>
        <v>829040.85929819988</v>
      </c>
      <c r="L52" s="64">
        <f>+IngresosBrutos!L52-PagoCorpac!L52-RetribucionEstado!L52-RetribucionOsitran!L52</f>
        <v>1016494.1636368</v>
      </c>
      <c r="M52" s="64">
        <f>+IngresosBrutos!M52-PagoCorpac!M52-RetribucionEstado!M52-RetribucionOsitran!M52</f>
        <v>1156556.8085277998</v>
      </c>
      <c r="N52" s="64">
        <f>+IngresosBrutos!N52-PagoCorpac!N52-RetribucionEstado!N52-RetribucionOsitran!N52</f>
        <v>1344185.9982565003</v>
      </c>
      <c r="O52" s="64">
        <f>+IngresosBrutos!O52-PagoCorpac!O52-RetribucionEstado!O52-RetribucionOsitran!O52</f>
        <v>1491664.5357657999</v>
      </c>
    </row>
    <row r="53" spans="2:15">
      <c r="B53" s="53" t="str">
        <f>+IngresosBrutos!B53</f>
        <v>Fuel</v>
      </c>
      <c r="C53" s="63">
        <f>+IngresosBrutos!C53-PagoCorpac!C53-RetribucionEstado!C53-RetribucionOsitran!C53</f>
        <v>2814551.3015720411</v>
      </c>
      <c r="D53" s="63">
        <f>+IngresosBrutos!D53-PagoCorpac!D53-RetribucionEstado!D53-RetribucionOsitran!D53</f>
        <v>3554803.6311616995</v>
      </c>
      <c r="E53" s="63">
        <f>+IngresosBrutos!E53-PagoCorpac!E53-RetribucionEstado!E53-RetribucionOsitran!E53</f>
        <v>3679787.886996299</v>
      </c>
      <c r="F53" s="63">
        <f>+IngresosBrutos!F53-PagoCorpac!F53-RetribucionEstado!F53-RetribucionOsitran!F53</f>
        <v>3947361.5504439999</v>
      </c>
      <c r="G53" s="63">
        <f>+IngresosBrutos!G53-PagoCorpac!G53-RetribucionEstado!G53-RetribucionOsitran!G53</f>
        <v>4931027.6342866002</v>
      </c>
      <c r="H53" s="63">
        <f>+IngresosBrutos!H53-PagoCorpac!H53-RetribucionEstado!H53-RetribucionOsitran!H53</f>
        <v>4931027.6342866002</v>
      </c>
      <c r="I53" s="63">
        <f>+IngresosBrutos!I53-PagoCorpac!I53-RetribucionEstado!I53-RetribucionOsitran!I53</f>
        <v>5115909.0353630995</v>
      </c>
      <c r="J53" s="63">
        <f>+IngresosBrutos!J53-PagoCorpac!J53-RetribucionEstado!J53-RetribucionOsitran!J53</f>
        <v>6065953.7049187999</v>
      </c>
      <c r="K53" s="63">
        <f>+IngresosBrutos!K53-PagoCorpac!K53-RetribucionEstado!K53-RetribucionOsitran!K53</f>
        <v>7357771.4908620985</v>
      </c>
      <c r="L53" s="63">
        <f>+IngresosBrutos!L53-PagoCorpac!L53-RetribucionEstado!L53-RetribucionOsitran!L53</f>
        <v>7588718.5243190993</v>
      </c>
      <c r="M53" s="63">
        <f>+IngresosBrutos!M53-PagoCorpac!M53-RetribucionEstado!M53-RetribucionOsitran!M53</f>
        <v>8263276.8609171994</v>
      </c>
      <c r="N53" s="63">
        <f>+IngresosBrutos!N53-PagoCorpac!N53-RetribucionEstado!N53-RetribucionOsitran!N53</f>
        <v>9651975.2948040981</v>
      </c>
      <c r="O53" s="63">
        <f>+IngresosBrutos!O53-PagoCorpac!O53-RetribucionEstado!O53-RetribucionOsitran!O53</f>
        <v>10361828.6836986</v>
      </c>
    </row>
    <row r="54" spans="2:15">
      <c r="B54" s="60" t="str">
        <f>+IngresosBrutos!B54</f>
        <v>Parking Lot</v>
      </c>
      <c r="C54" s="64">
        <f>+IngresosBrutos!C54-PagoCorpac!C54-RetribucionEstado!C54-RetribucionOsitran!C54</f>
        <v>322461.6771986286</v>
      </c>
      <c r="D54" s="64">
        <f>+IngresosBrutos!D54-PagoCorpac!D54-RetribucionEstado!D54-RetribucionOsitran!D54</f>
        <v>739471.31845210027</v>
      </c>
      <c r="E54" s="64">
        <f>+IngresosBrutos!E54-PagoCorpac!E54-RetribucionEstado!E54-RetribucionOsitran!E54</f>
        <v>898521.88069579971</v>
      </c>
      <c r="F54" s="64">
        <f>+IngresosBrutos!F54-PagoCorpac!F54-RetribucionEstado!F54-RetribucionOsitran!F54</f>
        <v>948261.90691520006</v>
      </c>
      <c r="G54" s="64">
        <f>+IngresosBrutos!G54-PagoCorpac!G54-RetribucionEstado!G54-RetribucionOsitran!G54</f>
        <v>1093209.6423460001</v>
      </c>
      <c r="H54" s="64">
        <f>+IngresosBrutos!H54-PagoCorpac!H54-RetribucionEstado!H54-RetribucionOsitran!H54</f>
        <v>1093209.6423460001</v>
      </c>
      <c r="I54" s="64">
        <f>+IngresosBrutos!I54-PagoCorpac!I54-RetribucionEstado!I54-RetribucionOsitran!I54</f>
        <v>1231350.6233058001</v>
      </c>
      <c r="J54" s="64">
        <f>+IngresosBrutos!J54-PagoCorpac!J54-RetribucionEstado!J54-RetribucionOsitran!J54</f>
        <v>1620198.8588709</v>
      </c>
      <c r="K54" s="64">
        <f>+IngresosBrutos!K54-PagoCorpac!K54-RetribucionEstado!K54-RetribucionOsitran!K54</f>
        <v>1828911.8773597002</v>
      </c>
      <c r="L54" s="64">
        <f>+IngresosBrutos!L54-PagoCorpac!L54-RetribucionEstado!L54-RetribucionOsitran!L54</f>
        <v>1963382.6486268998</v>
      </c>
      <c r="M54" s="64">
        <f>+IngresosBrutos!M54-PagoCorpac!M54-RetribucionEstado!M54-RetribucionOsitran!M54</f>
        <v>2566795.3947941004</v>
      </c>
      <c r="N54" s="64">
        <f>+IngresosBrutos!N54-PagoCorpac!N54-RetribucionEstado!N54-RetribucionOsitran!N54</f>
        <v>3074061.4047134998</v>
      </c>
      <c r="O54" s="64">
        <f>+IngresosBrutos!O54-PagoCorpac!O54-RetribucionEstado!O54-RetribucionOsitran!O54</f>
        <v>3514955.5990228998</v>
      </c>
    </row>
    <row r="55" spans="2:15">
      <c r="B55" s="53" t="str">
        <f>+IngresosBrutos!B55</f>
        <v>Counter - Terminal</v>
      </c>
      <c r="C55" s="63">
        <f>+IngresosBrutos!C55-PagoCorpac!C55-RetribucionEstado!C55-RetribucionOsitran!C55</f>
        <v>119543.50602012797</v>
      </c>
      <c r="D55" s="63">
        <f>+IngresosBrutos!D55-PagoCorpac!D55-RetribucionEstado!D55-RetribucionOsitran!D55</f>
        <v>138269.61939126399</v>
      </c>
      <c r="E55" s="63">
        <f>+IngresosBrutos!E55-PagoCorpac!E55-RetribucionEstado!E55-RetribucionOsitran!E55</f>
        <v>125456.54660769997</v>
      </c>
      <c r="F55" s="63">
        <f>+IngresosBrutos!F55-PagoCorpac!F55-RetribucionEstado!F55-RetribucionOsitran!F55</f>
        <v>120871.25873601994</v>
      </c>
      <c r="G55" s="63">
        <f>+IngresosBrutos!G55-PagoCorpac!G55-RetribucionEstado!G55-RetribucionOsitran!G55</f>
        <v>110660.669096</v>
      </c>
      <c r="H55" s="63">
        <f>+IngresosBrutos!H55-PagoCorpac!H55-RetribucionEstado!H55-RetribucionOsitran!H55</f>
        <v>110660.669096</v>
      </c>
      <c r="I55" s="63">
        <f>+IngresosBrutos!I55-PagoCorpac!I55-RetribucionEstado!I55-RetribucionOsitran!I55</f>
        <v>103122.6870637</v>
      </c>
      <c r="J55" s="63">
        <f>+IngresosBrutos!J55-PagoCorpac!J55-RetribucionEstado!J55-RetribucionOsitran!J55</f>
        <v>135795.34168000001</v>
      </c>
      <c r="K55" s="63">
        <f>+IngresosBrutos!K55-PagoCorpac!K55-RetribucionEstado!K55-RetribucionOsitran!K55</f>
        <v>153408.41404860001</v>
      </c>
      <c r="L55" s="63">
        <f>+IngresosBrutos!L55-PagoCorpac!L55-RetribucionEstado!L55-RetribucionOsitran!L55</f>
        <v>140647.90248990004</v>
      </c>
      <c r="M55" s="63">
        <f>+IngresosBrutos!M55-PagoCorpac!M55-RetribucionEstado!M55-RetribucionOsitran!M55</f>
        <v>217797.25297649993</v>
      </c>
      <c r="N55" s="63">
        <f>+IngresosBrutos!N55-PagoCorpac!N55-RetribucionEstado!N55-RetribucionOsitran!N55</f>
        <v>282029.2705190999</v>
      </c>
      <c r="O55" s="63">
        <f>+IngresosBrutos!O55-PagoCorpac!O55-RetribucionEstado!O55-RetribucionOsitran!O55</f>
        <v>299423.26429949998</v>
      </c>
    </row>
    <row r="56" spans="2:15">
      <c r="B56" s="60" t="str">
        <f>+IngresosBrutos!B56</f>
        <v>Oficinas - Terminal</v>
      </c>
      <c r="C56" s="64">
        <f>+IngresosBrutos!C56-PagoCorpac!C56-RetribucionEstado!C56-RetribucionOsitran!C56</f>
        <v>286800.44542485825</v>
      </c>
      <c r="D56" s="64">
        <f>+IngresosBrutos!D56-PagoCorpac!D56-RetribucionEstado!D56-RetribucionOsitran!D56</f>
        <v>270841.57625616743</v>
      </c>
      <c r="E56" s="64">
        <f>+IngresosBrutos!E56-PagoCorpac!E56-RetribucionEstado!E56-RetribucionOsitran!E56</f>
        <v>221734.02379550753</v>
      </c>
      <c r="F56" s="64">
        <f>+IngresosBrutos!F56-PagoCorpac!F56-RetribucionEstado!F56-RetribucionOsitran!F56</f>
        <v>200488.88250721834</v>
      </c>
      <c r="G56" s="64">
        <f>+IngresosBrutos!G56-PagoCorpac!G56-RetribucionEstado!G56-RetribucionOsitran!G56</f>
        <v>217270.71508434467</v>
      </c>
      <c r="H56" s="64">
        <f>+IngresosBrutos!H56-PagoCorpac!H56-RetribucionEstado!H56-RetribucionOsitran!H56</f>
        <v>217270.71508434467</v>
      </c>
      <c r="I56" s="64">
        <f>+IngresosBrutos!I56-PagoCorpac!I56-RetribucionEstado!I56-RetribucionOsitran!I56</f>
        <v>241864.1575802</v>
      </c>
      <c r="J56" s="64">
        <f>+IngresosBrutos!J56-PagoCorpac!J56-RetribucionEstado!J56-RetribucionOsitran!J56</f>
        <v>334697.76715239993</v>
      </c>
      <c r="K56" s="64">
        <f>+IngresosBrutos!K56-PagoCorpac!K56-RetribucionEstado!K56-RetribucionOsitran!K56</f>
        <v>512967.3178593</v>
      </c>
      <c r="L56" s="64">
        <f>+IngresosBrutos!L56-PagoCorpac!L56-RetribucionEstado!L56-RetribucionOsitran!L56</f>
        <v>698858.0614102002</v>
      </c>
      <c r="M56" s="64">
        <f>+IngresosBrutos!M56-PagoCorpac!M56-RetribucionEstado!M56-RetribucionOsitran!M56</f>
        <v>609359.40868869983</v>
      </c>
      <c r="N56" s="64">
        <f>+IngresosBrutos!N56-PagoCorpac!N56-RetribucionEstado!N56-RetribucionOsitran!N56</f>
        <v>612512.94255979999</v>
      </c>
      <c r="O56" s="64">
        <f>+IngresosBrutos!O56-PagoCorpac!O56-RetribucionEstado!O56-RetribucionOsitran!O56</f>
        <v>626491.12543390004</v>
      </c>
    </row>
    <row r="57" spans="2:15">
      <c r="B57" s="53" t="str">
        <f>+IngresosBrutos!B57</f>
        <v>Oficinas - Fuera Terminal</v>
      </c>
      <c r="C57" s="63">
        <f>+IngresosBrutos!C57-PagoCorpac!C57-RetribucionEstado!C57-RetribucionOsitran!C57</f>
        <v>63847.091710628571</v>
      </c>
      <c r="D57" s="63">
        <f>+IngresosBrutos!D57-PagoCorpac!D57-RetribucionEstado!D57-RetribucionOsitran!D57</f>
        <v>63781.499206699998</v>
      </c>
      <c r="E57" s="63">
        <f>+IngresosBrutos!E57-PagoCorpac!E57-RetribucionEstado!E57-RetribucionOsitran!E57</f>
        <v>69086.525694399985</v>
      </c>
      <c r="F57" s="63">
        <f>+IngresosBrutos!F57-PagoCorpac!F57-RetribucionEstado!F57-RetribucionOsitran!F57</f>
        <v>64540.852320799997</v>
      </c>
      <c r="G57" s="63">
        <f>+IngresosBrutos!G57-PagoCorpac!G57-RetribucionEstado!G57-RetribucionOsitran!G57</f>
        <v>36814.010891712001</v>
      </c>
      <c r="H57" s="63">
        <f>+IngresosBrutos!H57-PagoCorpac!H57-RetribucionEstado!H57-RetribucionOsitran!H57</f>
        <v>36814.010891712001</v>
      </c>
      <c r="I57" s="63">
        <f>+IngresosBrutos!I57-PagoCorpac!I57-RetribucionEstado!I57-RetribucionOsitran!I57</f>
        <v>29189.655585461998</v>
      </c>
      <c r="J57" s="63">
        <f>+IngresosBrutos!J57-PagoCorpac!J57-RetribucionEstado!J57-RetribucionOsitran!J57</f>
        <v>29921.879339999996</v>
      </c>
      <c r="K57" s="63">
        <f>+IngresosBrutos!K57-PagoCorpac!K57-RetribucionEstado!K57-RetribucionOsitran!K57</f>
        <v>20235.470048700001</v>
      </c>
      <c r="L57" s="63">
        <f>+IngresosBrutos!L57-PagoCorpac!L57-RetribucionEstado!L57-RetribucionOsitran!L57</f>
        <v>15614.868627599999</v>
      </c>
      <c r="M57" s="63">
        <f>+IngresosBrutos!M57-PagoCorpac!M57-RetribucionEstado!M57-RetribucionOsitran!M57</f>
        <v>17664.9524962</v>
      </c>
      <c r="N57" s="63">
        <f>+IngresosBrutos!N57-PagoCorpac!N57-RetribucionEstado!N57-RetribucionOsitran!N57</f>
        <v>16388.472505199999</v>
      </c>
      <c r="O57" s="63">
        <f>+IngresosBrutos!O57-PagoCorpac!O57-RetribucionEstado!O57-RetribucionOsitran!O57</f>
        <v>32929.882209700001</v>
      </c>
    </row>
    <row r="58" spans="2:15">
      <c r="B58" s="60" t="str">
        <f>+IngresosBrutos!B58</f>
        <v xml:space="preserve">Almacen </v>
      </c>
      <c r="C58" s="64">
        <f>+IngresosBrutos!C58-PagoCorpac!C58-RetribucionEstado!C58-RetribucionOsitran!C58</f>
        <v>51722.933662774842</v>
      </c>
      <c r="D58" s="64">
        <f>+IngresosBrutos!D58-PagoCorpac!D58-RetribucionEstado!D58-RetribucionOsitran!D58</f>
        <v>56984.126466599977</v>
      </c>
      <c r="E58" s="64">
        <f>+IngresosBrutos!E58-PagoCorpac!E58-RetribucionEstado!E58-RetribucionOsitran!E58</f>
        <v>57664.205443999999</v>
      </c>
      <c r="F58" s="64">
        <f>+IngresosBrutos!F58-PagoCorpac!F58-RetribucionEstado!F58-RetribucionOsitran!F58</f>
        <v>50020.894627713016</v>
      </c>
      <c r="G58" s="64">
        <f>+IngresosBrutos!G58-PagoCorpac!G58-RetribucionEstado!G58-RetribucionOsitran!G58</f>
        <v>36673.171987000002</v>
      </c>
      <c r="H58" s="64">
        <f>+IngresosBrutos!H58-PagoCorpac!H58-RetribucionEstado!H58-RetribucionOsitran!H58</f>
        <v>36673.171987000002</v>
      </c>
      <c r="I58" s="64">
        <f>+IngresosBrutos!I58-PagoCorpac!I58-RetribucionEstado!I58-RetribucionOsitran!I58</f>
        <v>34455.292280490998</v>
      </c>
      <c r="J58" s="64">
        <f>+IngresosBrutos!J58-PagoCorpac!J58-RetribucionEstado!J58-RetribucionOsitran!J58</f>
        <v>37551.885087100003</v>
      </c>
      <c r="K58" s="64">
        <f>+IngresosBrutos!K58-PagoCorpac!K58-RetribucionEstado!K58-RetribucionOsitran!K58</f>
        <v>39920.167771500004</v>
      </c>
      <c r="L58" s="64">
        <f>+IngresosBrutos!L58-PagoCorpac!L58-RetribucionEstado!L58-RetribucionOsitran!L58</f>
        <v>42744.417150000001</v>
      </c>
      <c r="M58" s="64">
        <f>+IngresosBrutos!M58-PagoCorpac!M58-RetribucionEstado!M58-RetribucionOsitran!M58</f>
        <v>35230.601053299994</v>
      </c>
      <c r="N58" s="64">
        <f>+IngresosBrutos!N58-PagoCorpac!N58-RetribucionEstado!N58-RetribucionOsitran!N58</f>
        <v>36065.994981700009</v>
      </c>
      <c r="O58" s="64">
        <f>+IngresosBrutos!O58-PagoCorpac!O58-RetribucionEstado!O58-RetribucionOsitran!O58</f>
        <v>26123.922269199997</v>
      </c>
    </row>
    <row r="59" spans="2:15">
      <c r="B59" s="53" t="str">
        <f>+IngresosBrutos!B59</f>
        <v>Talleres</v>
      </c>
      <c r="C59" s="63">
        <f>+IngresosBrutos!C59-PagoCorpac!C59-RetribucionEstado!C59-RetribucionOsitran!C59</f>
        <v>50000.817622705115</v>
      </c>
      <c r="D59" s="63">
        <f>+IngresosBrutos!D59-PagoCorpac!D59-RetribucionEstado!D59-RetribucionOsitran!D59</f>
        <v>50658.521656670971</v>
      </c>
      <c r="E59" s="63">
        <f>+IngresosBrutos!E59-PagoCorpac!E59-RetribucionEstado!E59-RetribucionOsitran!E59</f>
        <v>39871.363499299994</v>
      </c>
      <c r="F59" s="63">
        <f>+IngresosBrutos!F59-PagoCorpac!F59-RetribucionEstado!F59-RetribucionOsitran!F59</f>
        <v>38743.374889300001</v>
      </c>
      <c r="G59" s="63">
        <f>+IngresosBrutos!G59-PagoCorpac!G59-RetribucionEstado!G59-RetribucionOsitran!G59</f>
        <v>39009.830048899996</v>
      </c>
      <c r="H59" s="63">
        <f>+IngresosBrutos!H59-PagoCorpac!H59-RetribucionEstado!H59-RetribucionOsitran!H59</f>
        <v>39009.830048899996</v>
      </c>
      <c r="I59" s="63">
        <f>+IngresosBrutos!I59-PagoCorpac!I59-RetribucionEstado!I59-RetribucionOsitran!I59</f>
        <v>36924.819999699997</v>
      </c>
      <c r="J59" s="63">
        <f>+IngresosBrutos!J59-PagoCorpac!J59-RetribucionEstado!J59-RetribucionOsitran!J59</f>
        <v>33748.327440000001</v>
      </c>
      <c r="K59" s="63">
        <f>+IngresosBrutos!K59-PagoCorpac!K59-RetribucionEstado!K59-RetribucionOsitran!K59</f>
        <v>15271.879257100001</v>
      </c>
      <c r="L59" s="63">
        <f>+IngresosBrutos!L59-PagoCorpac!L59-RetribucionEstado!L59-RetribucionOsitran!L59</f>
        <v>9576.8280060000034</v>
      </c>
      <c r="M59" s="63">
        <f>+IngresosBrutos!M59-PagoCorpac!M59-RetribucionEstado!M59-RetribucionOsitran!M59</f>
        <v>8723.2991281000013</v>
      </c>
      <c r="N59" s="63">
        <f>+IngresosBrutos!N59-PagoCorpac!N59-RetribucionEstado!N59-RetribucionOsitran!N59</f>
        <v>7672.7212953000017</v>
      </c>
      <c r="O59" s="63">
        <f>+IngresosBrutos!O59-PagoCorpac!O59-RetribucionEstado!O59-RetribucionOsitran!O59</f>
        <v>1614.7296047999996</v>
      </c>
    </row>
    <row r="60" spans="2:15">
      <c r="B60" s="60" t="str">
        <f>+IngresosBrutos!B60</f>
        <v>Terrenos</v>
      </c>
      <c r="C60" s="64">
        <f>+IngresosBrutos!C60-PagoCorpac!C60-RetribucionEstado!C60-RetribucionOsitran!C60</f>
        <v>260896.12459428571</v>
      </c>
      <c r="D60" s="64">
        <f>+IngresosBrutos!D60-PagoCorpac!D60-RetribucionEstado!D60-RetribucionOsitran!D60</f>
        <v>257137.83720999997</v>
      </c>
      <c r="E60" s="64">
        <f>+IngresosBrutos!E60-PagoCorpac!E60-RetribucionEstado!E60-RetribucionOsitran!E60</f>
        <v>261983.0968</v>
      </c>
      <c r="F60" s="64">
        <f>+IngresosBrutos!F60-PagoCorpac!F60-RetribucionEstado!F60-RetribucionOsitran!F60</f>
        <v>242271.37774</v>
      </c>
      <c r="G60" s="64">
        <f>+IngresosBrutos!G60-PagoCorpac!G60-RetribucionEstado!G60-RetribucionOsitran!G60</f>
        <v>145271.93669159993</v>
      </c>
      <c r="H60" s="64">
        <f>+IngresosBrutos!H60-PagoCorpac!H60-RetribucionEstado!H60-RetribucionOsitran!H60</f>
        <v>145271.93669159993</v>
      </c>
      <c r="I60" s="64">
        <f>+IngresosBrutos!I60-PagoCorpac!I60-RetribucionEstado!I60-RetribucionOsitran!I60</f>
        <v>124768.51554680002</v>
      </c>
      <c r="J60" s="64">
        <f>+IngresosBrutos!J60-PagoCorpac!J60-RetribucionEstado!J60-RetribucionOsitran!J60</f>
        <v>115133.20954589995</v>
      </c>
      <c r="K60" s="64">
        <f>+IngresosBrutos!K60-PagoCorpac!K60-RetribucionEstado!K60-RetribucionOsitran!K60</f>
        <v>33285.30622429998</v>
      </c>
      <c r="L60" s="64">
        <f>+IngresosBrutos!L60-PagoCorpac!L60-RetribucionEstado!L60-RetribucionOsitran!L60</f>
        <v>69354.39280809999</v>
      </c>
      <c r="M60" s="64">
        <f>+IngresosBrutos!M60-PagoCorpac!M60-RetribucionEstado!M60-RetribucionOsitran!M60</f>
        <v>75445.337092799949</v>
      </c>
      <c r="N60" s="64">
        <f>+IngresosBrutos!N60-PagoCorpac!N60-RetribucionEstado!N60-RetribucionOsitran!N60</f>
        <v>69921.263510300007</v>
      </c>
      <c r="O60" s="64">
        <f>+IngresosBrutos!O60-PagoCorpac!O60-RetribucionEstado!O60-RetribucionOsitran!O60</f>
        <v>51955.30234580001</v>
      </c>
    </row>
    <row r="61" spans="2:15">
      <c r="B61" s="53" t="str">
        <f>+IngresosBrutos!B61</f>
        <v>Bancos</v>
      </c>
      <c r="C61" s="63">
        <f>+IngresosBrutos!C61-PagoCorpac!C61-RetribucionEstado!C61-RetribucionOsitran!C61</f>
        <v>31542.733325661953</v>
      </c>
      <c r="D61" s="63">
        <f>+IngresosBrutos!D61-PagoCorpac!D61-RetribucionEstado!D61-RetribucionOsitran!D61</f>
        <v>35961.263679999996</v>
      </c>
      <c r="E61" s="63">
        <f>+IngresosBrutos!E61-PagoCorpac!E61-RetribucionEstado!E61-RetribucionOsitran!E61</f>
        <v>41431.037391999998</v>
      </c>
      <c r="F61" s="63">
        <f>+IngresosBrutos!F61-PagoCorpac!F61-RetribucionEstado!F61-RetribucionOsitran!F61</f>
        <v>42180.160400000001</v>
      </c>
      <c r="G61" s="63">
        <f>+IngresosBrutos!G61-PagoCorpac!G61-RetribucionEstado!G61-RetribucionOsitran!G61</f>
        <v>60908.398315899998</v>
      </c>
      <c r="H61" s="63">
        <f>+IngresosBrutos!H61-PagoCorpac!H61-RetribucionEstado!H61-RetribucionOsitran!H61</f>
        <v>60908.398315899998</v>
      </c>
      <c r="I61" s="63">
        <f>+IngresosBrutos!I61-PagoCorpac!I61-RetribucionEstado!I61-RetribucionOsitran!I61</f>
        <v>113397.54528510002</v>
      </c>
      <c r="J61" s="63">
        <f>+IngresosBrutos!J61-PagoCorpac!J61-RetribucionEstado!J61-RetribucionOsitran!J61</f>
        <v>132323.91867819999</v>
      </c>
      <c r="K61" s="63">
        <f>+IngresosBrutos!K61-PagoCorpac!K61-RetribucionEstado!K61-RetribucionOsitran!K61</f>
        <v>154664.31835159997</v>
      </c>
      <c r="L61" s="63">
        <f>+IngresosBrutos!L61-PagoCorpac!L61-RetribucionEstado!L61-RetribucionOsitran!L61</f>
        <v>156736.09067499998</v>
      </c>
      <c r="M61" s="63">
        <f>+IngresosBrutos!M61-PagoCorpac!M61-RetribucionEstado!M61-RetribucionOsitran!M61</f>
        <v>173174.13904069999</v>
      </c>
      <c r="N61" s="63">
        <f>+IngresosBrutos!N61-PagoCorpac!N61-RetribucionEstado!N61-RetribucionOsitran!N61</f>
        <v>225665.59552590002</v>
      </c>
      <c r="O61" s="63">
        <f>+IngresosBrutos!O61-PagoCorpac!O61-RetribucionEstado!O61-RetribucionOsitran!O61</f>
        <v>327592.88235689997</v>
      </c>
    </row>
    <row r="62" spans="2:15">
      <c r="B62" s="60" t="str">
        <f>+IngresosBrutos!B62</f>
        <v xml:space="preserve">Arrendamiento de locales </v>
      </c>
      <c r="C62" s="64">
        <f>+IngresosBrutos!C62-PagoCorpac!C62-RetribucionEstado!C62-RetribucionOsitran!C62</f>
        <v>1287920.9889484257</v>
      </c>
      <c r="D62" s="64">
        <f>+IngresosBrutos!D62-PagoCorpac!D62-RetribucionEstado!D62-RetribucionOsitran!D62</f>
        <v>1624606.5461436666</v>
      </c>
      <c r="E62" s="64">
        <f>+IngresosBrutos!E62-PagoCorpac!E62-RetribucionEstado!E62-RetribucionOsitran!E62</f>
        <v>1636014.1561935274</v>
      </c>
      <c r="F62" s="64">
        <f>+IngresosBrutos!F62-PagoCorpac!F62-RetribucionEstado!F62-RetribucionOsitran!F62</f>
        <v>1374582.852709549</v>
      </c>
      <c r="G62" s="64">
        <f>+IngresosBrutos!G62-PagoCorpac!G62-RetribucionEstado!G62-RetribucionOsitran!G62</f>
        <v>2071210.9896049432</v>
      </c>
      <c r="H62" s="64">
        <f>+IngresosBrutos!H62-PagoCorpac!H62-RetribucionEstado!H62-RetribucionOsitran!H62</f>
        <v>2071210.9896049432</v>
      </c>
      <c r="I62" s="64">
        <f>+IngresosBrutos!I62-PagoCorpac!I62-RetribucionEstado!I62-RetribucionOsitran!I62</f>
        <v>2716833.785298347</v>
      </c>
      <c r="J62" s="64">
        <f>+IngresosBrutos!J62-PagoCorpac!J62-RetribucionEstado!J62-RetribucionOsitran!J62</f>
        <v>3793367.5113735003</v>
      </c>
      <c r="K62" s="64">
        <f>+IngresosBrutos!K62-PagoCorpac!K62-RetribucionEstado!K62-RetribucionOsitran!K62</f>
        <v>4975175.3133581998</v>
      </c>
      <c r="L62" s="64">
        <f>+IngresosBrutos!L62-PagoCorpac!L62-RetribucionEstado!L62-RetribucionOsitran!L62</f>
        <v>6468591.3965562005</v>
      </c>
      <c r="M62" s="64">
        <f>+IngresosBrutos!M62-PagoCorpac!M62-RetribucionEstado!M62-RetribucionOsitran!M62</f>
        <v>7401587.7228942979</v>
      </c>
      <c r="N62" s="64">
        <f>+IngresosBrutos!N62-PagoCorpac!N62-RetribucionEstado!N62-RetribucionOsitran!N62</f>
        <v>9994332.2620854005</v>
      </c>
      <c r="O62" s="64">
        <f>+IngresosBrutos!O62-PagoCorpac!O62-RetribucionEstado!O62-RetribucionOsitran!O62</f>
        <v>11032503.763351999</v>
      </c>
    </row>
    <row r="63" spans="2:15">
      <c r="B63" s="53" t="str">
        <f>+IngresosBrutos!B63</f>
        <v>Tiendas Comerciales</v>
      </c>
      <c r="C63" s="63">
        <f>+IngresosBrutos!C63-PagoCorpac!C63-RetribucionEstado!C63-RetribucionOsitran!C63</f>
        <v>23792.011479191824</v>
      </c>
      <c r="D63" s="63">
        <f>+IngresosBrutos!D63-PagoCorpac!D63-RetribucionEstado!D63-RetribucionOsitran!D63</f>
        <v>80811.022703306007</v>
      </c>
      <c r="E63" s="63">
        <f>+IngresosBrutos!E63-PagoCorpac!E63-RetribucionEstado!E63-RetribucionOsitran!E63</f>
        <v>78683.918103264979</v>
      </c>
      <c r="F63" s="63">
        <f>+IngresosBrutos!F63-PagoCorpac!F63-RetribucionEstado!F63-RetribucionOsitran!F63</f>
        <v>72382.498964800005</v>
      </c>
      <c r="G63" s="63">
        <f>+IngresosBrutos!G63-PagoCorpac!G63-RetribucionEstado!G63-RetribucionOsitran!G63</f>
        <v>15751.523739099999</v>
      </c>
      <c r="H63" s="63">
        <f>+IngresosBrutos!H63-PagoCorpac!H63-RetribucionEstado!H63-RetribucionOsitran!H63</f>
        <v>15751.523739099999</v>
      </c>
      <c r="I63" s="63">
        <f>+IngresosBrutos!I63-PagoCorpac!I63-RetribucionEstado!I63-RetribucionOsitran!I63</f>
        <v>54084.665599999993</v>
      </c>
      <c r="J63" s="63">
        <f>+IngresosBrutos!J63-PagoCorpac!J63-RetribucionEstado!J63-RetribucionOsitran!J63</f>
        <v>58546.230599999995</v>
      </c>
      <c r="K63" s="63">
        <f>+IngresosBrutos!K63-PagoCorpac!K63-RetribucionEstado!K63-RetribucionOsitran!K63</f>
        <v>59333.565599999994</v>
      </c>
      <c r="L63" s="63">
        <f>+IngresosBrutos!L63-PagoCorpac!L63-RetribucionEstado!L63-RetribucionOsitran!L63</f>
        <v>59333.565599999994</v>
      </c>
      <c r="M63" s="63">
        <f>+IngresosBrutos!M63-PagoCorpac!M63-RetribucionEstado!M63-RetribucionOsitran!M63</f>
        <v>45161.535599999996</v>
      </c>
      <c r="N63" s="63">
        <f>+IngresosBrutos!N63-PagoCorpac!N63-RetribucionEstado!N63-RetribucionOsitran!N63</f>
        <v>30989.505599999997</v>
      </c>
      <c r="O63" s="63">
        <f>+IngresosBrutos!O63-PagoCorpac!O63-RetribucionEstado!O63-RetribucionOsitran!O63</f>
        <v>78481.552800000005</v>
      </c>
    </row>
    <row r="64" spans="2:15">
      <c r="B64" s="60" t="str">
        <f>+IngresosBrutos!B64</f>
        <v>Duty Free</v>
      </c>
      <c r="C64" s="64">
        <f>+IngresosBrutos!C64-PagoCorpac!C64-RetribucionEstado!C64-RetribucionOsitran!C64</f>
        <v>1040050.2745497109</v>
      </c>
      <c r="D64" s="64">
        <f>+IngresosBrutos!D64-PagoCorpac!D64-RetribucionEstado!D64-RetribucionOsitran!D64</f>
        <v>1655857.9328800996</v>
      </c>
      <c r="E64" s="64">
        <f>+IngresosBrutos!E64-PagoCorpac!E64-RetribucionEstado!E64-RetribucionOsitran!E64</f>
        <v>1788357.705455</v>
      </c>
      <c r="F64" s="64">
        <f>+IngresosBrutos!F64-PagoCorpac!F64-RetribucionEstado!F64-RetribucionOsitran!F64</f>
        <v>1776781.1882692997</v>
      </c>
      <c r="G64" s="64">
        <f>+IngresosBrutos!G64-PagoCorpac!G64-RetribucionEstado!G64-RetribucionOsitran!G64</f>
        <v>1938874.2695419998</v>
      </c>
      <c r="H64" s="64">
        <f>+IngresosBrutos!H64-PagoCorpac!H64-RetribucionEstado!H64-RetribucionOsitran!H64</f>
        <v>1938874.2695419998</v>
      </c>
      <c r="I64" s="64">
        <f>+IngresosBrutos!I64-PagoCorpac!I64-RetribucionEstado!I64-RetribucionOsitran!I64</f>
        <v>2157171.2020517997</v>
      </c>
      <c r="J64" s="64">
        <f>+IngresosBrutos!J64-PagoCorpac!J64-RetribucionEstado!J64-RetribucionOsitran!J64</f>
        <v>2789668.764480399</v>
      </c>
      <c r="K64" s="64">
        <f>+IngresosBrutos!K64-PagoCorpac!K64-RetribucionEstado!K64-RetribucionOsitran!K64</f>
        <v>3184502.5595626002</v>
      </c>
      <c r="L64" s="64">
        <f>+IngresosBrutos!L64-PagoCorpac!L64-RetribucionEstado!L64-RetribucionOsitran!L64</f>
        <v>3927562.1222649999</v>
      </c>
      <c r="M64" s="64">
        <f>+IngresosBrutos!M64-PagoCorpac!M64-RetribucionEstado!M64-RetribucionOsitran!M64</f>
        <v>4894045.2496006005</v>
      </c>
      <c r="N64" s="64">
        <f>+IngresosBrutos!N64-PagoCorpac!N64-RetribucionEstado!N64-RetribucionOsitran!N64</f>
        <v>6566310.7767286003</v>
      </c>
      <c r="O64" s="64">
        <f>+IngresosBrutos!O64-PagoCorpac!O64-RetribucionEstado!O64-RetribucionOsitran!O64</f>
        <v>7551065.0940125985</v>
      </c>
    </row>
    <row r="65" spans="2:15">
      <c r="B65" s="53" t="str">
        <f>+IngresosBrutos!B65</f>
        <v>Comidas y bebidas</v>
      </c>
      <c r="C65" s="63">
        <f>+IngresosBrutos!C65-PagoCorpac!C65-RetribucionEstado!C65-RetribucionOsitran!C65</f>
        <v>192273.64815775532</v>
      </c>
      <c r="D65" s="63">
        <f>+IngresosBrutos!D65-PagoCorpac!D65-RetribucionEstado!D65-RetribucionOsitran!D65</f>
        <v>321417.36254649999</v>
      </c>
      <c r="E65" s="63">
        <f>+IngresosBrutos!E65-PagoCorpac!E65-RetribucionEstado!E65-RetribucionOsitran!E65</f>
        <v>344431.90469140001</v>
      </c>
      <c r="F65" s="63">
        <f>+IngresosBrutos!F65-PagoCorpac!F65-RetribucionEstado!F65-RetribucionOsitran!F65</f>
        <v>394719.54227589996</v>
      </c>
      <c r="G65" s="63">
        <f>+IngresosBrutos!G65-PagoCorpac!G65-RetribucionEstado!G65-RetribucionOsitran!G65</f>
        <v>690678.20189469995</v>
      </c>
      <c r="H65" s="63">
        <f>+IngresosBrutos!H65-PagoCorpac!H65-RetribucionEstado!H65-RetribucionOsitran!H65</f>
        <v>690678.20189469995</v>
      </c>
      <c r="I65" s="63">
        <f>+IngresosBrutos!I65-PagoCorpac!I65-RetribucionEstado!I65-RetribucionOsitran!I65</f>
        <v>849358.4483873999</v>
      </c>
      <c r="J65" s="63">
        <f>+IngresosBrutos!J65-PagoCorpac!J65-RetribucionEstado!J65-RetribucionOsitran!J65</f>
        <v>1191599.4149787</v>
      </c>
      <c r="K65" s="63">
        <f>+IngresosBrutos!K65-PagoCorpac!K65-RetribucionEstado!K65-RetribucionOsitran!K65</f>
        <v>1452360.7725658</v>
      </c>
      <c r="L65" s="63">
        <f>+IngresosBrutos!L65-PagoCorpac!L65-RetribucionEstado!L65-RetribucionOsitran!L65</f>
        <v>1558198.3744209995</v>
      </c>
      <c r="M65" s="63">
        <f>+IngresosBrutos!M65-PagoCorpac!M65-RetribucionEstado!M65-RetribucionOsitran!M65</f>
        <v>2143296.3017829997</v>
      </c>
      <c r="N65" s="63">
        <f>+IngresosBrutos!N65-PagoCorpac!N65-RetribucionEstado!N65-RetribucionOsitran!N65</f>
        <v>2714385.7023799997</v>
      </c>
      <c r="O65" s="63">
        <f>+IngresosBrutos!O65-PagoCorpac!O65-RetribucionEstado!O65-RetribucionOsitran!O65</f>
        <v>3218535.0781953</v>
      </c>
    </row>
    <row r="66" spans="2:15">
      <c r="B66" s="60" t="str">
        <f>+IngresosBrutos!B66</f>
        <v>Transporte terrestre de pasajeros</v>
      </c>
      <c r="C66" s="64">
        <f>+IngresosBrutos!C66-PagoCorpac!C66-RetribucionEstado!C66-RetribucionOsitran!C66</f>
        <v>156493.64214091594</v>
      </c>
      <c r="D66" s="64">
        <f>+IngresosBrutos!D66-PagoCorpac!D66-RetribucionEstado!D66-RetribucionOsitran!D66</f>
        <v>250303.0503107</v>
      </c>
      <c r="E66" s="64">
        <f>+IngresosBrutos!E66-PagoCorpac!E66-RetribucionEstado!E66-RetribucionOsitran!E66</f>
        <v>237135.36058340003</v>
      </c>
      <c r="F66" s="64">
        <f>+IngresosBrutos!F66-PagoCorpac!F66-RetribucionEstado!F66-RetribucionOsitran!F66</f>
        <v>219071.87485689999</v>
      </c>
      <c r="G66" s="64">
        <f>+IngresosBrutos!G66-PagoCorpac!G66-RetribucionEstado!G66-RetribucionOsitran!G66</f>
        <v>229818.97136239999</v>
      </c>
      <c r="H66" s="64">
        <f>+IngresosBrutos!H66-PagoCorpac!H66-RetribucionEstado!H66-RetribucionOsitran!H66</f>
        <v>229818.97136239999</v>
      </c>
      <c r="I66" s="64">
        <f>+IngresosBrutos!I66-PagoCorpac!I66-RetribucionEstado!I66-RetribucionOsitran!I66</f>
        <v>248736.97800889995</v>
      </c>
      <c r="J66" s="64">
        <f>+IngresosBrutos!J66-PagoCorpac!J66-RetribucionEstado!J66-RetribucionOsitran!J66</f>
        <v>293427.37234490004</v>
      </c>
      <c r="K66" s="64">
        <f>+IngresosBrutos!K66-PagoCorpac!K66-RetribucionEstado!K66-RetribucionOsitran!K66</f>
        <v>432746.97770300001</v>
      </c>
      <c r="L66" s="64">
        <f>+IngresosBrutos!L66-PagoCorpac!L66-RetribucionEstado!L66-RetribucionOsitran!L66</f>
        <v>477513.72778729995</v>
      </c>
      <c r="M66" s="64">
        <f>+IngresosBrutos!M66-PagoCorpac!M66-RetribucionEstado!M66-RetribucionOsitran!M66</f>
        <v>573849.65538669983</v>
      </c>
      <c r="N66" s="64">
        <f>+IngresosBrutos!N66-PagoCorpac!N66-RetribucionEstado!N66-RetribucionOsitran!N66</f>
        <v>760260.00329529995</v>
      </c>
      <c r="O66" s="64">
        <f>+IngresosBrutos!O66-PagoCorpac!O66-RetribucionEstado!O66-RetribucionOsitran!O66</f>
        <v>864057.74613909994</v>
      </c>
    </row>
    <row r="67" spans="2:15">
      <c r="B67" s="53" t="str">
        <f>+IngresosBrutos!B67</f>
        <v>Publicidad</v>
      </c>
      <c r="C67" s="63">
        <f>+IngresosBrutos!C67-PagoCorpac!C67-RetribucionEstado!C67-RetribucionOsitran!C67</f>
        <v>14786.896649616267</v>
      </c>
      <c r="D67" s="63">
        <f>+IngresosBrutos!D67-PagoCorpac!D67-RetribucionEstado!D67-RetribucionOsitran!D67</f>
        <v>173158.87348986667</v>
      </c>
      <c r="E67" s="63">
        <f>+IngresosBrutos!E67-PagoCorpac!E67-RetribucionEstado!E67-RetribucionOsitran!E67</f>
        <v>137382.13139009997</v>
      </c>
      <c r="F67" s="63">
        <f>+IngresosBrutos!F67-PagoCorpac!F67-RetribucionEstado!F67-RetribucionOsitran!F67</f>
        <v>200559.83388310001</v>
      </c>
      <c r="G67" s="63">
        <f>+IngresosBrutos!G67-PagoCorpac!G67-RetribucionEstado!G67-RetribucionOsitran!G67</f>
        <v>270721.06135470001</v>
      </c>
      <c r="H67" s="63">
        <f>+IngresosBrutos!H67-PagoCorpac!H67-RetribucionEstado!H67-RetribucionOsitran!H67</f>
        <v>270721.06135470001</v>
      </c>
      <c r="I67" s="63">
        <f>+IngresosBrutos!I67-PagoCorpac!I67-RetribucionEstado!I67-RetribucionOsitran!I67</f>
        <v>322663.5563845</v>
      </c>
      <c r="J67" s="63">
        <f>+IngresosBrutos!J67-PagoCorpac!J67-RetribucionEstado!J67-RetribucionOsitran!J67</f>
        <v>301223.99917360005</v>
      </c>
      <c r="K67" s="63">
        <f>+IngresosBrutos!K67-PagoCorpac!K67-RetribucionEstado!K67-RetribucionOsitran!K67</f>
        <v>650835.56562510005</v>
      </c>
      <c r="L67" s="63">
        <f>+IngresosBrutos!L67-PagoCorpac!L67-RetribucionEstado!L67-RetribucionOsitran!L67</f>
        <v>865058.25471479993</v>
      </c>
      <c r="M67" s="63">
        <f>+IngresosBrutos!M67-PagoCorpac!M67-RetribucionEstado!M67-RetribucionOsitran!M67</f>
        <v>1036512.1980030001</v>
      </c>
      <c r="N67" s="63">
        <f>+IngresosBrutos!N67-PagoCorpac!N67-RetribucionEstado!N67-RetribucionOsitran!N67</f>
        <v>1137555.3811136</v>
      </c>
      <c r="O67" s="63">
        <f>+IngresosBrutos!O67-PagoCorpac!O67-RetribucionEstado!O67-RetribucionOsitran!O67</f>
        <v>1349134.4039803997</v>
      </c>
    </row>
    <row r="68" spans="2:15">
      <c r="B68" s="60" t="str">
        <f>+IngresosBrutos!B68</f>
        <v>Otros Comerciales</v>
      </c>
      <c r="C68" s="64">
        <f>+IngresosBrutos!C68-PagoCorpac!C68-RetribucionEstado!C68-RetribucionOsitran!C68</f>
        <v>474983.24231960496</v>
      </c>
      <c r="D68" s="64">
        <f>+IngresosBrutos!D68-PagoCorpac!D68-RetribucionEstado!D68-RetribucionOsitran!D68</f>
        <v>719112.60602937697</v>
      </c>
      <c r="E68" s="64">
        <f>+IngresosBrutos!E68-PagoCorpac!E68-RetribucionEstado!E68-RetribucionOsitran!E68</f>
        <v>1081039.3822121941</v>
      </c>
      <c r="F68" s="64">
        <f>+IngresosBrutos!F68-PagoCorpac!F68-RetribucionEstado!F68-RetribucionOsitran!F68</f>
        <v>1349287.1952386959</v>
      </c>
      <c r="G68" s="64">
        <f>+IngresosBrutos!G68-PagoCorpac!G68-RetribucionEstado!G68-RetribucionOsitran!G68</f>
        <v>1139595.9195147008</v>
      </c>
      <c r="H68" s="64">
        <f>+IngresosBrutos!H68-PagoCorpac!H68-RetribucionEstado!H68-RetribucionOsitran!H68</f>
        <v>1139595.919514697</v>
      </c>
      <c r="I68" s="64">
        <f>+IngresosBrutos!I68-PagoCorpac!I68-RetribucionEstado!I68-RetribucionOsitran!I68</f>
        <v>1016455.9290228363</v>
      </c>
      <c r="J68" s="64">
        <f>+IngresosBrutos!J68-PagoCorpac!J68-RetribucionEstado!J68-RetribucionOsitran!J68</f>
        <v>1627861.6239167037</v>
      </c>
      <c r="K68" s="64">
        <f>+IngresosBrutos!K68-PagoCorpac!K68-RetribucionEstado!K68-RetribucionOsitran!K68</f>
        <v>1294764.4780863996</v>
      </c>
      <c r="L68" s="64">
        <f>+IngresosBrutos!L68-PagoCorpac!L68-RetribucionEstado!L68-RetribucionOsitran!L68</f>
        <v>1895915.6716567373</v>
      </c>
      <c r="M68" s="64">
        <f>+IngresosBrutos!M68-PagoCorpac!M68-RetribucionEstado!M68-RetribucionOsitran!M68</f>
        <v>2427353.8477406427</v>
      </c>
      <c r="N68" s="64">
        <f>+IngresosBrutos!N68-PagoCorpac!N68-RetribucionEstado!N68-RetribucionOsitran!N68</f>
        <v>2459689.9336701296</v>
      </c>
      <c r="O68" s="64">
        <f>+IngresosBrutos!O68-PagoCorpac!O68-RetribucionEstado!O68-RetribucionOsitran!O68</f>
        <v>3074246.8405128755</v>
      </c>
    </row>
    <row r="70" spans="2:15"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</row>
    <row r="75" spans="2:15"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</row>
  </sheetData>
  <mergeCells count="1">
    <mergeCell ref="E2:H2"/>
  </mergeCells>
  <hyperlinks>
    <hyperlink ref="E2:H2" location="Indice!D3" display="ÍNDICE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46</vt:i4>
      </vt:variant>
    </vt:vector>
  </HeadingPairs>
  <TitlesOfParts>
    <vt:vector size="46" baseType="lpstr">
      <vt:lpstr>Factor_de_Productividad</vt:lpstr>
      <vt:lpstr>Indice</vt:lpstr>
      <vt:lpstr>Indice de Cantidades </vt:lpstr>
      <vt:lpstr>Indice de Precios</vt:lpstr>
      <vt:lpstr>IngresosBrutos</vt:lpstr>
      <vt:lpstr>PagoCorpac</vt:lpstr>
      <vt:lpstr>RetribucionEstado</vt:lpstr>
      <vt:lpstr>RetribucionOsitran</vt:lpstr>
      <vt:lpstr>IngresosNetos</vt:lpstr>
      <vt:lpstr>CantidadDeProducto</vt:lpstr>
      <vt:lpstr>PreciosImplicitos</vt:lpstr>
      <vt:lpstr>IndiceCantidadesServicios</vt:lpstr>
      <vt:lpstr>IndicePreciosServicios</vt:lpstr>
      <vt:lpstr>BaseCapital</vt:lpstr>
      <vt:lpstr>ValorContableBaseCapital</vt:lpstr>
      <vt:lpstr>Inversiones </vt:lpstr>
      <vt:lpstr>Depreciaciones</vt:lpstr>
      <vt:lpstr>ValorContableInversiones  </vt:lpstr>
      <vt:lpstr>StockCapital</vt:lpstr>
      <vt:lpstr>StockCapitalPromedio</vt:lpstr>
      <vt:lpstr>PreciosDeCapital</vt:lpstr>
      <vt:lpstr>CostoUnitarioCapital</vt:lpstr>
      <vt:lpstr>CantidadesdeCapital</vt:lpstr>
      <vt:lpstr>ValorNominalImplicito</vt:lpstr>
      <vt:lpstr>CostoCapital2001</vt:lpstr>
      <vt:lpstr>PrecioCapital2001</vt:lpstr>
      <vt:lpstr>IndiceCantidadesCapital</vt:lpstr>
      <vt:lpstr>IndicePreciosCapital</vt:lpstr>
      <vt:lpstr>CantidadDeTrabajo</vt:lpstr>
      <vt:lpstr>GastoEnSalarios</vt:lpstr>
      <vt:lpstr>GastoEnSalariosAPrecios2001</vt:lpstr>
      <vt:lpstr>PrecioImplicitoDelTrabajoAl2001</vt:lpstr>
      <vt:lpstr>IndiceCantidadesTrabajo</vt:lpstr>
      <vt:lpstr>IndicePreciosTrabajo</vt:lpstr>
      <vt:lpstr>GastoMateriales</vt:lpstr>
      <vt:lpstr>CantidadesMateralialesIndexados</vt:lpstr>
      <vt:lpstr>PreciosImplicitoDeMateriales</vt:lpstr>
      <vt:lpstr>IndiceCantidadesMateriales</vt:lpstr>
      <vt:lpstr>IndicePreciosMateriales</vt:lpstr>
      <vt:lpstr>IPC_Lima</vt:lpstr>
      <vt:lpstr>IPC_Ajustado</vt:lpstr>
      <vt:lpstr>IPMAjustado</vt:lpstr>
      <vt:lpstr>IPMajustadoUS</vt:lpstr>
      <vt:lpstr>Devaluacion</vt:lpstr>
      <vt:lpstr>WACC</vt:lpstr>
      <vt:lpstr>PTF Eco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2013-07-18T14:36:13Z</dcterms:created>
  <dcterms:modified xsi:type="dcterms:W3CDTF">2013-07-23T21:27:36Z</dcterms:modified>
  <cp:contentStatus/>
</cp:coreProperties>
</file>