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activeTab="0"/>
  </bookViews>
  <sheets>
    <sheet name="Factor X" sheetId="1" r:id="rId1"/>
    <sheet name="IPM" sheetId="2" r:id="rId2"/>
    <sheet name="IPC" sheetId="3" r:id="rId3"/>
    <sheet name="DatosGenerales" sheetId="4" r:id="rId4"/>
    <sheet name="Ingresos Brutos" sheetId="5" r:id="rId5"/>
    <sheet name="Ingresos Netos" sheetId="6" r:id="rId6"/>
    <sheet name="CantidadesProducto" sheetId="7" r:id="rId7"/>
    <sheet name="PreciosImplícitos" sheetId="8" r:id="rId8"/>
    <sheet name="ÍndiceCantidadesProducto" sheetId="9" r:id="rId9"/>
    <sheet name="GastosSalarios" sheetId="10" r:id="rId10"/>
    <sheet name="CantidadTrabajo" sheetId="11" r:id="rId11"/>
    <sheet name="PrecioImplícitoDeTrabajo" sheetId="12" r:id="rId12"/>
    <sheet name="ÍndiceCantidadesTrabajo" sheetId="13" r:id="rId13"/>
    <sheet name="ÍndicePreciosTrabajo" sheetId="14" r:id="rId14"/>
    <sheet name="GastosMateriales" sheetId="15" r:id="rId15"/>
    <sheet name="CantidadMateriales" sheetId="16" r:id="rId16"/>
    <sheet name="PreciosInplícitosMateriales" sheetId="17" r:id="rId17"/>
    <sheet name="ÍndiceCantidadesMateriales" sheetId="18" r:id="rId18"/>
    <sheet name="ÍndicePreciosMateriales" sheetId="19" r:id="rId19"/>
    <sheet name="Tasa impuestos" sheetId="20" r:id="rId20"/>
    <sheet name="WACC" sheetId="21" r:id="rId21"/>
    <sheet name="Capital" sheetId="22" r:id="rId22"/>
    <sheet name="TasaDepreciación" sheetId="23" r:id="rId23"/>
    <sheet name="Depreciación" sheetId="24" r:id="rId24"/>
    <sheet name="StockNetoCapital (1)" sheetId="25" r:id="rId25"/>
    <sheet name="StockNetoCapital (2)" sheetId="26" r:id="rId26"/>
    <sheet name="CantidadesCapital" sheetId="27" r:id="rId27"/>
    <sheet name="PrecioCapital" sheetId="28" r:id="rId28"/>
    <sheet name="ÍndiceCantidades Capital" sheetId="29" r:id="rId29"/>
    <sheet name="ÍndicePreciosCapital" sheetId="30" r:id="rId30"/>
    <sheet name="Capital IV" sheetId="31" state="hidden" r:id="rId31"/>
    <sheet name="Agregados" sheetId="32" r:id="rId32"/>
    <sheet name="Precios de la economía" sheetId="33" state="hidden" r:id="rId33"/>
    <sheet name="PTF Economía" sheetId="34" r:id="rId34"/>
  </sheets>
  <definedNames/>
  <calcPr fullCalcOnLoad="1"/>
</workbook>
</file>

<file path=xl/comments31.xml><?xml version="1.0" encoding="utf-8"?>
<comments xmlns="http://schemas.openxmlformats.org/spreadsheetml/2006/main">
  <authors>
    <author>Josue Zavaleta</author>
  </authors>
  <commentList>
    <comment ref="C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Principalmenta vehículos para la Gerencia y equipos diversos.</t>
        </r>
      </text>
    </comment>
    <comment ref="C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Principalmenta costos pre-operativos (1293) y maquinarias y equipos adquiridos por la concesión (4420).</t>
        </r>
      </text>
    </comment>
    <comment ref="C17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Adelanto para la elaboración del expediente técnico de las obras de las etapas 1 y 2.</t>
        </r>
      </text>
    </comment>
    <comment ref="E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principamente maquinarias importadas en curso (2015), mantenimiento de dragado (3502)</t>
        </r>
      </text>
    </comment>
    <comment ref="E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Maquinaria (13932)</t>
        </r>
      </text>
    </comment>
    <comment ref="H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principalmente mejoras en la infraestructura: civil, eléctrica y de muelle (686), mantenimiento de dragado (259), forjlifts (665), maquinaria importada en curso (556), maquinarias (550) y otro equipos.</t>
        </r>
      </text>
    </comment>
    <comment ref="H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Maquinaria importada en curso (47013)</t>
        </r>
      </text>
    </comment>
    <comment ref="H17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Trabajos de obras civiles (51537), dragado (13932, gastos relacionados a la estructuración del préstamo de la IFC (6843), capitalización de intereses (2469), Eval. Impacto ambiental (2893), gastos relacionados con el departamento de PIM (2450), anticipos a FCC JJC (35546) para obras en el TNM.</t>
        </r>
      </text>
    </comment>
    <comment ref="K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principalmente por obras de ingenieria (144), sistema contra incendio en el muelle 7 (97), equipamiento portuario (70)</t>
        </r>
      </text>
    </comment>
    <comment ref="I1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Reclasificado en el 2014</t>
        </r>
      </text>
    </comment>
    <comment ref="K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maquinarias importadas (11824) por dos Mobile Harbor.</t>
        </r>
      </text>
    </comment>
    <comment ref="K18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maquinaria importada 4 grúas de muelle (3588), 12 grúas de patio (1888), 3 tolvas de grano (514), 3 trailer (28)</t>
        </r>
      </text>
    </comment>
    <comment ref="K17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Trabajos de obras civiles (69652),  capitalización de intereses (10387), Eval. Impacto ambiental (748), gastos relacionados con el departamento de PIM (411), anticipos a FCC JJC (16282) para obras en el TNM.</t>
        </r>
      </text>
    </comment>
    <comment ref="O5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principalmente estudios de obras de ingenieria (467), mejoras de infraestructura: civil, eléctrica y de muelle (736), 7 trailers (164) mobiliario (341), sistema de cámaras (67) y hadware (39).</t>
        </r>
      </text>
    </comment>
    <comment ref="O17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Trabajos de obras civiles (73747),  capitalización de intereses (10330), Eval. Impacto ambiental (572),gastos por seguros (237)</t>
        </r>
      </text>
    </comment>
    <comment ref="O18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Hoppers (4751) STS (2112), RTG (1211) y 5 terminal truck (469)</t>
        </r>
      </text>
    </comment>
    <comment ref="Q16" authorId="0">
      <text>
        <r>
          <rPr>
            <b/>
            <sz val="9"/>
            <rFont val="Tahoma"/>
            <family val="2"/>
          </rPr>
          <t>Josue Zavaleta:</t>
        </r>
        <r>
          <rPr>
            <sz val="9"/>
            <rFont val="Tahoma"/>
            <family val="2"/>
          </rPr>
          <t xml:space="preserve">
Muelle 5, muelle 11 y edificio administrativo (140232), STS (36663), RTG (19707 y Hoppers (5603).</t>
        </r>
      </text>
    </comment>
  </commentList>
</comments>
</file>

<file path=xl/sharedStrings.xml><?xml version="1.0" encoding="utf-8"?>
<sst xmlns="http://schemas.openxmlformats.org/spreadsheetml/2006/main" count="500" uniqueCount="164">
  <si>
    <t>Uso de amarradero (inc. Amarre/desamarre)</t>
  </si>
  <si>
    <t>Tratamiento especial carga fraccionada peligrosa</t>
  </si>
  <si>
    <t>Carga de proyecto</t>
  </si>
  <si>
    <t>Otros servicios</t>
  </si>
  <si>
    <t>Índice de Cantidades de Producto</t>
  </si>
  <si>
    <t>Índice de Laspeyres</t>
  </si>
  <si>
    <t>Numerador</t>
  </si>
  <si>
    <t>Denominador</t>
  </si>
  <si>
    <t>Índice</t>
  </si>
  <si>
    <t>Índice de Paasche</t>
  </si>
  <si>
    <t>Índice Fisher</t>
  </si>
  <si>
    <t>Variación del índice</t>
  </si>
  <si>
    <t xml:space="preserve">Empleados </t>
  </si>
  <si>
    <t xml:space="preserve">Eventuales </t>
  </si>
  <si>
    <t>Eventuales</t>
  </si>
  <si>
    <t>Índice de Cantidades de Mano de Obra</t>
  </si>
  <si>
    <t>Servicios prestados por terceros</t>
  </si>
  <si>
    <t>Seguridad y limpieza</t>
  </si>
  <si>
    <t>Servicios básicos</t>
  </si>
  <si>
    <t>Mantenimiento y reparaciones</t>
  </si>
  <si>
    <t>Combustible</t>
  </si>
  <si>
    <t>Suministros</t>
  </si>
  <si>
    <t>Seguros</t>
  </si>
  <si>
    <t>Otros</t>
  </si>
  <si>
    <t>Índice de Cantidades de Materiales</t>
  </si>
  <si>
    <t>Índice de Precios de Materiales</t>
  </si>
  <si>
    <t>Año</t>
  </si>
  <si>
    <t>Activos</t>
  </si>
  <si>
    <t>Instalaciones</t>
  </si>
  <si>
    <t>Maquinaria y equipamiento</t>
  </si>
  <si>
    <t>Unidades de transporte</t>
  </si>
  <si>
    <t>Muebles y enseres</t>
  </si>
  <si>
    <t>Equipos diversos</t>
  </si>
  <si>
    <t>Equipos de cómputo</t>
  </si>
  <si>
    <t>Trabajos en curso y unidades por recibir</t>
  </si>
  <si>
    <t>Intangibles</t>
  </si>
  <si>
    <t>Bienes de la concesión</t>
  </si>
  <si>
    <t>Equipamiento</t>
  </si>
  <si>
    <t>Software y licencias</t>
  </si>
  <si>
    <t>Obras en curso</t>
  </si>
  <si>
    <t>Depreciación</t>
  </si>
  <si>
    <t>Años</t>
  </si>
  <si>
    <t>Tasa de impuestos</t>
  </si>
  <si>
    <t>Índice de Cantidades de Capital</t>
  </si>
  <si>
    <t>Índice de Precios de Capital</t>
  </si>
  <si>
    <t>Cálculo Índice Fisher para Cantidades de Insumos</t>
  </si>
  <si>
    <t>Agregado de Insumos</t>
  </si>
  <si>
    <t>Índice de Cantidades Laspeyres</t>
  </si>
  <si>
    <t>Índice de Cantidades Paasche</t>
  </si>
  <si>
    <t>Indice Fisher de Insumos</t>
  </si>
  <si>
    <t>Variacion Indice Insumos</t>
  </si>
  <si>
    <t>Productividad de la Empresa</t>
  </si>
  <si>
    <t>Índice Fisher Output</t>
  </si>
  <si>
    <t>Índice Fisher Input</t>
  </si>
  <si>
    <t>PTF Empresa</t>
  </si>
  <si>
    <t>Indice de Precios de Insumos para la Empresa</t>
  </si>
  <si>
    <t>Precio de Insumos Empresa</t>
  </si>
  <si>
    <t>Índice Laspeyres</t>
  </si>
  <si>
    <t>Índice Paasche</t>
  </si>
  <si>
    <t>Fisher Precio Insumos</t>
  </si>
  <si>
    <t>Precios Empresa</t>
  </si>
  <si>
    <t>Diferencia</t>
  </si>
  <si>
    <t>Factor X</t>
  </si>
  <si>
    <t>PTF Economía</t>
  </si>
  <si>
    <t>Promedio</t>
  </si>
  <si>
    <t>Precios de los insumos de la Economía</t>
  </si>
  <si>
    <t>Tonelada</t>
  </si>
  <si>
    <t>Metro Eslora-Hora</t>
  </si>
  <si>
    <t>Pasajero</t>
  </si>
  <si>
    <t>Varios</t>
  </si>
  <si>
    <t>Adiciones</t>
  </si>
  <si>
    <t>Transferencias</t>
  </si>
  <si>
    <t>Uso de barreras de contención</t>
  </si>
  <si>
    <t>Día</t>
  </si>
  <si>
    <t>Instalaciones Maquinaria y Equipo</t>
  </si>
  <si>
    <t>Maquinaria y equipo</t>
  </si>
  <si>
    <t>Saldos</t>
  </si>
  <si>
    <t>Bajas</t>
  </si>
  <si>
    <t>Unidades por recibir-bienes de la concesión</t>
  </si>
  <si>
    <t>Adicionales</t>
  </si>
  <si>
    <t>Fuente: APOYO Consultoría (2016)</t>
  </si>
  <si>
    <t>Años de vida útil</t>
  </si>
  <si>
    <t>Componentes</t>
  </si>
  <si>
    <t>Tasa Libre de Riesgo</t>
  </si>
  <si>
    <t>Riesgo del Mercado</t>
  </si>
  <si>
    <t>Riesgo País</t>
  </si>
  <si>
    <t>Beta Unlevered</t>
  </si>
  <si>
    <t>0.57</t>
  </si>
  <si>
    <t>0.56</t>
  </si>
  <si>
    <t>0.53</t>
  </si>
  <si>
    <t>0.54</t>
  </si>
  <si>
    <t>D/E</t>
  </si>
  <si>
    <t>0.00</t>
  </si>
  <si>
    <t>0.80</t>
  </si>
  <si>
    <t>0.99</t>
  </si>
  <si>
    <t>1.20</t>
  </si>
  <si>
    <t>Tasa Impuesto</t>
  </si>
  <si>
    <t>Beta Apalancada</t>
  </si>
  <si>
    <t>Costo de Patrimonio</t>
  </si>
  <si>
    <t>E/(D+E)</t>
  </si>
  <si>
    <t>D/(D+E)</t>
  </si>
  <si>
    <t>Costo de Deuda</t>
  </si>
  <si>
    <t>WACC</t>
  </si>
  <si>
    <t>IPM (Diciembre 2013 = 100)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</si>
  <si>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</si>
  <si>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</si>
  <si>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</si>
  <si>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</si>
  <si>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</si>
  <si>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</si>
  <si>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</si>
  <si>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</si>
  <si>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</si>
  <si>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</si>
  <si>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</si>
  <si>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</si>
  <si>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Nacional de Estadística e Informática (INEI)</t>
  </si>
  <si>
    <t>IPC (2009 = 100)</t>
  </si>
  <si>
    <t>IPM Promedio Anual</t>
  </si>
  <si>
    <t>IPC Promedio Anual</t>
  </si>
  <si>
    <t>TC Promedio Anual</t>
  </si>
  <si>
    <t>Fuente: Instituto Nacional de Estadística e Informática (INEI), Banco Central de Reserva del Perú (BCRP)</t>
  </si>
  <si>
    <t>Inflación IPC</t>
  </si>
  <si>
    <t>Índice IPM-2011 (En USD)</t>
  </si>
  <si>
    <t>Índice IPM-2011 (En S/.)</t>
  </si>
  <si>
    <t>Índice IPC-2011 (En USD)</t>
  </si>
  <si>
    <t>Índice IPC-2011 (En S/.)</t>
  </si>
  <si>
    <t>Servicios (En USD)</t>
  </si>
  <si>
    <t>Unidad</t>
  </si>
  <si>
    <t>Servicios (En miles de USD)</t>
  </si>
  <si>
    <t>Embarque/descarga de Carga fraccionada</t>
  </si>
  <si>
    <t>Embarque/descarga de Carga rodante</t>
  </si>
  <si>
    <t>Embarque/descarga de Carga granel sólido</t>
  </si>
  <si>
    <t>Embarque/descarga de Carga granel líquido</t>
  </si>
  <si>
    <t>Embarque/desembarque de pasajeros</t>
  </si>
  <si>
    <t>Servicios (En miles)</t>
  </si>
  <si>
    <t xml:space="preserve">Funcionarios </t>
  </si>
  <si>
    <t>Remuneraciones</t>
  </si>
  <si>
    <t>Participación de trabajadores</t>
  </si>
  <si>
    <t>Otros gastos de personal</t>
  </si>
  <si>
    <t>Gastos Laborales (En miles de USD)</t>
  </si>
  <si>
    <t>Horas Hombre (En miles)</t>
  </si>
  <si>
    <t>Precio Implícito (En USD)</t>
  </si>
  <si>
    <t>Índice de Preicios de Mano de Obra</t>
  </si>
  <si>
    <t>Total Gastos Materiales</t>
  </si>
  <si>
    <t>Gastos en materiales (En miles de USD)</t>
  </si>
  <si>
    <t>Cantidad de materiales</t>
  </si>
  <si>
    <t>Capital inicial (En miles USD)</t>
  </si>
  <si>
    <t>Capital adicional (En miles USD)</t>
  </si>
  <si>
    <t>Depreciación de capital adicional (En miles USD)</t>
  </si>
  <si>
    <t>Depreciación de capital inicial (En miles USD)</t>
  </si>
  <si>
    <t>Stock neto acumulado de capital inicial (En miles USD)</t>
  </si>
  <si>
    <t>Stock neto acumulado de capital adicional (En miles  USD)</t>
  </si>
  <si>
    <t>Stock neto acumulado de capital (En miles USD)</t>
  </si>
  <si>
    <t>Cantidades de Capital</t>
  </si>
  <si>
    <t>Cantidades de Capital (promedio)</t>
  </si>
  <si>
    <t>Precio de Capital</t>
  </si>
  <si>
    <t>Diferencia en el Crecimiento en Precios Insumos con la Economía</t>
  </si>
  <si>
    <t>Crecimiento en Precios Insumos Economía We</t>
  </si>
  <si>
    <t>Crecimiento en Precios Insumos Empresa W</t>
  </si>
  <si>
    <t>Diferencia en el Crecimiento en la PTF con la Economía</t>
  </si>
  <si>
    <t>Crecimiento en la PTF de la Empresa T</t>
  </si>
  <si>
    <t>Crecimiento en la PTF de la Economía Te</t>
  </si>
  <si>
    <t>Nota: se ha excluido, para efectos de esta presentación, la información declarada como confidencial mediante las Resolución N° 001-2016-CD-OSITRAN y Resolución N° 014-16-CD-OSITRAN.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</si>
</sst>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b/>
      <sz val="10"/>
      <name val="Corbel"/>
      <family val="2"/>
    </font>
    <font>
      <b/>
      <sz val="10"/>
      <color indexed="9"/>
      <name val="Corbel"/>
      <family val="2"/>
    </font>
    <font>
      <sz val="10"/>
      <name val="Corbe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orbel"/>
      <family val="2"/>
    </font>
    <font>
      <sz val="8"/>
      <color indexed="8"/>
      <name val="Corbe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sz val="10"/>
      <color theme="0"/>
      <name val="Corbel"/>
      <family val="2"/>
    </font>
    <font>
      <b/>
      <sz val="11"/>
      <color rgb="FFFF0000"/>
      <name val="Calibri"/>
      <family val="2"/>
    </font>
    <font>
      <sz val="8"/>
      <color theme="1"/>
      <name val="Corbel"/>
      <family val="2"/>
    </font>
    <font>
      <sz val="10"/>
      <color rgb="FF000000"/>
      <name val="Corbel"/>
      <family val="2"/>
    </font>
    <font>
      <i/>
      <sz val="10"/>
      <color rgb="FF000000"/>
      <name val="Corbel"/>
      <family val="2"/>
    </font>
    <font>
      <b/>
      <sz val="10"/>
      <color rgb="FF000000"/>
      <name val="Corbe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10" fontId="6" fillId="0" borderId="12" xfId="55" applyNumberFormat="1" applyFont="1" applyFill="1" applyBorder="1" applyAlignment="1">
      <alignment horizontal="center"/>
    </xf>
    <xf numFmtId="10" fontId="6" fillId="0" borderId="13" xfId="55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10" fontId="4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0" fillId="0" borderId="0" xfId="47" applyNumberFormat="1" applyFont="1" applyAlignment="1">
      <alignment/>
    </xf>
    <xf numFmtId="0" fontId="48" fillId="0" borderId="0" xfId="0" applyFont="1" applyAlignment="1">
      <alignment horizontal="center" vertical="center"/>
    </xf>
    <xf numFmtId="43" fontId="45" fillId="0" borderId="0" xfId="47" applyFont="1" applyAlignment="1">
      <alignment/>
    </xf>
    <xf numFmtId="43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2" fontId="45" fillId="0" borderId="0" xfId="47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6" fillId="0" borderId="14" xfId="0" applyFont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2" fontId="45" fillId="0" borderId="0" xfId="47" applyNumberFormat="1" applyFont="1" applyBorder="1" applyAlignment="1">
      <alignment horizontal="center" vertical="center"/>
    </xf>
    <xf numFmtId="2" fontId="46" fillId="0" borderId="14" xfId="47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47" fillId="33" borderId="14" xfId="0" applyFont="1" applyFill="1" applyBorder="1" applyAlignment="1">
      <alignment horizontal="center" vertical="top"/>
    </xf>
    <xf numFmtId="0" fontId="45" fillId="0" borderId="15" xfId="0" applyFont="1" applyBorder="1" applyAlignment="1">
      <alignment/>
    </xf>
    <xf numFmtId="2" fontId="45" fillId="0" borderId="15" xfId="47" applyNumberFormat="1" applyFont="1" applyBorder="1" applyAlignment="1">
      <alignment horizontal="center" vertical="center"/>
    </xf>
    <xf numFmtId="10" fontId="45" fillId="0" borderId="0" xfId="55" applyNumberFormat="1" applyFont="1" applyAlignment="1">
      <alignment horizontal="center" vertical="center"/>
    </xf>
    <xf numFmtId="10" fontId="46" fillId="0" borderId="14" xfId="55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5" fillId="0" borderId="16" xfId="0" applyFont="1" applyBorder="1" applyAlignment="1">
      <alignment/>
    </xf>
    <xf numFmtId="0" fontId="46" fillId="0" borderId="16" xfId="0" applyFont="1" applyBorder="1" applyAlignment="1">
      <alignment vertical="center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45" fillId="0" borderId="0" xfId="47" applyNumberFormat="1" applyFont="1" applyBorder="1" applyAlignment="1">
      <alignment horizontal="center" vertical="center"/>
    </xf>
    <xf numFmtId="1" fontId="45" fillId="0" borderId="15" xfId="47" applyNumberFormat="1" applyFont="1" applyBorder="1" applyAlignment="1">
      <alignment horizontal="center" vertical="center"/>
    </xf>
    <xf numFmtId="1" fontId="45" fillId="0" borderId="0" xfId="47" applyNumberFormat="1" applyFont="1" applyAlignment="1">
      <alignment horizontal="center" vertical="center"/>
    </xf>
    <xf numFmtId="0" fontId="45" fillId="0" borderId="0" xfId="0" applyFont="1" applyAlignment="1">
      <alignment horizontal="left" indent="1"/>
    </xf>
    <xf numFmtId="0" fontId="45" fillId="0" borderId="0" xfId="0" applyFont="1" applyAlignment="1">
      <alignment horizontal="left" indent="2"/>
    </xf>
    <xf numFmtId="2" fontId="46" fillId="0" borderId="0" xfId="0" applyNumberFormat="1" applyFont="1" applyAlignment="1">
      <alignment horizontal="center" vertical="center"/>
    </xf>
    <xf numFmtId="2" fontId="46" fillId="0" borderId="0" xfId="47" applyNumberFormat="1" applyFont="1" applyAlignment="1">
      <alignment horizontal="center" vertical="center"/>
    </xf>
    <xf numFmtId="0" fontId="45" fillId="0" borderId="15" xfId="0" applyFont="1" applyBorder="1" applyAlignment="1">
      <alignment horizontal="left" indent="1"/>
    </xf>
    <xf numFmtId="1" fontId="45" fillId="0" borderId="0" xfId="0" applyNumberFormat="1" applyFont="1" applyAlignment="1">
      <alignment horizontal="center" vertical="center"/>
    </xf>
    <xf numFmtId="1" fontId="46" fillId="0" borderId="14" xfId="47" applyNumberFormat="1" applyFont="1" applyBorder="1" applyAlignment="1">
      <alignment horizontal="center" vertical="center"/>
    </xf>
    <xf numFmtId="1" fontId="45" fillId="0" borderId="16" xfId="47" applyNumberFormat="1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0" fontId="4" fillId="0" borderId="14" xfId="55" applyNumberFormat="1" applyFont="1" applyFill="1" applyBorder="1" applyAlignment="1">
      <alignment horizontal="center"/>
    </xf>
    <xf numFmtId="0" fontId="50" fillId="0" borderId="16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2"/>
    </xf>
    <xf numFmtId="0" fontId="52" fillId="0" borderId="0" xfId="0" applyFont="1" applyBorder="1" applyAlignment="1">
      <alignment vertical="center"/>
    </xf>
    <xf numFmtId="10" fontId="50" fillId="0" borderId="16" xfId="0" applyNumberFormat="1" applyFont="1" applyBorder="1" applyAlignment="1">
      <alignment horizontal="center" vertical="center"/>
    </xf>
    <xf numFmtId="10" fontId="50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10" fontId="52" fillId="0" borderId="14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1" fontId="45" fillId="0" borderId="0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9" fontId="45" fillId="0" borderId="0" xfId="55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9" fontId="45" fillId="0" borderId="15" xfId="55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0" fontId="6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0" fontId="4" fillId="0" borderId="14" xfId="5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4" fillId="0" borderId="14" xfId="0" applyNumberFormat="1" applyFont="1" applyFill="1" applyBorder="1" applyAlignment="1">
      <alignment horizontal="center"/>
    </xf>
    <xf numFmtId="10" fontId="4" fillId="0" borderId="18" xfId="56" applyNumberFormat="1" applyFont="1" applyFill="1" applyBorder="1" applyAlignment="1">
      <alignment horizontal="center" vertical="center"/>
    </xf>
    <xf numFmtId="10" fontId="4" fillId="0" borderId="0" xfId="56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0" fontId="6" fillId="0" borderId="14" xfId="55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/>
    </xf>
    <xf numFmtId="10" fontId="45" fillId="0" borderId="14" xfId="0" applyNumberFormat="1" applyFont="1" applyBorder="1" applyAlignment="1">
      <alignment/>
    </xf>
    <xf numFmtId="0" fontId="47" fillId="33" borderId="14" xfId="0" applyFont="1" applyFill="1" applyBorder="1" applyAlignment="1">
      <alignment/>
    </xf>
    <xf numFmtId="10" fontId="45" fillId="0" borderId="0" xfId="0" applyNumberFormat="1" applyFont="1" applyBorder="1" applyAlignment="1">
      <alignment horizontal="center" vertical="center"/>
    </xf>
    <xf numFmtId="10" fontId="46" fillId="0" borderId="0" xfId="0" applyNumberFormat="1" applyFont="1" applyBorder="1" applyAlignment="1">
      <alignment horizontal="center" vertical="center"/>
    </xf>
    <xf numFmtId="10" fontId="47" fillId="33" borderId="14" xfId="0" applyNumberFormat="1" applyFont="1" applyFill="1" applyBorder="1" applyAlignment="1">
      <alignment horizontal="center" vertical="center"/>
    </xf>
    <xf numFmtId="2" fontId="45" fillId="0" borderId="0" xfId="0" applyNumberFormat="1" applyFont="1" applyAlignment="1">
      <alignment/>
    </xf>
    <xf numFmtId="164" fontId="45" fillId="0" borderId="0" xfId="47" applyNumberFormat="1" applyFont="1" applyAlignment="1">
      <alignment/>
    </xf>
    <xf numFmtId="0" fontId="44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 vertical="center"/>
    </xf>
    <xf numFmtId="3" fontId="45" fillId="0" borderId="0" xfId="47" applyNumberFormat="1" applyFont="1" applyBorder="1" applyAlignment="1">
      <alignment horizontal="center" vertical="center"/>
    </xf>
    <xf numFmtId="3" fontId="45" fillId="0" borderId="15" xfId="47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Alignment="1">
      <alignment/>
    </xf>
    <xf numFmtId="3" fontId="47" fillId="33" borderId="14" xfId="0" applyNumberFormat="1" applyFont="1" applyFill="1" applyBorder="1" applyAlignment="1">
      <alignment horizontal="center" vertical="center"/>
    </xf>
    <xf numFmtId="3" fontId="46" fillId="0" borderId="16" xfId="0" applyNumberFormat="1" applyFont="1" applyBorder="1" applyAlignment="1">
      <alignment horizontal="left" vertical="center"/>
    </xf>
    <xf numFmtId="3" fontId="45" fillId="0" borderId="16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0" xfId="47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C5:E1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53.140625" style="1" customWidth="1"/>
    <col min="4" max="16384" width="11.421875" style="1" customWidth="1"/>
  </cols>
  <sheetData>
    <row r="4" ht="13.5" thickBot="1"/>
    <row r="5" spans="3:5" ht="13.5" thickBot="1">
      <c r="C5" s="24" t="s">
        <v>157</v>
      </c>
      <c r="D5" s="89"/>
      <c r="E5" s="88"/>
    </row>
    <row r="6" spans="3:5" ht="12.75">
      <c r="C6" s="26" t="s">
        <v>158</v>
      </c>
      <c r="D6" s="91">
        <f>+DatosGenerales!I23+'PTF Economía'!G7</f>
        <v>0.03485309935936132</v>
      </c>
      <c r="E6" s="26"/>
    </row>
    <row r="7" spans="3:5" ht="12.75">
      <c r="C7" s="26" t="s">
        <v>159</v>
      </c>
      <c r="D7" s="91">
        <f>+Agregados!G28</f>
        <v>0.04031530077177621</v>
      </c>
      <c r="E7" s="26"/>
    </row>
    <row r="8" spans="3:5" ht="13.5" thickBot="1">
      <c r="C8" s="26"/>
      <c r="D8" s="69" t="s">
        <v>61</v>
      </c>
      <c r="E8" s="92">
        <f>+D6-D7</f>
        <v>-0.005462201412414894</v>
      </c>
    </row>
    <row r="9" spans="3:5" ht="13.5" thickBot="1">
      <c r="C9" s="24" t="s">
        <v>160</v>
      </c>
      <c r="D9" s="88"/>
      <c r="E9" s="88"/>
    </row>
    <row r="10" spans="3:5" ht="12.75">
      <c r="C10" s="26" t="s">
        <v>161</v>
      </c>
      <c r="D10" s="91">
        <f>+Agregados!G19</f>
        <v>-0.08925518149362707</v>
      </c>
      <c r="E10" s="26"/>
    </row>
    <row r="11" spans="3:5" ht="12.75">
      <c r="C11" s="26" t="s">
        <v>162</v>
      </c>
      <c r="D11" s="91">
        <f>+'PTF Economía'!G7</f>
        <v>0.0016036666946018796</v>
      </c>
      <c r="E11" s="26"/>
    </row>
    <row r="12" spans="3:5" ht="13.5" thickBot="1">
      <c r="C12" s="26"/>
      <c r="D12" s="69" t="s">
        <v>61</v>
      </c>
      <c r="E12" s="92">
        <f>+D10-D11</f>
        <v>-0.09085884818822895</v>
      </c>
    </row>
    <row r="13" spans="3:5" ht="13.5" thickBot="1">
      <c r="C13" s="25" t="s">
        <v>62</v>
      </c>
      <c r="D13" s="90"/>
      <c r="E13" s="93">
        <f>+E8+E12</f>
        <v>-0.09632104960064385</v>
      </c>
    </row>
  </sheetData>
  <sheetProtection/>
  <conditionalFormatting sqref="E2:E3 D3:E3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C5:H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0.421875" style="1" bestFit="1" customWidth="1"/>
    <col min="4" max="16384" width="11.421875" style="1" customWidth="1"/>
  </cols>
  <sheetData>
    <row r="4" ht="13.5" thickBot="1"/>
    <row r="5" spans="3:8" ht="13.5" thickBot="1">
      <c r="C5" s="30" t="s">
        <v>140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ht="12.75">
      <c r="C6" s="2" t="s">
        <v>136</v>
      </c>
    </row>
    <row r="7" spans="3:8" ht="12.75">
      <c r="C7" s="47" t="s">
        <v>137</v>
      </c>
      <c r="D7" s="46">
        <v>3591.09562</v>
      </c>
      <c r="E7" s="46">
        <v>6285.335119999999</v>
      </c>
      <c r="F7" s="46">
        <v>6628.533590000001</v>
      </c>
      <c r="G7" s="46">
        <v>8168.98458</v>
      </c>
      <c r="H7" s="46">
        <v>8569.00495</v>
      </c>
    </row>
    <row r="8" spans="3:8" ht="12.75">
      <c r="C8" s="47" t="s">
        <v>138</v>
      </c>
      <c r="D8" s="46">
        <v>131.96366</v>
      </c>
      <c r="E8" s="46">
        <v>152.75023000000002</v>
      </c>
      <c r="F8" s="46">
        <v>282.92566999999997</v>
      </c>
      <c r="G8" s="46">
        <v>362.42539</v>
      </c>
      <c r="H8" s="46">
        <v>206.28409999999997</v>
      </c>
    </row>
    <row r="9" spans="3:8" ht="12.75">
      <c r="C9" s="47" t="s">
        <v>139</v>
      </c>
      <c r="D9" s="46">
        <v>424.05255999999997</v>
      </c>
      <c r="E9" s="46">
        <v>850.69036</v>
      </c>
      <c r="F9" s="46">
        <v>1178.48861</v>
      </c>
      <c r="G9" s="46">
        <v>1123.21165</v>
      </c>
      <c r="H9" s="46">
        <v>1284.1287799999998</v>
      </c>
    </row>
    <row r="10" spans="3:8" ht="12.75">
      <c r="C10" s="2" t="s">
        <v>12</v>
      </c>
      <c r="D10" s="46"/>
      <c r="E10" s="46"/>
      <c r="F10" s="46"/>
      <c r="G10" s="46"/>
      <c r="H10" s="46"/>
    </row>
    <row r="11" spans="3:8" ht="12.75">
      <c r="C11" s="47" t="s">
        <v>137</v>
      </c>
      <c r="D11" s="46">
        <v>8330.92686</v>
      </c>
      <c r="E11" s="46">
        <v>10309.2789</v>
      </c>
      <c r="F11" s="46">
        <v>11620.939570000002</v>
      </c>
      <c r="G11" s="46">
        <v>12977.395059999999</v>
      </c>
      <c r="H11" s="46">
        <v>12649.16511030856</v>
      </c>
    </row>
    <row r="12" spans="3:8" ht="12.75">
      <c r="C12" s="47" t="s">
        <v>138</v>
      </c>
      <c r="D12" s="46">
        <v>1368.7438</v>
      </c>
      <c r="E12" s="46">
        <v>1120.1680900000001</v>
      </c>
      <c r="F12" s="46">
        <v>734.49756</v>
      </c>
      <c r="G12" s="46">
        <v>652.36569</v>
      </c>
      <c r="H12" s="46">
        <v>362.9676441993901</v>
      </c>
    </row>
    <row r="13" spans="3:8" ht="12.75">
      <c r="C13" s="47" t="s">
        <v>139</v>
      </c>
      <c r="D13" s="46">
        <v>1107.01322</v>
      </c>
      <c r="E13" s="46">
        <v>1433.47139</v>
      </c>
      <c r="F13" s="46">
        <v>1836.99636</v>
      </c>
      <c r="G13" s="46">
        <v>1795.11925</v>
      </c>
      <c r="H13" s="46">
        <v>2003.8926291031587</v>
      </c>
    </row>
    <row r="14" spans="3:8" ht="12.75">
      <c r="C14" s="2" t="s">
        <v>13</v>
      </c>
      <c r="D14" s="46"/>
      <c r="E14" s="46"/>
      <c r="F14" s="46"/>
      <c r="G14" s="46"/>
      <c r="H14" s="46"/>
    </row>
    <row r="15" spans="3:8" ht="12.75">
      <c r="C15" s="47" t="s">
        <v>137</v>
      </c>
      <c r="D15" s="46">
        <v>16518.16994</v>
      </c>
      <c r="E15" s="46">
        <v>13442.20421</v>
      </c>
      <c r="F15" s="46">
        <v>9630.694449999999</v>
      </c>
      <c r="G15" s="46">
        <v>8281.759320000001</v>
      </c>
      <c r="H15" s="46">
        <v>7098.276715551477</v>
      </c>
    </row>
    <row r="16" spans="3:8" ht="12.75">
      <c r="C16" s="47" t="s">
        <v>138</v>
      </c>
      <c r="D16" s="46">
        <v>0</v>
      </c>
      <c r="E16" s="46">
        <v>0</v>
      </c>
      <c r="F16" s="46">
        <v>732.89377</v>
      </c>
      <c r="G16" s="46">
        <v>434.52081</v>
      </c>
      <c r="H16" s="46">
        <v>241.9784359831203</v>
      </c>
    </row>
    <row r="17" spans="3:8" ht="13.5" thickBot="1">
      <c r="C17" s="51" t="s">
        <v>139</v>
      </c>
      <c r="D17" s="45">
        <v>0</v>
      </c>
      <c r="E17" s="45">
        <v>745.58332</v>
      </c>
      <c r="F17" s="45">
        <v>2644.8053600000003</v>
      </c>
      <c r="G17" s="45">
        <v>2288.97067</v>
      </c>
      <c r="H17" s="45">
        <v>2132.60048476082</v>
      </c>
    </row>
    <row r="18" ht="12.75">
      <c r="C18" s="47"/>
    </row>
    <row r="19" ht="13.5" thickBot="1">
      <c r="C19" s="47"/>
    </row>
    <row r="20" spans="3:8" ht="13.5" thickBot="1">
      <c r="C20" s="30" t="s">
        <v>140</v>
      </c>
      <c r="D20" s="30">
        <v>2011</v>
      </c>
      <c r="E20" s="30">
        <v>2012</v>
      </c>
      <c r="F20" s="30">
        <v>2013</v>
      </c>
      <c r="G20" s="30">
        <v>2014</v>
      </c>
      <c r="H20" s="30">
        <v>2015</v>
      </c>
    </row>
    <row r="21" spans="3:8" ht="12.75">
      <c r="C21" s="1" t="s">
        <v>136</v>
      </c>
      <c r="D21" s="46">
        <f>+SUM(D7:D9)</f>
        <v>4147.11184</v>
      </c>
      <c r="E21" s="46">
        <f>+SUM(E7:E9)</f>
        <v>7288.775709999998</v>
      </c>
      <c r="F21" s="46">
        <f>+SUM(F7:F9)</f>
        <v>8089.947870000001</v>
      </c>
      <c r="G21" s="46">
        <f>+SUM(G7:G9)</f>
        <v>9654.62162</v>
      </c>
      <c r="H21" s="46">
        <f>+SUM(H7:H9)</f>
        <v>10059.41783</v>
      </c>
    </row>
    <row r="22" spans="3:8" ht="12.75">
      <c r="C22" s="1" t="s">
        <v>12</v>
      </c>
      <c r="D22" s="46">
        <f>+SUM(D11:D13)</f>
        <v>10806.68388</v>
      </c>
      <c r="E22" s="46">
        <f>+SUM(E11:E13)</f>
        <v>12862.918380000001</v>
      </c>
      <c r="F22" s="46">
        <f>+SUM(F11:F13)</f>
        <v>14192.433490000003</v>
      </c>
      <c r="G22" s="46">
        <f>+SUM(G11:G13)</f>
        <v>15424.88</v>
      </c>
      <c r="H22" s="46">
        <f>+SUM(H11:H13)</f>
        <v>15016.02538361111</v>
      </c>
    </row>
    <row r="23" spans="3:8" ht="13.5" thickBot="1">
      <c r="C23" s="31" t="s">
        <v>13</v>
      </c>
      <c r="D23" s="45">
        <f>+SUM(D15:D17)</f>
        <v>16518.16994</v>
      </c>
      <c r="E23" s="45">
        <f>+SUM(E15:E17)</f>
        <v>14187.78753</v>
      </c>
      <c r="F23" s="45">
        <f>+SUM(F15:F17)</f>
        <v>13008.39358</v>
      </c>
      <c r="G23" s="45">
        <f>+SUM(G15:G17)</f>
        <v>11005.250800000002</v>
      </c>
      <c r="H23" s="45">
        <f>+SUM(H15:H17)</f>
        <v>9472.855636295417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C5:H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0.28125" style="0" bestFit="1" customWidth="1"/>
  </cols>
  <sheetData>
    <row r="4" ht="15.75" thickBot="1"/>
    <row r="5" spans="3:8" ht="15.75" thickBot="1">
      <c r="C5" s="30" t="s">
        <v>141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5">
      <c r="C6" s="1" t="s">
        <v>136</v>
      </c>
      <c r="D6" s="46">
        <v>171.072</v>
      </c>
      <c r="E6" s="46">
        <v>286.176</v>
      </c>
      <c r="F6" s="46">
        <v>382.416</v>
      </c>
      <c r="G6" s="46">
        <v>269.376</v>
      </c>
      <c r="H6" s="46">
        <v>314.76</v>
      </c>
    </row>
    <row r="7" spans="3:8" ht="15">
      <c r="C7" s="1" t="s">
        <v>12</v>
      </c>
      <c r="D7" s="46">
        <v>873.72</v>
      </c>
      <c r="E7" s="46">
        <v>1033.38</v>
      </c>
      <c r="F7" s="46">
        <v>1058.58</v>
      </c>
      <c r="G7" s="46">
        <v>1260.72</v>
      </c>
      <c r="H7" s="46">
        <v>1316.672954770888</v>
      </c>
    </row>
    <row r="8" spans="3:8" ht="15.75" thickBot="1">
      <c r="C8" s="31" t="s">
        <v>14</v>
      </c>
      <c r="D8" s="45">
        <v>1285.176</v>
      </c>
      <c r="E8" s="45">
        <v>1149.36</v>
      </c>
      <c r="F8" s="45">
        <v>1297.216</v>
      </c>
      <c r="G8" s="45">
        <v>1227.856</v>
      </c>
      <c r="H8" s="45">
        <v>1118.637303174585</v>
      </c>
    </row>
    <row r="13" spans="5:8" ht="15">
      <c r="E13" s="17"/>
      <c r="F13" s="17"/>
      <c r="G13" s="17"/>
      <c r="H13" s="1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C5:H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1.57421875" style="0" bestFit="1" customWidth="1"/>
  </cols>
  <sheetData>
    <row r="4" ht="15.75" thickBot="1"/>
    <row r="5" spans="3:8" ht="15.75" thickBot="1">
      <c r="C5" s="30" t="s">
        <v>142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5">
      <c r="C6" s="1" t="s">
        <v>136</v>
      </c>
      <c r="D6" s="46">
        <f>+GastosSalarios!D21/CantidadTrabajo!D6</f>
        <v>24.241908903853346</v>
      </c>
      <c r="E6" s="46">
        <f>+GastosSalarios!E21/CantidadTrabajo!E6</f>
        <v>25.469556182209544</v>
      </c>
      <c r="F6" s="46">
        <f>+GastosSalarios!F21/CantidadTrabajo!F6</f>
        <v>21.15483627777081</v>
      </c>
      <c r="G6" s="46">
        <f>+GastosSalarios!G21/CantidadTrabajo!G6</f>
        <v>35.84068966797339</v>
      </c>
      <c r="H6" s="46">
        <f>+GastosSalarios!H21/CantidadTrabajo!H6</f>
        <v>31.959009499301057</v>
      </c>
    </row>
    <row r="7" spans="3:8" ht="15">
      <c r="C7" s="1" t="s">
        <v>12</v>
      </c>
      <c r="D7" s="46">
        <f>+GastosSalarios!D22/CantidadTrabajo!D7</f>
        <v>12.368589342123334</v>
      </c>
      <c r="E7" s="46">
        <f>+GastosSalarios!E22/CantidadTrabajo!E7</f>
        <v>12.447423387330895</v>
      </c>
      <c r="F7" s="46">
        <f>+GastosSalarios!F22/CantidadTrabajo!F7</f>
        <v>13.40704858395209</v>
      </c>
      <c r="G7" s="46">
        <f>+GastosSalarios!G22/CantidadTrabajo!G7</f>
        <v>12.234976838631892</v>
      </c>
      <c r="H7" s="46">
        <f>+GastosSalarios!H22/CantidadTrabajo!H7</f>
        <v>11.404521775283234</v>
      </c>
    </row>
    <row r="8" spans="3:8" ht="15.75" thickBot="1">
      <c r="C8" s="31" t="s">
        <v>14</v>
      </c>
      <c r="D8" s="45">
        <f>+GastosSalarios!D23/CantidadTrabajo!D8</f>
        <v>12.852846567318407</v>
      </c>
      <c r="E8" s="45">
        <f>+GastosSalarios!E23/CantidadTrabajo!E8</f>
        <v>12.344076294633537</v>
      </c>
      <c r="F8" s="45">
        <f>+GastosSalarios!F23/CantidadTrabajo!F8</f>
        <v>10.027931801642904</v>
      </c>
      <c r="G8" s="45">
        <f>+GastosSalarios!G23/CantidadTrabajo!G8</f>
        <v>8.962981652571639</v>
      </c>
      <c r="H8" s="45">
        <f>+GastosSalarios!H23/CantidadTrabajo!H8</f>
        <v>8.468210035024189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57421875" style="1" bestFit="1" customWidth="1"/>
    <col min="4" max="16384" width="11.421875" style="1" customWidth="1"/>
  </cols>
  <sheetData>
    <row r="4" ht="13.5" thickBot="1"/>
    <row r="5" spans="3:7" ht="13.5" thickBot="1">
      <c r="C5" s="30" t="s">
        <v>15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50">
        <f>+D7/D8</f>
        <v>1.0959421308495934</v>
      </c>
      <c r="E6" s="50">
        <f>+E7/E8</f>
        <v>1.1336657015312253</v>
      </c>
      <c r="F6" s="50">
        <f>+F7/F8</f>
        <v>0.9893235769834562</v>
      </c>
      <c r="G6" s="50">
        <f>+G7/G8</f>
        <v>1.0369200756678534</v>
      </c>
    </row>
    <row r="7" spans="3:7" ht="12.75">
      <c r="C7" s="48" t="s">
        <v>6</v>
      </c>
      <c r="D7" s="46">
        <f>+SUMPRODUCT(PrecioImplícitoDeTrabajo!D6:D8,CantidadTrabajo!E6:E8)</f>
        <v>34491.45310744563</v>
      </c>
      <c r="E7" s="46">
        <f>+SUMPRODUCT(PrecioImplícitoDeTrabajo!E6:E8,CantidadTrabajo!F6:F8)</f>
        <v>38929.492520955915</v>
      </c>
      <c r="F7" s="46">
        <f>+SUMPRODUCT(PrecioImplícitoDeTrabajo!F6:F8,CantidadTrabajo!G6:G8)</f>
        <v>34913.99569815892</v>
      </c>
      <c r="G7" s="46">
        <f>+SUMPRODUCT(PrecioImplícitoDeTrabajo!G6:G8,CantidadTrabajo!H6:H8)</f>
        <v>37417.00420980216</v>
      </c>
    </row>
    <row r="8" spans="3:7" ht="12.75">
      <c r="C8" s="48" t="s">
        <v>7</v>
      </c>
      <c r="D8" s="46">
        <f>+SUMPRODUCT(PrecioImplícitoDeTrabajo!D6:D8,CantidadTrabajo!D6:D8)</f>
        <v>31471.96566</v>
      </c>
      <c r="E8" s="46">
        <f>+SUMPRODUCT(PrecioImplícitoDeTrabajo!E6:E8,CantidadTrabajo!E6:E8)</f>
        <v>34339.48162</v>
      </c>
      <c r="F8" s="46">
        <f>+SUMPRODUCT(PrecioImplícitoDeTrabajo!F6:F8,CantidadTrabajo!F6:F8)</f>
        <v>35290.77494</v>
      </c>
      <c r="G8" s="46">
        <f>+SUMPRODUCT(PrecioImplícitoDeTrabajo!G6:G8,CantidadTrabajo!G6:G8)</f>
        <v>36084.752420000004</v>
      </c>
    </row>
    <row r="9" spans="3:7" ht="12.75">
      <c r="C9" s="2" t="s">
        <v>9</v>
      </c>
      <c r="D9" s="49">
        <f>+D10/D11</f>
        <v>1.1042698721429245</v>
      </c>
      <c r="E9" s="49">
        <f>+E10/E11</f>
        <v>1.12268415938071</v>
      </c>
      <c r="F9" s="49">
        <f>+F10/F11</f>
        <v>0.9425376977286058</v>
      </c>
      <c r="G9" s="49">
        <f>+G10/G11</f>
        <v>1.0348560735460668</v>
      </c>
    </row>
    <row r="10" spans="3:7" ht="12.75">
      <c r="C10" s="48" t="s">
        <v>6</v>
      </c>
      <c r="D10" s="52">
        <f>+SUMPRODUCT(PrecioImplícitoDeTrabajo!E6:E8,CantidadTrabajo!E6:E8)</f>
        <v>34339.48162</v>
      </c>
      <c r="E10" s="52">
        <f>+SUMPRODUCT(PrecioImplícitoDeTrabajo!F6:F8,CantidadTrabajo!F6:F8)</f>
        <v>35290.77494</v>
      </c>
      <c r="F10" s="52">
        <f>+SUMPRODUCT(PrecioImplícitoDeTrabajo!G6:G8,CantidadTrabajo!G6:G8)</f>
        <v>36084.752420000004</v>
      </c>
      <c r="G10" s="52">
        <f>+SUMPRODUCT(PrecioImplícitoDeTrabajo!H6:H8,CantidadTrabajo!H6:H8)</f>
        <v>34548.298849906525</v>
      </c>
    </row>
    <row r="11" spans="3:7" ht="12.75">
      <c r="C11" s="48" t="s">
        <v>7</v>
      </c>
      <c r="D11" s="52">
        <f>+SUMPRODUCT(PrecioImplícitoDeTrabajo!E6:E8,CantidadTrabajo!D6:D8)</f>
        <v>31097.001273213653</v>
      </c>
      <c r="E11" s="52">
        <f>+SUMPRODUCT(PrecioImplícitoDeTrabajo!F6:F8,CantidadTrabajo!E6:E8)</f>
        <v>31434.285987848038</v>
      </c>
      <c r="F11" s="52">
        <f>+SUMPRODUCT(PrecioImplícitoDeTrabajo!G6:G8,CantidadTrabajo!F6:F8)</f>
        <v>38284.67816932903</v>
      </c>
      <c r="G11" s="52">
        <f>+SUMPRODUCT(PrecioImplícitoDeTrabajo!H6:H8,CantidadTrabajo!G6:G8)</f>
        <v>33384.64133618346</v>
      </c>
    </row>
    <row r="12" spans="3:7" ht="13.5" thickBot="1">
      <c r="C12" s="2" t="s">
        <v>10</v>
      </c>
      <c r="D12" s="49">
        <f>+SQRT(D6*D9)</f>
        <v>1.1000981214006889</v>
      </c>
      <c r="E12" s="49">
        <f>+SQRT(E6*E9)</f>
        <v>1.128161568722462</v>
      </c>
      <c r="F12" s="49">
        <f>+SQRT(F6*F9)</f>
        <v>0.965647330322316</v>
      </c>
      <c r="G12" s="49">
        <f>+SQRT(G6*G9)</f>
        <v>1.0358875605425162</v>
      </c>
    </row>
    <row r="13" spans="3:7" ht="13.5" thickBot="1">
      <c r="C13" s="24" t="s">
        <v>11</v>
      </c>
      <c r="D13" s="34">
        <f>+LN(D12)</f>
        <v>0.09539937709948135</v>
      </c>
      <c r="E13" s="34">
        <f>+LN(E12)</f>
        <v>0.12058937750179305</v>
      </c>
      <c r="F13" s="34">
        <f>+LN(F12)</f>
        <v>-0.034956593910527446</v>
      </c>
      <c r="G13" s="34">
        <f>+LN(G12)</f>
        <v>0.035258605652367075</v>
      </c>
    </row>
    <row r="14" ht="13.5" thickBot="1"/>
    <row r="15" spans="6:7" ht="13.5" thickBot="1">
      <c r="F15" s="34" t="s">
        <v>64</v>
      </c>
      <c r="G15" s="34">
        <f>+IF('Factor X'!$K$3=1,AVERAGE(D13:F13),AVERAGE(D13:G13))</f>
        <v>0.05407269158577851</v>
      </c>
    </row>
  </sheetData>
  <sheetProtection/>
  <printOptions/>
  <pageMargins left="0.7" right="0.7" top="0.75" bottom="0.75" header="0.3" footer="0.3"/>
  <pageSetup orientation="portrait" paperSize="9"/>
  <ignoredErrors>
    <ignoredError sqref="D10:G11 D7:G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57421875" style="1" bestFit="1" customWidth="1"/>
    <col min="4" max="16384" width="11.421875" style="1" customWidth="1"/>
  </cols>
  <sheetData>
    <row r="4" ht="13.5" thickBot="1"/>
    <row r="5" spans="3:7" ht="13.5" thickBot="1">
      <c r="C5" s="30" t="s">
        <v>143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50">
        <f>+ÍndicePreciosTrabajo!D7/ÍndicePreciosTrabajo!D8</f>
        <v>0.988085765254157</v>
      </c>
      <c r="E6" s="50">
        <f>+ÍndicePreciosTrabajo!E7/ÍndicePreciosTrabajo!E8</f>
        <v>0.9153978017402593</v>
      </c>
      <c r="F6" s="50">
        <f>+ÍndicePreciosTrabajo!F7/ÍndicePreciosTrabajo!F8</f>
        <v>1.0848352929177425</v>
      </c>
      <c r="G6" s="50">
        <f>+ÍndicePreciosTrabajo!G7/ÍndicePreciosTrabajo!G8</f>
        <v>0.9251730744224254</v>
      </c>
    </row>
    <row r="7" spans="3:7" ht="12.75">
      <c r="C7" s="48" t="s">
        <v>6</v>
      </c>
      <c r="D7" s="46">
        <f>+SUMPRODUCT(PrecioImplícitoDeTrabajo!E6:E8,CantidadTrabajo!D6:D8)</f>
        <v>31097.001273213653</v>
      </c>
      <c r="E7" s="46">
        <f>+SUMPRODUCT(PrecioImplícitoDeTrabajo!F6:F8,CantidadTrabajo!E6:E8)</f>
        <v>31434.285987848038</v>
      </c>
      <c r="F7" s="46">
        <f>+SUMPRODUCT(PrecioImplícitoDeTrabajo!G6:G8,CantidadTrabajo!F6:F8)</f>
        <v>38284.67816932903</v>
      </c>
      <c r="G7" s="46">
        <f>+SUMPRODUCT(PrecioImplícitoDeTrabajo!H6:H8,CantidadTrabajo!G6:G8)</f>
        <v>33384.64133618346</v>
      </c>
    </row>
    <row r="8" spans="3:7" ht="12.75">
      <c r="C8" s="48" t="s">
        <v>7</v>
      </c>
      <c r="D8" s="46">
        <f>+SUMPRODUCT(PrecioImplícitoDeTrabajo!D6:D8,CantidadTrabajo!D6:D8)</f>
        <v>31471.96566</v>
      </c>
      <c r="E8" s="46">
        <f>+SUMPRODUCT(PrecioImplícitoDeTrabajo!E6:E8,CantidadTrabajo!E6:E8)</f>
        <v>34339.48162</v>
      </c>
      <c r="F8" s="46">
        <f>+SUMPRODUCT(PrecioImplícitoDeTrabajo!F6:F8,CantidadTrabajo!F6:F8)</f>
        <v>35290.77494</v>
      </c>
      <c r="G8" s="46">
        <f>+SUMPRODUCT(PrecioImplícitoDeTrabajo!G6:G8,CantidadTrabajo!G6:G8)</f>
        <v>36084.752420000004</v>
      </c>
    </row>
    <row r="9" spans="3:7" ht="12.75">
      <c r="C9" s="2" t="s">
        <v>9</v>
      </c>
      <c r="D9" s="49">
        <f>+ÍndicePreciosTrabajo!D10/ÍndicePreciosTrabajo!D11</f>
        <v>0.9955939378091082</v>
      </c>
      <c r="E9" s="49">
        <f>+ÍndicePreciosTrabajo!E10/ÍndicePreciosTrabajo!E11</f>
        <v>0.9065305673071085</v>
      </c>
      <c r="F9" s="49">
        <f>+ÍndicePreciosTrabajo!F10/ÍndicePreciosTrabajo!F11</f>
        <v>1.03353259053941</v>
      </c>
      <c r="G9" s="49">
        <f>+ÍndicePreciosTrabajo!G10/ÍndicePreciosTrabajo!G11</f>
        <v>0.9233315060764775</v>
      </c>
    </row>
    <row r="10" spans="3:7" ht="12.75">
      <c r="C10" s="48" t="s">
        <v>6</v>
      </c>
      <c r="D10" s="52">
        <f>+SUMPRODUCT(PrecioImplícitoDeTrabajo!E6:E8,CantidadTrabajo!E6:E8)</f>
        <v>34339.48162</v>
      </c>
      <c r="E10" s="52">
        <f>+SUMPRODUCT(PrecioImplícitoDeTrabajo!F6:F8,CantidadTrabajo!F6:F8)</f>
        <v>35290.77494</v>
      </c>
      <c r="F10" s="52">
        <f>+SUMPRODUCT(PrecioImplícitoDeTrabajo!G6:G8,CantidadTrabajo!G6:G8)</f>
        <v>36084.752420000004</v>
      </c>
      <c r="G10" s="52">
        <f>+SUMPRODUCT(PrecioImplícitoDeTrabajo!H6:H8,CantidadTrabajo!H6:H8)</f>
        <v>34548.298849906525</v>
      </c>
    </row>
    <row r="11" spans="3:7" ht="12.75">
      <c r="C11" s="48" t="s">
        <v>7</v>
      </c>
      <c r="D11" s="52">
        <f>+SUMPRODUCT(PrecioImplícitoDeTrabajo!D6:D8,CantidadTrabajo!E6:E8)</f>
        <v>34491.45310744563</v>
      </c>
      <c r="E11" s="52">
        <f>+SUMPRODUCT(PrecioImplícitoDeTrabajo!E6:E8,CantidadTrabajo!F6:F8)</f>
        <v>38929.492520955915</v>
      </c>
      <c r="F11" s="52">
        <f>+SUMPRODUCT(PrecioImplícitoDeTrabajo!F6:F8,CantidadTrabajo!G6:G8)</f>
        <v>34913.99569815892</v>
      </c>
      <c r="G11" s="52">
        <f>+SUMPRODUCT(PrecioImplícitoDeTrabajo!G6:G8,CantidadTrabajo!H6:H8)</f>
        <v>37417.00420980216</v>
      </c>
    </row>
    <row r="12" spans="3:7" ht="13.5" thickBot="1">
      <c r="C12" s="2" t="s">
        <v>10</v>
      </c>
      <c r="D12" s="49">
        <f>+SQRT(ÍndicePreciosTrabajo!D6*ÍndicePreciosTrabajo!D9)</f>
        <v>0.9918327469500653</v>
      </c>
      <c r="E12" s="49">
        <f>+SQRT(ÍndicePreciosTrabajo!E6*ÍndicePreciosTrabajo!E9)</f>
        <v>0.9109533953629446</v>
      </c>
      <c r="F12" s="49">
        <f>+SQRT(ÍndicePreciosTrabajo!F6*ÍndicePreciosTrabajo!F9)</f>
        <v>1.058873283541451</v>
      </c>
      <c r="G12" s="49">
        <f>+SQRT(ÍndicePreciosTrabajo!G6*ÍndicePreciosTrabajo!G9)</f>
        <v>0.9242518315848031</v>
      </c>
    </row>
    <row r="13" spans="3:7" ht="13.5" thickBot="1">
      <c r="C13" s="24" t="s">
        <v>11</v>
      </c>
      <c r="D13" s="34">
        <f>+LN(ÍndicePreciosTrabajo!D12)</f>
        <v>-0.008200787777010006</v>
      </c>
      <c r="E13" s="34">
        <f>+LN(ÍndicePreciosTrabajo!E12)</f>
        <v>-0.0932635407004316</v>
      </c>
      <c r="F13" s="34">
        <f>+LN(ÍndicePreciosTrabajo!F12)</f>
        <v>0.05720540274732294</v>
      </c>
      <c r="G13" s="34">
        <f>+LN(ÍndicePreciosTrabajo!G12)</f>
        <v>-0.0787706994688978</v>
      </c>
    </row>
    <row r="14" ht="13.5" thickBot="1"/>
    <row r="15" spans="6:7" ht="13.5" thickBot="1">
      <c r="F15" s="34" t="s">
        <v>64</v>
      </c>
      <c r="G15" s="34">
        <f>+AVERAGE(D13:G13)</f>
        <v>-0.030757406299754115</v>
      </c>
    </row>
  </sheetData>
  <sheetProtection/>
  <printOptions/>
  <pageMargins left="0.7" right="0.7" top="0.75" bottom="0.75" header="0.3" footer="0.3"/>
  <pageSetup orientation="portrait" paperSize="9"/>
  <ignoredErrors>
    <ignoredError sqref="D10:G11 D7:G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C5:H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00390625" style="1" bestFit="1" customWidth="1"/>
    <col min="4" max="16384" width="11.421875" style="1" customWidth="1"/>
  </cols>
  <sheetData>
    <row r="4" ht="13.5" thickBot="1"/>
    <row r="5" spans="3:8" ht="13.5" thickBot="1">
      <c r="C5" s="30" t="s">
        <v>145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2.75">
      <c r="C6" s="1" t="s">
        <v>16</v>
      </c>
      <c r="D6" s="46">
        <v>8297.4108</v>
      </c>
      <c r="E6" s="46">
        <v>7751.06192</v>
      </c>
      <c r="F6" s="46">
        <v>8620.59828</v>
      </c>
      <c r="G6" s="46">
        <v>8585.13134</v>
      </c>
      <c r="H6" s="46">
        <v>9620.372949999999</v>
      </c>
    </row>
    <row r="7" spans="3:8" ht="12.75">
      <c r="C7" s="1" t="s">
        <v>17</v>
      </c>
      <c r="D7" s="46">
        <v>3406.5491400000005</v>
      </c>
      <c r="E7" s="46">
        <v>3230.1757599999996</v>
      </c>
      <c r="F7" s="46">
        <v>2895.0772699999998</v>
      </c>
      <c r="G7" s="46">
        <v>2138.38905</v>
      </c>
      <c r="H7" s="46">
        <v>2062.583002988726</v>
      </c>
    </row>
    <row r="8" spans="3:8" ht="12.75">
      <c r="C8" s="1" t="s">
        <v>18</v>
      </c>
      <c r="D8" s="46">
        <v>1176.9263199999998</v>
      </c>
      <c r="E8" s="46">
        <v>1427.15431</v>
      </c>
      <c r="F8" s="46">
        <v>1359.75399</v>
      </c>
      <c r="G8" s="46">
        <v>1463.07156</v>
      </c>
      <c r="H8" s="46">
        <v>2189.982201429681</v>
      </c>
    </row>
    <row r="9" spans="3:8" ht="12.75">
      <c r="C9" s="1" t="s">
        <v>19</v>
      </c>
      <c r="D9" s="46">
        <v>1727.14192</v>
      </c>
      <c r="E9" s="46">
        <v>2184.9997599999997</v>
      </c>
      <c r="F9" s="46">
        <v>2687.4779599999997</v>
      </c>
      <c r="G9" s="46">
        <v>3528.53815</v>
      </c>
      <c r="H9" s="46">
        <v>1384.1129857435071</v>
      </c>
    </row>
    <row r="10" spans="3:8" ht="12.75">
      <c r="C10" s="1" t="s">
        <v>20</v>
      </c>
      <c r="D10" s="46">
        <v>1444.3386</v>
      </c>
      <c r="E10" s="46">
        <v>1704.82852</v>
      </c>
      <c r="F10" s="46">
        <v>2493.3229</v>
      </c>
      <c r="G10" s="46">
        <v>2655.57866</v>
      </c>
      <c r="H10" s="46">
        <v>1966.2885046475399</v>
      </c>
    </row>
    <row r="11" spans="3:8" ht="12.75">
      <c r="C11" s="1" t="s">
        <v>21</v>
      </c>
      <c r="D11" s="46">
        <v>1162.86638</v>
      </c>
      <c r="E11" s="46">
        <v>714.74988</v>
      </c>
      <c r="F11" s="46">
        <v>1015.38358</v>
      </c>
      <c r="G11" s="46">
        <v>897.63119</v>
      </c>
      <c r="H11" s="46">
        <v>2903.14348256948</v>
      </c>
    </row>
    <row r="12" spans="3:8" ht="12.75">
      <c r="C12" s="1" t="s">
        <v>22</v>
      </c>
      <c r="D12" s="46">
        <v>3390.6257</v>
      </c>
      <c r="E12" s="46">
        <v>3099.01342</v>
      </c>
      <c r="F12" s="46">
        <v>3273.261090000001</v>
      </c>
      <c r="G12" s="46">
        <v>3420.140079999999</v>
      </c>
      <c r="H12" s="46">
        <v>3854.4484803774476</v>
      </c>
    </row>
    <row r="13" spans="3:8" ht="13.5" thickBot="1">
      <c r="C13" s="1" t="s">
        <v>23</v>
      </c>
      <c r="D13" s="46">
        <v>1972.8807399999998</v>
      </c>
      <c r="E13" s="46">
        <v>1340.7195200000003</v>
      </c>
      <c r="F13" s="46">
        <v>712.4326999999998</v>
      </c>
      <c r="G13" s="46">
        <v>1019.42795</v>
      </c>
      <c r="H13" s="46">
        <v>1109.737010762165</v>
      </c>
    </row>
    <row r="14" spans="3:8" ht="13.5" thickBot="1">
      <c r="C14" s="24" t="s">
        <v>144</v>
      </c>
      <c r="D14" s="53">
        <f>+SUM(D6:D13)</f>
        <v>22578.7396</v>
      </c>
      <c r="E14" s="53">
        <f>+SUM(E6:E13)</f>
        <v>21452.703089999995</v>
      </c>
      <c r="F14" s="53">
        <f>+SUM(F6:F13)</f>
        <v>23057.307770000003</v>
      </c>
      <c r="G14" s="53">
        <f>+SUM(G6:G13)</f>
        <v>23707.90798</v>
      </c>
      <c r="H14" s="53">
        <f>+SUM(H6:H13)</f>
        <v>25090.668618518543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14:H1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C5:H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00390625" style="1" bestFit="1" customWidth="1"/>
    <col min="4" max="16384" width="11.421875" style="1" customWidth="1"/>
  </cols>
  <sheetData>
    <row r="4" ht="13.5" thickBot="1"/>
    <row r="5" spans="3:8" ht="13.5" thickBot="1">
      <c r="C5" s="30" t="s">
        <v>146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2.75">
      <c r="C6" s="1" t="s">
        <v>16</v>
      </c>
      <c r="D6" s="54">
        <f>+GastosMateriales!D6/PreciosInplícitosMateriales!D6</f>
        <v>82.974108</v>
      </c>
      <c r="E6" s="54">
        <f>+GastosMateriales!E6/PreciosInplícitosMateriales!E6</f>
        <v>71.61434248111533</v>
      </c>
      <c r="F6" s="54">
        <f>+GastosMateriales!F6/PreciosInplícitosMateriales!F6</f>
        <v>79.37121277182159</v>
      </c>
      <c r="G6" s="54">
        <f>+GastosMateriales!G6/PreciosInplícitosMateriales!G6</f>
        <v>80.42882063616949</v>
      </c>
      <c r="H6" s="54">
        <f>+GastosMateriales!H6/PreciosInplícitosMateriales!H6</f>
        <v>97.5948490807687</v>
      </c>
    </row>
    <row r="7" spans="3:8" ht="12.75">
      <c r="C7" s="1" t="s">
        <v>17</v>
      </c>
      <c r="D7" s="44">
        <f>+GastosMateriales!D7/PreciosInplícitosMateriales!D7</f>
        <v>34.065491400000006</v>
      </c>
      <c r="E7" s="44">
        <f>+GastosMateriales!E7/PreciosInplícitosMateriales!E7</f>
        <v>29.844544597682297</v>
      </c>
      <c r="F7" s="44">
        <f>+GastosMateriales!F7/PreciosInplícitosMateriales!F7</f>
        <v>26.655434637424534</v>
      </c>
      <c r="G7" s="44">
        <f>+GastosMateriales!G7/PreciosInplícitosMateriales!G7</f>
        <v>20.033253137487687</v>
      </c>
      <c r="H7" s="44">
        <f>+GastosMateriales!H7/PreciosInplícitosMateriales!H7</f>
        <v>20.924082459115418</v>
      </c>
    </row>
    <row r="8" spans="3:8" ht="12.75">
      <c r="C8" s="1" t="s">
        <v>18</v>
      </c>
      <c r="D8" s="44">
        <f>+GastosMateriales!D8/PreciosInplícitosMateriales!D8</f>
        <v>11.769263199999997</v>
      </c>
      <c r="E8" s="44">
        <f>+GastosMateriales!E8/PreciosInplícitosMateriales!E8</f>
        <v>13.18589873034324</v>
      </c>
      <c r="F8" s="44">
        <f>+GastosMateriales!F8/PreciosInplícitosMateriales!F8</f>
        <v>12.519470198259066</v>
      </c>
      <c r="G8" s="44">
        <f>+GastosMateriales!G8/PreciosInplícitosMateriales!G8</f>
        <v>13.70661850318538</v>
      </c>
      <c r="H8" s="44">
        <f>+GastosMateriales!H8/PreciosInplícitosMateriales!H8</f>
        <v>22.21649654841077</v>
      </c>
    </row>
    <row r="9" spans="3:8" ht="12.75">
      <c r="C9" s="1" t="s">
        <v>19</v>
      </c>
      <c r="D9" s="44">
        <f>+GastosMateriales!D9/PreciosInplícitosMateriales!D9</f>
        <v>17.2714192</v>
      </c>
      <c r="E9" s="44">
        <f>+GastosMateriales!E9/PreciosInplícitosMateriales!E9</f>
        <v>20.187855902690917</v>
      </c>
      <c r="F9" s="44">
        <f>+GastosMateriales!F9/PreciosInplícitosMateriales!F9</f>
        <v>24.744034932891108</v>
      </c>
      <c r="G9" s="44">
        <f>+GastosMateriales!G9/PreciosInplícitosMateriales!G9</f>
        <v>33.056705918051954</v>
      </c>
      <c r="H9" s="44">
        <f>+GastosMateriales!H9/PreciosInplícitosMateriales!H9</f>
        <v>14.041274559357882</v>
      </c>
    </row>
    <row r="10" spans="3:8" ht="12.75">
      <c r="C10" s="1" t="s">
        <v>20</v>
      </c>
      <c r="D10" s="44">
        <f>+GastosMateriales!D10/PreciosInplícitosMateriales!D10</f>
        <v>14.443386</v>
      </c>
      <c r="E10" s="44">
        <f>+GastosMateriales!E10/PreciosInplícitosMateriales!E10</f>
        <v>15.751412485536301</v>
      </c>
      <c r="F10" s="44">
        <f>+GastosMateriales!F10/PreciosInplícitosMateriales!F10</f>
        <v>22.956418565969326</v>
      </c>
      <c r="G10" s="44">
        <f>+GastosMateriales!G10/PreciosInplícitosMateriales!G10</f>
        <v>24.878484821221072</v>
      </c>
      <c r="H10" s="44">
        <f>+GastosMateriales!H10/PreciosInplícitosMateriales!H10</f>
        <v>19.94721315459262</v>
      </c>
    </row>
    <row r="11" spans="3:8" ht="12.75">
      <c r="C11" s="1" t="s">
        <v>21</v>
      </c>
      <c r="D11" s="44">
        <f>+GastosMateriales!D11/PreciosInplícitosMateriales!D11</f>
        <v>11.6286638</v>
      </c>
      <c r="E11" s="44">
        <f>+GastosMateriales!E11/PreciosInplícitosMateriales!E11</f>
        <v>6.603784516619638</v>
      </c>
      <c r="F11" s="44">
        <f>+GastosMateriales!F11/PreciosInplícitosMateriales!F11</f>
        <v>9.34879732885476</v>
      </c>
      <c r="G11" s="44">
        <f>+GastosMateriales!G11/PreciosInplícitosMateriales!G11</f>
        <v>8.409355095310792</v>
      </c>
      <c r="H11" s="44">
        <f>+GastosMateriales!H11/PreciosInplícitosMateriales!H11</f>
        <v>29.45123349310337</v>
      </c>
    </row>
    <row r="12" spans="3:8" ht="12.75">
      <c r="C12" s="1" t="s">
        <v>22</v>
      </c>
      <c r="D12" s="44">
        <f>+GastosMateriales!D12/PreciosInplícitosMateriales!D12</f>
        <v>33.906257000000004</v>
      </c>
      <c r="E12" s="44">
        <f>+GastosMateriales!E12/PreciosInplícitosMateriales!E12</f>
        <v>28.63269713286622</v>
      </c>
      <c r="F12" s="44">
        <f>+GastosMateriales!F12/PreciosInplícitosMateriales!F12</f>
        <v>30.13743292444834</v>
      </c>
      <c r="G12" s="44">
        <f>+GastosMateriales!G12/PreciosInplícitosMateriales!G12</f>
        <v>32.04119100231428</v>
      </c>
      <c r="H12" s="44">
        <f>+GastosMateriales!H12/PreciosInplícitosMateriales!H12</f>
        <v>39.10184352385583</v>
      </c>
    </row>
    <row r="13" spans="3:8" ht="13.5" thickBot="1">
      <c r="C13" s="31" t="s">
        <v>23</v>
      </c>
      <c r="D13" s="45">
        <f>+GastosMateriales!D13/PreciosInplícitosMateriales!D13</f>
        <v>19.728807399999997</v>
      </c>
      <c r="E13" s="45">
        <f>+GastosMateriales!E13/PreciosInplícitosMateriales!E13</f>
        <v>12.387302264822647</v>
      </c>
      <c r="F13" s="45">
        <f>+GastosMateriales!F13/PreciosInplícitosMateriales!F13</f>
        <v>6.559480627753289</v>
      </c>
      <c r="G13" s="45">
        <f>+GastosMateriales!G13/PreciosInplícitosMateriales!G13</f>
        <v>9.550394105216794</v>
      </c>
      <c r="H13" s="45">
        <f>+GastosMateriales!H13/PreciosInplícitosMateriales!H13</f>
        <v>11.257839654197284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C5:H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5.00390625" style="1" bestFit="1" customWidth="1"/>
    <col min="4" max="16384" width="11.421875" style="1" customWidth="1"/>
  </cols>
  <sheetData>
    <row r="4" ht="13.5" thickBot="1"/>
    <row r="5" spans="3:8" ht="13.5" thickBot="1">
      <c r="C5" s="30" t="s">
        <v>146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8" ht="12.75">
      <c r="C6" s="1" t="s">
        <v>16</v>
      </c>
      <c r="D6" s="54">
        <f>+DatosGenerales!$E$16</f>
        <v>100</v>
      </c>
      <c r="E6" s="54">
        <f>+DatosGenerales!$F$16</f>
        <v>108.23337409044775</v>
      </c>
      <c r="F6" s="54">
        <f>+DatosGenerales!$G$16</f>
        <v>108.61114475827299</v>
      </c>
      <c r="G6" s="54">
        <f>+DatosGenerales!$H$16</f>
        <v>106.74197721779346</v>
      </c>
      <c r="H6" s="54">
        <f>+DatosGenerales!$I$16</f>
        <v>98.57459733390496</v>
      </c>
    </row>
    <row r="7" spans="3:8" ht="12.75">
      <c r="C7" s="1" t="s">
        <v>17</v>
      </c>
      <c r="D7" s="44">
        <f>+DatosGenerales!$E$16</f>
        <v>100</v>
      </c>
      <c r="E7" s="44">
        <f>+DatosGenerales!$F$16</f>
        <v>108.23337409044775</v>
      </c>
      <c r="F7" s="44">
        <f>+DatosGenerales!$G$16</f>
        <v>108.61114475827299</v>
      </c>
      <c r="G7" s="44">
        <f>+DatosGenerales!$H$16</f>
        <v>106.74197721779346</v>
      </c>
      <c r="H7" s="44">
        <f>+DatosGenerales!$I$16</f>
        <v>98.57459733390496</v>
      </c>
    </row>
    <row r="8" spans="3:8" ht="12.75">
      <c r="C8" s="1" t="s">
        <v>18</v>
      </c>
      <c r="D8" s="44">
        <f>+DatosGenerales!$E$16</f>
        <v>100</v>
      </c>
      <c r="E8" s="44">
        <f>+DatosGenerales!$F$16</f>
        <v>108.23337409044775</v>
      </c>
      <c r="F8" s="44">
        <f>+DatosGenerales!$G$16</f>
        <v>108.61114475827299</v>
      </c>
      <c r="G8" s="44">
        <f>+DatosGenerales!$H$16</f>
        <v>106.74197721779346</v>
      </c>
      <c r="H8" s="44">
        <f>+DatosGenerales!$I$16</f>
        <v>98.57459733390496</v>
      </c>
    </row>
    <row r="9" spans="3:8" ht="12.75">
      <c r="C9" s="1" t="s">
        <v>19</v>
      </c>
      <c r="D9" s="44">
        <f>+DatosGenerales!$E$16</f>
        <v>100</v>
      </c>
      <c r="E9" s="44">
        <f>+DatosGenerales!$F$16</f>
        <v>108.23337409044775</v>
      </c>
      <c r="F9" s="44">
        <f>+DatosGenerales!$G$16</f>
        <v>108.61114475827299</v>
      </c>
      <c r="G9" s="44">
        <f>+DatosGenerales!$H$16</f>
        <v>106.74197721779346</v>
      </c>
      <c r="H9" s="44">
        <f>+DatosGenerales!$I$16</f>
        <v>98.57459733390496</v>
      </c>
    </row>
    <row r="10" spans="3:8" ht="12.75">
      <c r="C10" s="1" t="s">
        <v>20</v>
      </c>
      <c r="D10" s="44">
        <f>+DatosGenerales!$E$16</f>
        <v>100</v>
      </c>
      <c r="E10" s="44">
        <f>+DatosGenerales!$F$16</f>
        <v>108.23337409044775</v>
      </c>
      <c r="F10" s="44">
        <f>+DatosGenerales!$G$16</f>
        <v>108.61114475827299</v>
      </c>
      <c r="G10" s="44">
        <f>+DatosGenerales!$H$16</f>
        <v>106.74197721779346</v>
      </c>
      <c r="H10" s="44">
        <f>+DatosGenerales!$I$16</f>
        <v>98.57459733390496</v>
      </c>
    </row>
    <row r="11" spans="3:8" ht="12.75">
      <c r="C11" s="1" t="s">
        <v>21</v>
      </c>
      <c r="D11" s="44">
        <f>+DatosGenerales!$E$16</f>
        <v>100</v>
      </c>
      <c r="E11" s="44">
        <f>+DatosGenerales!$F$16</f>
        <v>108.23337409044775</v>
      </c>
      <c r="F11" s="44">
        <f>+DatosGenerales!$G$16</f>
        <v>108.61114475827299</v>
      </c>
      <c r="G11" s="44">
        <f>+DatosGenerales!$H$16</f>
        <v>106.74197721779346</v>
      </c>
      <c r="H11" s="44">
        <f>+DatosGenerales!$I$16</f>
        <v>98.57459733390496</v>
      </c>
    </row>
    <row r="12" spans="3:8" ht="12.75">
      <c r="C12" s="1" t="s">
        <v>22</v>
      </c>
      <c r="D12" s="44">
        <f>+DatosGenerales!$E$16</f>
        <v>100</v>
      </c>
      <c r="E12" s="44">
        <f>+DatosGenerales!$F$16</f>
        <v>108.23337409044775</v>
      </c>
      <c r="F12" s="44">
        <f>+DatosGenerales!$G$16</f>
        <v>108.61114475827299</v>
      </c>
      <c r="G12" s="44">
        <f>+DatosGenerales!$H$16</f>
        <v>106.74197721779346</v>
      </c>
      <c r="H12" s="44">
        <f>+DatosGenerales!$I$16</f>
        <v>98.57459733390496</v>
      </c>
    </row>
    <row r="13" spans="3:8" ht="13.5" thickBot="1">
      <c r="C13" s="31" t="s">
        <v>23</v>
      </c>
      <c r="D13" s="45">
        <f>+DatosGenerales!$E$16</f>
        <v>100</v>
      </c>
      <c r="E13" s="45">
        <f>+DatosGenerales!$F$16</f>
        <v>108.23337409044775</v>
      </c>
      <c r="F13" s="45">
        <f>+DatosGenerales!$G$16</f>
        <v>108.61114475827299</v>
      </c>
      <c r="G13" s="45">
        <f>+DatosGenerales!$H$16</f>
        <v>106.74197721779346</v>
      </c>
      <c r="H13" s="45">
        <f>+DatosGenerales!$I$16</f>
        <v>98.57459733390496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9.8515625" style="0" bestFit="1" customWidth="1"/>
  </cols>
  <sheetData>
    <row r="4" ht="15.75" thickBot="1"/>
    <row r="5" spans="3:7" ht="15.75" thickBot="1">
      <c r="C5" s="30" t="s">
        <v>24</v>
      </c>
      <c r="D5" s="30">
        <v>2012</v>
      </c>
      <c r="E5" s="30">
        <v>2013</v>
      </c>
      <c r="F5" s="30">
        <v>2014</v>
      </c>
      <c r="G5" s="30">
        <v>2015</v>
      </c>
    </row>
    <row r="6" spans="3:7" ht="15">
      <c r="C6" s="2" t="s">
        <v>5</v>
      </c>
      <c r="D6" s="50">
        <f>+D7/D8</f>
        <v>0.8778516499285751</v>
      </c>
      <c r="E6" s="50">
        <f>+E7/E8</f>
        <v>1.0710589652252291</v>
      </c>
      <c r="F6" s="50">
        <f>+F7/F8</f>
        <v>1.0462218463133615</v>
      </c>
      <c r="G6" s="50">
        <f>+G7/G8</f>
        <v>1.1460121792243743</v>
      </c>
    </row>
    <row r="7" spans="3:7" ht="15">
      <c r="C7" s="48" t="s">
        <v>6</v>
      </c>
      <c r="D7" s="46">
        <f>+SUMPRODUCT(PreciosInplícitosMateriales!D6:D13,CantidadMateriales!E6:E13)</f>
        <v>19820.783811167657</v>
      </c>
      <c r="E7" s="46">
        <f>+SUMPRODUCT(PreciosInplícitosMateriales!E6:E13,CantidadMateriales!F6:F13)</f>
        <v>22977.10997285947</v>
      </c>
      <c r="F7" s="46">
        <f>+SUMPRODUCT(PreciosInplícitosMateriales!F6:F13,CantidadMateriales!G6:G13)</f>
        <v>24123.059106144818</v>
      </c>
      <c r="G7" s="46">
        <f>+SUMPRODUCT(PreciosInplícitosMateriales!G6:G13,CantidadMateriales!H6:H13)</f>
        <v>27169.55128901074</v>
      </c>
    </row>
    <row r="8" spans="3:7" ht="15">
      <c r="C8" s="48" t="s">
        <v>7</v>
      </c>
      <c r="D8" s="46">
        <f>+SUMPRODUCT(PreciosInplícitosMateriales!D6:D13,CantidadMateriales!D6:D13)</f>
        <v>22578.7396</v>
      </c>
      <c r="E8" s="46">
        <f>+SUMPRODUCT(PreciosInplícitosMateriales!E6:E13,CantidadMateriales!E6:E13)</f>
        <v>21452.703089999995</v>
      </c>
      <c r="F8" s="46">
        <f>+SUMPRODUCT(PreciosInplícitosMateriales!F6:F13,CantidadMateriales!F6:F13)</f>
        <v>23057.307770000003</v>
      </c>
      <c r="G8" s="46">
        <f>+SUMPRODUCT(PreciosInplícitosMateriales!G6:G13,CantidadMateriales!G6:G13)</f>
        <v>23707.907980000004</v>
      </c>
    </row>
    <row r="9" spans="3:7" ht="15">
      <c r="C9" s="2" t="s">
        <v>9</v>
      </c>
      <c r="D9" s="49">
        <f>+D10/D11</f>
        <v>0.877851649928575</v>
      </c>
      <c r="E9" s="49">
        <f>+E10/E11</f>
        <v>1.0710589652252291</v>
      </c>
      <c r="F9" s="49">
        <f>+F10/F11</f>
        <v>1.0462218463133617</v>
      </c>
      <c r="G9" s="49">
        <f>+G10/G11</f>
        <v>1.1460121792243745</v>
      </c>
    </row>
    <row r="10" spans="3:7" ht="15">
      <c r="C10" s="48" t="s">
        <v>6</v>
      </c>
      <c r="D10" s="52">
        <f>+SUMPRODUCT(PreciosInplícitosMateriales!E6:E13,CantidadMateriales!E6:E13)</f>
        <v>21452.703089999995</v>
      </c>
      <c r="E10" s="52">
        <f>+SUMPRODUCT(PreciosInplícitosMateriales!F6:F13,CantidadMateriales!F6:F13)</f>
        <v>23057.307770000003</v>
      </c>
      <c r="F10" s="52">
        <f>+SUMPRODUCT(PreciosInplícitosMateriales!G6:G13,CantidadMateriales!G6:G13)</f>
        <v>23707.907980000004</v>
      </c>
      <c r="G10" s="52">
        <f>+SUMPRODUCT(PreciosInplícitosMateriales!H6:H13,CantidadMateriales!H6:H13)</f>
        <v>25090.668618518543</v>
      </c>
    </row>
    <row r="11" spans="3:7" ht="15">
      <c r="C11" s="48" t="s">
        <v>7</v>
      </c>
      <c r="D11" s="52">
        <f>+SUMPRODUCT(PreciosInplícitosMateriales!E6:E13,CantidadMateriales!D6:D13)</f>
        <v>24437.73169617607</v>
      </c>
      <c r="E11" s="52">
        <f>+SUMPRODUCT(PreciosInplícitosMateriales!F6:F13,CantidadMateriales!E6:E13)</f>
        <v>21527.58019737164</v>
      </c>
      <c r="F11" s="52">
        <f>+SUMPRODUCT(PreciosInplícitosMateriales!G6:G13,CantidadMateriales!F6:F13)</f>
        <v>22660.497927414784</v>
      </c>
      <c r="G11" s="52">
        <f>+SUMPRODUCT(PreciosInplícitosMateriales!H6:H13,CantidadMateriales!G6:G13)</f>
        <v>21893.89351472687</v>
      </c>
    </row>
    <row r="12" spans="3:7" ht="15.75" thickBot="1">
      <c r="C12" s="2" t="s">
        <v>10</v>
      </c>
      <c r="D12" s="49">
        <f>+SQRT(D6*D9)</f>
        <v>0.8778516499285751</v>
      </c>
      <c r="E12" s="49">
        <f>+SQRT(E6*E9)</f>
        <v>1.0710589652252291</v>
      </c>
      <c r="F12" s="49">
        <f>+SQRT(F6*F9)</f>
        <v>1.0462218463133615</v>
      </c>
      <c r="G12" s="49">
        <f>+SQRT(G6*G9)</f>
        <v>1.1460121792243745</v>
      </c>
    </row>
    <row r="13" spans="3:7" ht="15.75" thickBot="1">
      <c r="C13" s="24" t="s">
        <v>11</v>
      </c>
      <c r="D13" s="34">
        <f>+LN(D12)</f>
        <v>-0.13027766325786372</v>
      </c>
      <c r="E13" s="34">
        <f>+LN(E12)</f>
        <v>0.06864784618277991</v>
      </c>
      <c r="F13" s="34">
        <f>+LN(F12)</f>
        <v>0.04518543332052908</v>
      </c>
      <c r="G13" s="34">
        <f>+LN(G12)</f>
        <v>0.13628824583151555</v>
      </c>
    </row>
    <row r="14" ht="15.75" thickBot="1"/>
    <row r="15" spans="6:7" ht="15.75" thickBot="1">
      <c r="F15" s="34" t="s">
        <v>64</v>
      </c>
      <c r="G15" s="34">
        <f>+IF('Factor X'!$K$3=1,AVERAGE(D13:F13),AVERAGE(D13:G13))</f>
        <v>0.029960965519240206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9.8515625" style="0" bestFit="1" customWidth="1"/>
  </cols>
  <sheetData>
    <row r="4" ht="15.75" thickBot="1"/>
    <row r="5" spans="3:7" ht="15.75" thickBot="1">
      <c r="C5" s="30" t="s">
        <v>25</v>
      </c>
      <c r="D5" s="30">
        <v>2012</v>
      </c>
      <c r="E5" s="30">
        <v>2013</v>
      </c>
      <c r="F5" s="30">
        <v>2014</v>
      </c>
      <c r="G5" s="30">
        <v>2015</v>
      </c>
    </row>
    <row r="6" spans="3:7" ht="15">
      <c r="C6" s="2" t="s">
        <v>5</v>
      </c>
      <c r="D6" s="50">
        <f>+ÍndicePreciosMateriales!D7/ÍndicePreciosMateriales!D8</f>
        <v>1.0823337409044775</v>
      </c>
      <c r="E6" s="50">
        <f>+ÍndicePreciosMateriales!E7/ÍndicePreciosMateriales!E8</f>
        <v>1.0034903343908466</v>
      </c>
      <c r="F6" s="50">
        <f>+ÍndicePreciosMateriales!F7/ÍndicePreciosMateriales!F8</f>
        <v>0.9827902786160703</v>
      </c>
      <c r="G6" s="50">
        <f>+ÍndicePreciosMateriales!G7/ÍndicePreciosMateriales!G8</f>
        <v>0.9234848360807105</v>
      </c>
    </row>
    <row r="7" spans="3:7" ht="15">
      <c r="C7" s="48" t="s">
        <v>6</v>
      </c>
      <c r="D7" s="46">
        <f>+SUMPRODUCT(PreciosInplícitosMateriales!E6:E13,CantidadMateriales!D6:D13)</f>
        <v>24437.73169617607</v>
      </c>
      <c r="E7" s="46">
        <f>+SUMPRODUCT(PreciosInplícitosMateriales!F6:F13,CantidadMateriales!E6:E13)</f>
        <v>21527.58019737164</v>
      </c>
      <c r="F7" s="46">
        <f>+SUMPRODUCT(PreciosInplícitosMateriales!G6:G13,CantidadMateriales!F6:F13)</f>
        <v>22660.497927414784</v>
      </c>
      <c r="G7" s="46">
        <f>+SUMPRODUCT(PreciosInplícitosMateriales!H6:H13,CantidadMateriales!G6:G13)</f>
        <v>21893.89351472687</v>
      </c>
    </row>
    <row r="8" spans="3:7" ht="15">
      <c r="C8" s="48" t="s">
        <v>7</v>
      </c>
      <c r="D8" s="46">
        <f>+SUMPRODUCT(PreciosInplícitosMateriales!D6:D13,CantidadMateriales!D6:D13)</f>
        <v>22578.7396</v>
      </c>
      <c r="E8" s="46">
        <f>+SUMPRODUCT(PreciosInplícitosMateriales!E6:E13,CantidadMateriales!E6:E13)</f>
        <v>21452.703089999995</v>
      </c>
      <c r="F8" s="46">
        <f>+SUMPRODUCT(PreciosInplícitosMateriales!F6:F13,CantidadMateriales!F6:F13)</f>
        <v>23057.307770000003</v>
      </c>
      <c r="G8" s="46">
        <f>+SUMPRODUCT(PreciosInplícitosMateriales!G6:G13,CantidadMateriales!G6:G13)</f>
        <v>23707.907980000004</v>
      </c>
    </row>
    <row r="9" spans="3:7" ht="15">
      <c r="C9" s="2" t="s">
        <v>9</v>
      </c>
      <c r="D9" s="49">
        <f>+ÍndicePreciosMateriales!D10/ÍndicePreciosMateriales!D11</f>
        <v>1.0823337409044773</v>
      </c>
      <c r="E9" s="49">
        <f>+ÍndicePreciosMateriales!E10/ÍndicePreciosMateriales!E11</f>
        <v>1.0034903343908463</v>
      </c>
      <c r="F9" s="49">
        <f>+ÍndicePreciosMateriales!F10/ÍndicePreciosMateriales!F11</f>
        <v>0.9827902786160706</v>
      </c>
      <c r="G9" s="49">
        <f>+ÍndicePreciosMateriales!G10/ÍndicePreciosMateriales!G11</f>
        <v>0.9234848360807106</v>
      </c>
    </row>
    <row r="10" spans="3:7" ht="15">
      <c r="C10" s="48" t="s">
        <v>6</v>
      </c>
      <c r="D10" s="52">
        <f>+SUMPRODUCT(PreciosInplícitosMateriales!E6:E13,CantidadMateriales!E6:E13)</f>
        <v>21452.703089999995</v>
      </c>
      <c r="E10" s="52">
        <f>+SUMPRODUCT(PreciosInplícitosMateriales!F6:F13,CantidadMateriales!F6:F13)</f>
        <v>23057.307770000003</v>
      </c>
      <c r="F10" s="52">
        <f>+SUMPRODUCT(PreciosInplícitosMateriales!G6:G13,CantidadMateriales!G6:G13)</f>
        <v>23707.907980000004</v>
      </c>
      <c r="G10" s="52">
        <f>+SUMPRODUCT(PreciosInplícitosMateriales!H6:H13,CantidadMateriales!H6:H13)</f>
        <v>25090.668618518543</v>
      </c>
    </row>
    <row r="11" spans="3:7" ht="15">
      <c r="C11" s="48" t="s">
        <v>7</v>
      </c>
      <c r="D11" s="52">
        <f>+SUMPRODUCT(PreciosInplícitosMateriales!D6:D13,CantidadMateriales!E6:E13)</f>
        <v>19820.783811167657</v>
      </c>
      <c r="E11" s="52">
        <f>+SUMPRODUCT(PreciosInplícitosMateriales!E6:E13,CantidadMateriales!F6:F13)</f>
        <v>22977.10997285947</v>
      </c>
      <c r="F11" s="52">
        <f>+SUMPRODUCT(PreciosInplícitosMateriales!F6:F13,CantidadMateriales!G6:G13)</f>
        <v>24123.059106144818</v>
      </c>
      <c r="G11" s="52">
        <f>+SUMPRODUCT(PreciosInplícitosMateriales!G6:G13,CantidadMateriales!H6:H13)</f>
        <v>27169.55128901074</v>
      </c>
    </row>
    <row r="12" spans="3:7" ht="15.75" thickBot="1">
      <c r="C12" s="2" t="s">
        <v>10</v>
      </c>
      <c r="D12" s="49">
        <f>+SQRT(ÍndicePreciosMateriales!D6*ÍndicePreciosMateriales!D9)</f>
        <v>1.0823337409044773</v>
      </c>
      <c r="E12" s="49">
        <f>+SQRT(ÍndicePreciosMateriales!E6*ÍndicePreciosMateriales!E9)</f>
        <v>1.0034903343908463</v>
      </c>
      <c r="F12" s="49">
        <f>+SQRT(ÍndicePreciosMateriales!F6*ÍndicePreciosMateriales!F9)</f>
        <v>0.9827902786160704</v>
      </c>
      <c r="G12" s="49">
        <f>+SQRT(ÍndicePreciosMateriales!G6*ÍndicePreciosMateriales!G9)</f>
        <v>0.9234848360807105</v>
      </c>
    </row>
    <row r="13" spans="3:7" ht="15.75" thickBot="1">
      <c r="C13" s="24" t="s">
        <v>11</v>
      </c>
      <c r="D13" s="34">
        <f>+LN(ÍndicePreciosMateriales!D12)</f>
        <v>0.07911958101964625</v>
      </c>
      <c r="E13" s="34">
        <f>+LN(ÍndicePreciosMateriales!E12)</f>
        <v>0.0034842573103563896</v>
      </c>
      <c r="F13" s="34">
        <f>+LN(ÍndicePreciosMateriales!F12)</f>
        <v>-0.017359529902074296</v>
      </c>
      <c r="G13" s="34">
        <f>+LN(ÍndicePreciosMateriales!G12)</f>
        <v>-0.07960089953102542</v>
      </c>
    </row>
    <row r="14" ht="15.75" thickBot="1"/>
    <row r="15" spans="6:7" ht="15.75" thickBot="1">
      <c r="F15" s="34" t="s">
        <v>64</v>
      </c>
      <c r="G15" s="34">
        <f>+IF('Factor X'!$K$3=1,AVERAGE(ÍndicePreciosMateriales!D13:F13),AVERAGE(ÍndicePreciosMateriales!D13:G13))</f>
        <v>-0.003589147775774272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5:I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3.28125" style="1" customWidth="1"/>
    <col min="4" max="16384" width="11.421875" style="1" customWidth="1"/>
  </cols>
  <sheetData>
    <row r="4" ht="13.5" thickBot="1"/>
    <row r="5" spans="3:9" ht="13.5" thickBot="1">
      <c r="C5" s="25" t="s">
        <v>103</v>
      </c>
      <c r="D5" s="25">
        <v>2010</v>
      </c>
      <c r="E5" s="25">
        <v>2011</v>
      </c>
      <c r="F5" s="25">
        <v>2012</v>
      </c>
      <c r="G5" s="25">
        <v>2013</v>
      </c>
      <c r="H5" s="25">
        <v>2014</v>
      </c>
      <c r="I5" s="25">
        <v>2015</v>
      </c>
    </row>
    <row r="6" spans="3:9" ht="12.75">
      <c r="C6" s="26" t="s">
        <v>104</v>
      </c>
      <c r="D6" s="27">
        <v>89.87399905778652</v>
      </c>
      <c r="E6" s="27">
        <v>94.12667669065635</v>
      </c>
      <c r="F6" s="27">
        <v>98.54192372101902</v>
      </c>
      <c r="G6" s="27">
        <v>97.7056918801328</v>
      </c>
      <c r="H6" s="27">
        <v>100.03</v>
      </c>
      <c r="I6" s="27">
        <v>101.158245</v>
      </c>
    </row>
    <row r="7" spans="3:9" ht="12.75">
      <c r="C7" s="26" t="s">
        <v>105</v>
      </c>
      <c r="D7" s="27">
        <v>89.93517828724517</v>
      </c>
      <c r="E7" s="27">
        <v>94.72474234253164</v>
      </c>
      <c r="F7" s="27">
        <v>98.66811699512772</v>
      </c>
      <c r="G7" s="27">
        <v>97.77977725601991</v>
      </c>
      <c r="H7" s="27">
        <v>100.23</v>
      </c>
      <c r="I7" s="27">
        <v>101.512527</v>
      </c>
    </row>
    <row r="8" spans="3:9" ht="12.75">
      <c r="C8" s="26" t="s">
        <v>106</v>
      </c>
      <c r="D8" s="27">
        <v>90.17055005980946</v>
      </c>
      <c r="E8" s="27">
        <v>95.35621519810041</v>
      </c>
      <c r="F8" s="27">
        <v>99.26785437862239</v>
      </c>
      <c r="G8" s="27">
        <v>98.055378410592</v>
      </c>
      <c r="H8" s="27">
        <v>100.61</v>
      </c>
      <c r="I8" s="27">
        <v>102.210227</v>
      </c>
    </row>
    <row r="9" spans="3:9" ht="12.75">
      <c r="C9" s="26" t="s">
        <v>107</v>
      </c>
      <c r="D9" s="27">
        <v>90.38305670541553</v>
      </c>
      <c r="E9" s="27">
        <v>96.41499589702202</v>
      </c>
      <c r="F9" s="27">
        <v>99.38549699377491</v>
      </c>
      <c r="G9" s="27">
        <v>98.10230370433925</v>
      </c>
      <c r="H9" s="27">
        <v>100.67</v>
      </c>
      <c r="I9" s="27">
        <v>102.161903</v>
      </c>
    </row>
    <row r="10" spans="3:9" ht="12.75">
      <c r="C10" s="26" t="s">
        <v>108</v>
      </c>
      <c r="D10" s="27">
        <v>91.11179076472744</v>
      </c>
      <c r="E10" s="27">
        <v>96.70513946150294</v>
      </c>
      <c r="F10" s="27">
        <v>99.05202271320982</v>
      </c>
      <c r="G10" s="27">
        <v>97.81258906788628</v>
      </c>
      <c r="H10" s="27">
        <v>100.85</v>
      </c>
      <c r="I10" s="27">
        <v>102.550119</v>
      </c>
    </row>
    <row r="11" spans="3:9" ht="12.75">
      <c r="C11" s="26" t="s">
        <v>109</v>
      </c>
      <c r="D11" s="27">
        <v>91.20887273614139</v>
      </c>
      <c r="E11" s="27">
        <v>97.00024761963033</v>
      </c>
      <c r="F11" s="27">
        <v>98.98390733448342</v>
      </c>
      <c r="G11" s="27">
        <v>98.61201443863486</v>
      </c>
      <c r="H11" s="27">
        <v>100.7</v>
      </c>
      <c r="I11" s="27">
        <v>102.817342</v>
      </c>
    </row>
    <row r="12" spans="3:9" ht="12.75">
      <c r="C12" s="26" t="s">
        <v>110</v>
      </c>
      <c r="D12" s="27">
        <v>91.22028165419445</v>
      </c>
      <c r="E12" s="27">
        <v>97.3094418309444</v>
      </c>
      <c r="F12" s="27">
        <v>98.1524102537028</v>
      </c>
      <c r="G12" s="27">
        <v>99.56789308098278</v>
      </c>
      <c r="H12" s="27">
        <v>100.8</v>
      </c>
      <c r="I12" s="27">
        <v>102.773215</v>
      </c>
    </row>
    <row r="13" spans="3:9" ht="12.75">
      <c r="C13" s="26" t="s">
        <v>111</v>
      </c>
      <c r="D13" s="27">
        <v>91.55339321392447</v>
      </c>
      <c r="E13" s="27">
        <v>97.7418906628218</v>
      </c>
      <c r="F13" s="27">
        <v>98.38771440034866</v>
      </c>
      <c r="G13" s="27">
        <v>100.40927489565546</v>
      </c>
      <c r="H13" s="27">
        <v>101.02</v>
      </c>
      <c r="I13" s="27">
        <v>103.024204</v>
      </c>
    </row>
    <row r="14" spans="3:9" ht="12.75">
      <c r="C14" s="26" t="s">
        <v>112</v>
      </c>
      <c r="D14" s="27">
        <v>91.7588776409121</v>
      </c>
      <c r="E14" s="27">
        <v>98.39779397255106</v>
      </c>
      <c r="F14" s="27">
        <v>98.78271076904966</v>
      </c>
      <c r="G14" s="27">
        <v>100.93087502306079</v>
      </c>
      <c r="H14" s="27">
        <v>101.36</v>
      </c>
      <c r="I14" s="27">
        <v>103.255029</v>
      </c>
    </row>
    <row r="15" spans="3:9" ht="12.75">
      <c r="C15" s="26" t="s">
        <v>113</v>
      </c>
      <c r="D15" s="27">
        <v>91.9021083902829</v>
      </c>
      <c r="E15" s="27">
        <v>98.60871873915666</v>
      </c>
      <c r="F15" s="27">
        <v>98.80676620675351</v>
      </c>
      <c r="G15" s="27">
        <v>100.5123202435108</v>
      </c>
      <c r="H15" s="27">
        <v>101.86</v>
      </c>
      <c r="I15" s="27">
        <v>103.27552</v>
      </c>
    </row>
    <row r="16" spans="3:9" ht="12.75">
      <c r="C16" s="26" t="s">
        <v>114</v>
      </c>
      <c r="D16" s="27">
        <v>92.72330505058213</v>
      </c>
      <c r="E16" s="27">
        <v>99.02182892291201</v>
      </c>
      <c r="F16" s="27">
        <v>98.58394400759335</v>
      </c>
      <c r="G16" s="27">
        <v>100.10691988736247</v>
      </c>
      <c r="H16" s="27">
        <v>101.79</v>
      </c>
      <c r="I16" s="27">
        <v>104.021033</v>
      </c>
    </row>
    <row r="17" spans="3:9" ht="13.5" thickBot="1">
      <c r="C17" s="26" t="s">
        <v>115</v>
      </c>
      <c r="D17" s="27">
        <v>93.21858025229452</v>
      </c>
      <c r="E17" s="27">
        <v>99.05568160643165</v>
      </c>
      <c r="F17" s="27">
        <v>98.46982456091733</v>
      </c>
      <c r="G17" s="27">
        <v>100</v>
      </c>
      <c r="H17" s="27">
        <v>101.47</v>
      </c>
      <c r="I17" s="27">
        <v>104.101632</v>
      </c>
    </row>
    <row r="18" spans="3:9" ht="13.5" thickBot="1">
      <c r="C18" s="24" t="s">
        <v>64</v>
      </c>
      <c r="D18" s="28">
        <f>+AVERAGE(D6:D17)</f>
        <v>91.25499948444302</v>
      </c>
      <c r="E18" s="28">
        <f>+AVERAGE(E6:E17)</f>
        <v>97.03861441202177</v>
      </c>
      <c r="F18" s="28">
        <f>+AVERAGE(F6:F17)</f>
        <v>98.75689102788353</v>
      </c>
      <c r="G18" s="28">
        <f>+AVERAGE(G6:G17)</f>
        <v>99.13291982401479</v>
      </c>
      <c r="H18" s="28">
        <f>+AVERAGE(H6:H17)</f>
        <v>100.94916666666667</v>
      </c>
      <c r="I18" s="28">
        <f>+AVERAGE(I6:I17)</f>
        <v>102.73841633333332</v>
      </c>
    </row>
    <row r="19" ht="12.75">
      <c r="C19" s="23" t="s">
        <v>116</v>
      </c>
    </row>
  </sheetData>
  <sheetProtection/>
  <printOptions/>
  <pageMargins left="0.7" right="0.7" top="0.75" bottom="0.75" header="0.3" footer="0.3"/>
  <pageSetup orientation="portrait" paperSize="9"/>
  <ignoredErrors>
    <ignoredError sqref="D18:I1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B4:G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16.28125" style="0" bestFit="1" customWidth="1"/>
  </cols>
  <sheetData>
    <row r="3" ht="15.75" thickBot="1"/>
    <row r="4" spans="2:7" ht="15.75" thickBot="1">
      <c r="B4" s="55" t="s">
        <v>26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</row>
    <row r="5" spans="2:7" ht="15.75" thickBot="1">
      <c r="B5" s="56" t="s">
        <v>42</v>
      </c>
      <c r="C5" s="57">
        <v>0.3</v>
      </c>
      <c r="D5" s="57">
        <v>0.3</v>
      </c>
      <c r="E5" s="57">
        <v>0.3</v>
      </c>
      <c r="F5" s="57">
        <v>0.3</v>
      </c>
      <c r="G5" s="57">
        <f>+F5</f>
        <v>0.3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C4:H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17.7109375" style="1" bestFit="1" customWidth="1"/>
    <col min="4" max="16384" width="11.421875" style="1" customWidth="1"/>
  </cols>
  <sheetData>
    <row r="3" ht="13.5" thickBot="1"/>
    <row r="4" spans="3:8" ht="13.5" thickBot="1">
      <c r="C4" s="55" t="s">
        <v>82</v>
      </c>
      <c r="D4" s="55">
        <v>2011</v>
      </c>
      <c r="E4" s="55">
        <v>2012</v>
      </c>
      <c r="F4" s="55">
        <v>2013</v>
      </c>
      <c r="G4" s="55">
        <v>2014</v>
      </c>
      <c r="H4" s="55">
        <v>2015</v>
      </c>
    </row>
    <row r="5" spans="3:8" ht="12.75">
      <c r="C5" s="58" t="s">
        <v>83</v>
      </c>
      <c r="D5" s="63">
        <v>0.0541</v>
      </c>
      <c r="E5" s="63">
        <v>0.0538</v>
      </c>
      <c r="F5" s="63">
        <v>0.0521</v>
      </c>
      <c r="G5" s="63">
        <v>0.0528</v>
      </c>
      <c r="H5" s="63">
        <v>0.0523</v>
      </c>
    </row>
    <row r="6" spans="3:8" ht="12.75">
      <c r="C6" s="59" t="s">
        <v>84</v>
      </c>
      <c r="D6" s="64">
        <v>0.058</v>
      </c>
      <c r="E6" s="64">
        <v>0.0588</v>
      </c>
      <c r="F6" s="64">
        <v>0.0629</v>
      </c>
      <c r="G6" s="64">
        <v>0.0625</v>
      </c>
      <c r="H6" s="64">
        <v>0.0618</v>
      </c>
    </row>
    <row r="7" spans="3:8" ht="12.75">
      <c r="C7" s="59" t="s">
        <v>85</v>
      </c>
      <c r="D7" s="64">
        <v>0.0191</v>
      </c>
      <c r="E7" s="64">
        <v>0.0157</v>
      </c>
      <c r="F7" s="64">
        <v>0.0159</v>
      </c>
      <c r="G7" s="64">
        <v>0.0162</v>
      </c>
      <c r="H7" s="64">
        <v>0.0201</v>
      </c>
    </row>
    <row r="8" spans="3:8" ht="12.75">
      <c r="C8" s="61" t="s">
        <v>86</v>
      </c>
      <c r="D8" s="60">
        <v>0.57</v>
      </c>
      <c r="E8" s="60" t="s">
        <v>87</v>
      </c>
      <c r="F8" s="60" t="s">
        <v>88</v>
      </c>
      <c r="G8" s="60" t="s">
        <v>89</v>
      </c>
      <c r="H8" s="60" t="s">
        <v>90</v>
      </c>
    </row>
    <row r="9" spans="3:8" ht="12.75">
      <c r="C9" s="61" t="s">
        <v>91</v>
      </c>
      <c r="D9" s="60">
        <v>0</v>
      </c>
      <c r="E9" s="60" t="s">
        <v>92</v>
      </c>
      <c r="F9" s="60" t="s">
        <v>93</v>
      </c>
      <c r="G9" s="60" t="s">
        <v>94</v>
      </c>
      <c r="H9" s="60" t="s">
        <v>95</v>
      </c>
    </row>
    <row r="10" spans="3:8" ht="12.75">
      <c r="C10" s="61" t="s">
        <v>96</v>
      </c>
      <c r="D10" s="64">
        <f>+'Tasa impuestos'!C5</f>
        <v>0.3</v>
      </c>
      <c r="E10" s="64">
        <f>+'Tasa impuestos'!D5</f>
        <v>0.3</v>
      </c>
      <c r="F10" s="64">
        <f>+'Tasa impuestos'!E5</f>
        <v>0.3</v>
      </c>
      <c r="G10" s="64">
        <f>+'Tasa impuestos'!F5</f>
        <v>0.3</v>
      </c>
      <c r="H10" s="64">
        <f>+'Tasa impuestos'!G5</f>
        <v>0.3</v>
      </c>
    </row>
    <row r="11" spans="3:8" ht="12.75">
      <c r="C11" s="59" t="s">
        <v>97</v>
      </c>
      <c r="D11" s="60">
        <v>0.574</v>
      </c>
      <c r="E11" s="60">
        <v>0.565</v>
      </c>
      <c r="F11" s="60">
        <v>0.878</v>
      </c>
      <c r="G11" s="60">
        <v>0.895</v>
      </c>
      <c r="H11" s="60">
        <v>0.988</v>
      </c>
    </row>
    <row r="12" spans="3:8" ht="12.75">
      <c r="C12" s="62" t="s">
        <v>98</v>
      </c>
      <c r="D12" s="65">
        <v>0.1065</v>
      </c>
      <c r="E12" s="65">
        <v>0.1028</v>
      </c>
      <c r="F12" s="65">
        <v>0.1232</v>
      </c>
      <c r="G12" s="65">
        <v>0.1249</v>
      </c>
      <c r="H12" s="65">
        <v>0.1334</v>
      </c>
    </row>
    <row r="13" spans="3:8" ht="12.75">
      <c r="C13" s="59" t="s">
        <v>99</v>
      </c>
      <c r="D13" s="64">
        <v>1</v>
      </c>
      <c r="E13" s="64">
        <v>1</v>
      </c>
      <c r="F13" s="64">
        <v>0.556</v>
      </c>
      <c r="G13" s="64">
        <v>0.501</v>
      </c>
      <c r="H13" s="64">
        <v>0.454</v>
      </c>
    </row>
    <row r="14" spans="3:8" ht="12.75">
      <c r="C14" s="59" t="s">
        <v>100</v>
      </c>
      <c r="D14" s="64">
        <v>0</v>
      </c>
      <c r="E14" s="64">
        <v>0</v>
      </c>
      <c r="F14" s="64">
        <v>0.444</v>
      </c>
      <c r="G14" s="64">
        <v>0.499</v>
      </c>
      <c r="H14" s="64">
        <v>0.546</v>
      </c>
    </row>
    <row r="15" spans="3:8" ht="13.5" thickBot="1">
      <c r="C15" s="62" t="s">
        <v>101</v>
      </c>
      <c r="D15" s="65">
        <v>0</v>
      </c>
      <c r="E15" s="65">
        <v>0</v>
      </c>
      <c r="F15" s="65">
        <v>0.034</v>
      </c>
      <c r="G15" s="65">
        <v>0.032</v>
      </c>
      <c r="H15" s="65">
        <v>0.035</v>
      </c>
    </row>
    <row r="16" spans="3:8" ht="13.5" thickBot="1">
      <c r="C16" s="66" t="s">
        <v>102</v>
      </c>
      <c r="D16" s="67">
        <v>0.1065</v>
      </c>
      <c r="E16" s="67">
        <v>0.102756</v>
      </c>
      <c r="F16" s="67">
        <v>0.079148</v>
      </c>
      <c r="G16" s="67">
        <v>0.073832</v>
      </c>
      <c r="H16" s="67">
        <v>0.073794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B4:Q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6.8515625" style="1" bestFit="1" customWidth="1"/>
    <col min="3" max="8" width="11.421875" style="1" customWidth="1"/>
    <col min="9" max="9" width="36.8515625" style="1" bestFit="1" customWidth="1"/>
    <col min="10" max="11" width="11.421875" style="1" customWidth="1"/>
    <col min="12" max="13" width="12.57421875" style="1" bestFit="1" customWidth="1"/>
    <col min="14" max="14" width="12.7109375" style="1" bestFit="1" customWidth="1"/>
    <col min="15" max="16384" width="11.421875" style="1" customWidth="1"/>
  </cols>
  <sheetData>
    <row r="3" ht="13.5" thickBot="1"/>
    <row r="4" spans="2:14" ht="13.5" thickBot="1">
      <c r="B4" s="55" t="s">
        <v>147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  <c r="I4" s="55" t="s">
        <v>148</v>
      </c>
      <c r="J4" s="55">
        <v>2011</v>
      </c>
      <c r="K4" s="55">
        <v>2012</v>
      </c>
      <c r="L4" s="55">
        <v>2013</v>
      </c>
      <c r="M4" s="55">
        <v>2014</v>
      </c>
      <c r="N4" s="55">
        <v>2015</v>
      </c>
    </row>
    <row r="5" spans="2:14" ht="12.75">
      <c r="B5" s="68" t="s">
        <v>27</v>
      </c>
      <c r="C5" s="101"/>
      <c r="D5" s="41"/>
      <c r="E5" s="41"/>
      <c r="F5" s="41"/>
      <c r="G5" s="41"/>
      <c r="I5" s="68" t="s">
        <v>27</v>
      </c>
      <c r="J5" s="41"/>
      <c r="K5" s="41"/>
      <c r="L5" s="41"/>
      <c r="M5" s="41"/>
      <c r="N5" s="41"/>
    </row>
    <row r="6" spans="2:14" ht="12.75">
      <c r="B6" s="26" t="s">
        <v>28</v>
      </c>
      <c r="C6" s="102"/>
      <c r="D6" s="70"/>
      <c r="E6" s="70"/>
      <c r="F6" s="70"/>
      <c r="G6" s="70"/>
      <c r="I6" s="26" t="s">
        <v>28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</row>
    <row r="7" spans="2:14" ht="12.75">
      <c r="B7" s="26" t="s">
        <v>29</v>
      </c>
      <c r="C7" s="102"/>
      <c r="D7" s="70"/>
      <c r="E7" s="70"/>
      <c r="F7" s="70"/>
      <c r="G7" s="70"/>
      <c r="I7" s="26" t="s">
        <v>29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</row>
    <row r="8" spans="2:14" ht="12.75">
      <c r="B8" s="26" t="s">
        <v>30</v>
      </c>
      <c r="C8" s="102"/>
      <c r="D8" s="70"/>
      <c r="E8" s="70"/>
      <c r="F8" s="70"/>
      <c r="G8" s="70"/>
      <c r="I8" s="26" t="s">
        <v>30</v>
      </c>
      <c r="J8" s="98">
        <v>1223.5972758825783</v>
      </c>
      <c r="K8" s="98">
        <v>-23.834476047152013</v>
      </c>
      <c r="L8" s="98">
        <v>97.02542016457367</v>
      </c>
      <c r="M8" s="98">
        <v>-46.61017</v>
      </c>
      <c r="N8" s="98">
        <v>0</v>
      </c>
    </row>
    <row r="9" spans="2:14" ht="12.75">
      <c r="B9" s="26" t="s">
        <v>31</v>
      </c>
      <c r="C9" s="102"/>
      <c r="D9" s="70"/>
      <c r="E9" s="70"/>
      <c r="F9" s="70"/>
      <c r="G9" s="70"/>
      <c r="I9" s="26" t="s">
        <v>31</v>
      </c>
      <c r="J9" s="98">
        <v>486</v>
      </c>
      <c r="K9" s="98">
        <v>133</v>
      </c>
      <c r="L9" s="98">
        <v>35.299800000000005</v>
      </c>
      <c r="M9" s="98">
        <v>-0.2040000000000091</v>
      </c>
      <c r="N9" s="98">
        <v>339.96598</v>
      </c>
    </row>
    <row r="10" spans="2:14" ht="12.75">
      <c r="B10" s="26" t="s">
        <v>32</v>
      </c>
      <c r="C10" s="102"/>
      <c r="D10" s="70"/>
      <c r="E10" s="70"/>
      <c r="F10" s="70"/>
      <c r="G10" s="70"/>
      <c r="I10" s="26" t="s">
        <v>32</v>
      </c>
      <c r="J10" s="98">
        <v>1036</v>
      </c>
      <c r="K10" s="98">
        <v>590</v>
      </c>
      <c r="L10" s="98">
        <v>117.44281999999983</v>
      </c>
      <c r="M10" s="98">
        <v>172.31815999999995</v>
      </c>
      <c r="N10" s="98">
        <v>71.017</v>
      </c>
    </row>
    <row r="11" spans="2:14" ht="12.75">
      <c r="B11" s="26" t="s">
        <v>33</v>
      </c>
      <c r="C11" s="102"/>
      <c r="D11" s="70"/>
      <c r="E11" s="70"/>
      <c r="F11" s="70"/>
      <c r="G11" s="70"/>
      <c r="I11" s="26" t="s">
        <v>33</v>
      </c>
      <c r="J11" s="98">
        <v>250.2408625107153</v>
      </c>
      <c r="K11" s="98">
        <v>122.17425748928471</v>
      </c>
      <c r="L11" s="98">
        <v>30.404880000000002</v>
      </c>
      <c r="M11" s="98">
        <v>38.1247</v>
      </c>
      <c r="N11" s="98">
        <v>165.84268999999995</v>
      </c>
    </row>
    <row r="12" spans="2:17" ht="12.75">
      <c r="B12" s="69" t="s">
        <v>35</v>
      </c>
      <c r="C12" s="102"/>
      <c r="D12" s="70"/>
      <c r="E12" s="70"/>
      <c r="F12" s="70"/>
      <c r="G12" s="70"/>
      <c r="I12" s="69" t="s">
        <v>35</v>
      </c>
      <c r="J12" s="98"/>
      <c r="K12" s="98"/>
      <c r="L12" s="98"/>
      <c r="M12" s="98"/>
      <c r="N12" s="98"/>
      <c r="Q12" s="10"/>
    </row>
    <row r="13" spans="2:16" ht="12.75">
      <c r="B13" s="26" t="s">
        <v>36</v>
      </c>
      <c r="C13" s="98">
        <v>30527.949</v>
      </c>
      <c r="D13" s="70"/>
      <c r="E13" s="70"/>
      <c r="F13" s="70"/>
      <c r="G13" s="70"/>
      <c r="I13" s="26" t="s">
        <v>36</v>
      </c>
      <c r="J13" s="98">
        <v>3075.2030117851737</v>
      </c>
      <c r="K13" s="98">
        <v>-58.64675999999977</v>
      </c>
      <c r="L13" s="98">
        <v>0</v>
      </c>
      <c r="M13" s="98">
        <v>-26.238729999999983</v>
      </c>
      <c r="N13" s="98">
        <v>68823.341559</v>
      </c>
      <c r="P13" s="95"/>
    </row>
    <row r="14" spans="2:16" ht="12.75">
      <c r="B14" s="26" t="s">
        <v>37</v>
      </c>
      <c r="C14" s="98">
        <v>27780.819</v>
      </c>
      <c r="D14" s="70"/>
      <c r="E14" s="70"/>
      <c r="F14" s="70"/>
      <c r="G14" s="70"/>
      <c r="I14" s="26" t="s">
        <v>37</v>
      </c>
      <c r="J14" s="98">
        <v>0</v>
      </c>
      <c r="K14" s="98">
        <v>0</v>
      </c>
      <c r="L14" s="98">
        <v>13937.275</v>
      </c>
      <c r="M14" s="98">
        <v>14105.472878644068</v>
      </c>
      <c r="N14" s="98">
        <v>66092.2125338983</v>
      </c>
      <c r="P14" s="95"/>
    </row>
    <row r="15" spans="2:14" ht="13.5" thickBot="1">
      <c r="B15" s="31" t="s">
        <v>38</v>
      </c>
      <c r="C15" s="99">
        <v>0</v>
      </c>
      <c r="D15" s="71"/>
      <c r="E15" s="71"/>
      <c r="F15" s="71"/>
      <c r="G15" s="71"/>
      <c r="I15" s="31" t="s">
        <v>38</v>
      </c>
      <c r="J15" s="99">
        <v>58.80933</v>
      </c>
      <c r="K15" s="100">
        <v>81</v>
      </c>
      <c r="L15" s="100">
        <v>3088.65623</v>
      </c>
      <c r="M15" s="100">
        <v>52.4643</v>
      </c>
      <c r="N15" s="100">
        <v>491.24158000000006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C5:E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3" width="22.28125" style="1" bestFit="1" customWidth="1"/>
    <col min="4" max="5" width="14.28125" style="1" bestFit="1" customWidth="1"/>
    <col min="6" max="16384" width="11.421875" style="1" customWidth="1"/>
  </cols>
  <sheetData>
    <row r="4" ht="13.5" thickBot="1"/>
    <row r="5" spans="3:5" ht="13.5" thickBot="1">
      <c r="C5" s="55" t="s">
        <v>40</v>
      </c>
      <c r="D5" s="55" t="s">
        <v>41</v>
      </c>
      <c r="E5" s="55" t="s">
        <v>81</v>
      </c>
    </row>
    <row r="6" spans="3:5" ht="12.75">
      <c r="C6" s="68" t="s">
        <v>27</v>
      </c>
      <c r="D6" s="68"/>
      <c r="E6" s="36"/>
    </row>
    <row r="7" spans="3:5" ht="12.75">
      <c r="C7" s="26" t="s">
        <v>28</v>
      </c>
      <c r="D7" s="72">
        <f aca="true" t="shared" si="0" ref="D7:D12">1/E7*100%</f>
        <v>0.030303030303030304</v>
      </c>
      <c r="E7" s="42">
        <v>33</v>
      </c>
    </row>
    <row r="8" spans="3:5" ht="12.75">
      <c r="C8" s="26" t="s">
        <v>29</v>
      </c>
      <c r="D8" s="72">
        <f t="shared" si="0"/>
        <v>0.1</v>
      </c>
      <c r="E8" s="42">
        <v>10</v>
      </c>
    </row>
    <row r="9" spans="3:5" ht="12.75">
      <c r="C9" s="26" t="s">
        <v>30</v>
      </c>
      <c r="D9" s="72">
        <f t="shared" si="0"/>
        <v>0.2</v>
      </c>
      <c r="E9" s="42">
        <v>5</v>
      </c>
    </row>
    <row r="10" spans="3:5" ht="12.75">
      <c r="C10" s="26" t="s">
        <v>31</v>
      </c>
      <c r="D10" s="72">
        <f t="shared" si="0"/>
        <v>0.1</v>
      </c>
      <c r="E10" s="42">
        <v>10</v>
      </c>
    </row>
    <row r="11" spans="3:5" ht="12.75">
      <c r="C11" s="26" t="s">
        <v>32</v>
      </c>
      <c r="D11" s="72">
        <f t="shared" si="0"/>
        <v>0.1</v>
      </c>
      <c r="E11" s="42">
        <v>10</v>
      </c>
    </row>
    <row r="12" spans="3:5" ht="12.75">
      <c r="C12" s="26" t="s">
        <v>33</v>
      </c>
      <c r="D12" s="72">
        <f t="shared" si="0"/>
        <v>0.25</v>
      </c>
      <c r="E12" s="42">
        <v>4</v>
      </c>
    </row>
    <row r="13" spans="3:5" ht="12.75">
      <c r="C13" s="69" t="s">
        <v>35</v>
      </c>
      <c r="D13" s="73"/>
      <c r="E13" s="42"/>
    </row>
    <row r="14" spans="3:5" ht="12.75">
      <c r="C14" s="26" t="s">
        <v>36</v>
      </c>
      <c r="D14" s="72">
        <f>1/E14*100%</f>
        <v>0.03333333333333333</v>
      </c>
      <c r="E14" s="42">
        <v>30</v>
      </c>
    </row>
    <row r="15" spans="3:5" ht="12.75">
      <c r="C15" s="26" t="s">
        <v>37</v>
      </c>
      <c r="D15" s="72">
        <f>1/E15*100%</f>
        <v>0.1</v>
      </c>
      <c r="E15" s="42">
        <v>10</v>
      </c>
    </row>
    <row r="16" spans="3:5" ht="13.5" thickBot="1">
      <c r="C16" s="31" t="s">
        <v>38</v>
      </c>
      <c r="D16" s="74">
        <f>1/E16*100%</f>
        <v>0.2</v>
      </c>
      <c r="E16" s="40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B4:N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03" customWidth="1"/>
    <col min="2" max="2" width="38.00390625" style="103" bestFit="1" customWidth="1"/>
    <col min="3" max="8" width="11.421875" style="103" customWidth="1"/>
    <col min="9" max="9" width="40.57421875" style="103" bestFit="1" customWidth="1"/>
    <col min="10" max="16384" width="11.421875" style="103" customWidth="1"/>
  </cols>
  <sheetData>
    <row r="3" s="103" customFormat="1" ht="13.5" thickBot="1"/>
    <row r="4" spans="2:14" s="103" customFormat="1" ht="13.5" thickBot="1">
      <c r="B4" s="104" t="s">
        <v>150</v>
      </c>
      <c r="C4" s="104">
        <v>2011</v>
      </c>
      <c r="D4" s="104">
        <v>2012</v>
      </c>
      <c r="E4" s="104">
        <v>2013</v>
      </c>
      <c r="F4" s="104">
        <v>2014</v>
      </c>
      <c r="G4" s="104">
        <v>2015</v>
      </c>
      <c r="I4" s="104" t="s">
        <v>149</v>
      </c>
      <c r="J4" s="104">
        <v>2011</v>
      </c>
      <c r="K4" s="104">
        <v>2012</v>
      </c>
      <c r="L4" s="104">
        <v>2013</v>
      </c>
      <c r="M4" s="104">
        <v>2014</v>
      </c>
      <c r="N4" s="104">
        <v>2015</v>
      </c>
    </row>
    <row r="5" spans="2:14" s="103" customFormat="1" ht="12.75">
      <c r="B5" s="105" t="s">
        <v>27</v>
      </c>
      <c r="C5" s="106"/>
      <c r="D5" s="106"/>
      <c r="E5" s="106"/>
      <c r="F5" s="106"/>
      <c r="G5" s="106"/>
      <c r="I5" s="105" t="s">
        <v>27</v>
      </c>
      <c r="J5" s="106"/>
      <c r="K5" s="106"/>
      <c r="L5" s="106"/>
      <c r="M5" s="106"/>
      <c r="N5" s="106"/>
    </row>
    <row r="6" spans="2:14" s="103" customFormat="1" ht="12.75">
      <c r="B6" s="107" t="s">
        <v>28</v>
      </c>
      <c r="C6" s="108"/>
      <c r="D6" s="108"/>
      <c r="E6" s="108"/>
      <c r="F6" s="108"/>
      <c r="G6" s="108"/>
      <c r="I6" s="107" t="s">
        <v>28</v>
      </c>
      <c r="J6" s="108"/>
      <c r="K6" s="98">
        <f>+SUM(Capital!$J$6:J6)*TasaDepreciación!$D$7</f>
        <v>0</v>
      </c>
      <c r="L6" s="98">
        <f>+SUM(Capital!$J$6:K6)*TasaDepreciación!$D$7</f>
        <v>0</v>
      </c>
      <c r="M6" s="98">
        <f>+SUM(Capital!$J$6:L6)*TasaDepreciación!$D$7</f>
        <v>0</v>
      </c>
      <c r="N6" s="98">
        <f>+SUM(Capital!$J$6:M6)*TasaDepreciación!$D$7</f>
        <v>0</v>
      </c>
    </row>
    <row r="7" spans="2:14" s="103" customFormat="1" ht="12.75">
      <c r="B7" s="107" t="s">
        <v>29</v>
      </c>
      <c r="C7" s="108"/>
      <c r="D7" s="108"/>
      <c r="E7" s="108"/>
      <c r="F7" s="108"/>
      <c r="G7" s="108"/>
      <c r="I7" s="107" t="s">
        <v>29</v>
      </c>
      <c r="J7" s="108"/>
      <c r="K7" s="98">
        <f>+SUM(Capital!$J$7:J7)*TasaDepreciación!$D$8</f>
        <v>0</v>
      </c>
      <c r="L7" s="98">
        <f>+SUM(Capital!$J$7:K7)*TasaDepreciación!$D$8</f>
        <v>0</v>
      </c>
      <c r="M7" s="98">
        <f>+SUM(Capital!$J$7:L7)*TasaDepreciación!$D$8</f>
        <v>0</v>
      </c>
      <c r="N7" s="98">
        <f>+SUM(Capital!$J$7:M7)*TasaDepreciación!$D$8</f>
        <v>0</v>
      </c>
    </row>
    <row r="8" spans="2:14" s="103" customFormat="1" ht="12.75">
      <c r="B8" s="107" t="s">
        <v>30</v>
      </c>
      <c r="C8" s="108"/>
      <c r="D8" s="108"/>
      <c r="E8" s="108"/>
      <c r="F8" s="108"/>
      <c r="G8" s="108"/>
      <c r="I8" s="107" t="s">
        <v>30</v>
      </c>
      <c r="J8" s="108"/>
      <c r="K8" s="98">
        <f>+SUM(Capital!$J$8:J8)*TasaDepreciación!$D$9</f>
        <v>244.71945517651568</v>
      </c>
      <c r="L8" s="98">
        <f>+SUM(Capital!$J$8:K8)*TasaDepreciación!$D$9</f>
        <v>239.95255996708525</v>
      </c>
      <c r="M8" s="98">
        <f>+SUM(Capital!$J$8:L8)*TasaDepreciación!$D$9</f>
        <v>259.357644</v>
      </c>
      <c r="N8" s="98">
        <f>+SUM(Capital!$J$8:M8)*TasaDepreciación!$D$9</f>
        <v>250.03561000000002</v>
      </c>
    </row>
    <row r="9" spans="2:14" s="103" customFormat="1" ht="12.75">
      <c r="B9" s="107" t="s">
        <v>31</v>
      </c>
      <c r="C9" s="108"/>
      <c r="D9" s="108"/>
      <c r="E9" s="108"/>
      <c r="F9" s="108"/>
      <c r="G9" s="108"/>
      <c r="I9" s="107" t="s">
        <v>31</v>
      </c>
      <c r="J9" s="108"/>
      <c r="K9" s="98">
        <f>+SUM(Capital!$J$9:J9)*TasaDepreciación!$D$10</f>
        <v>48.6</v>
      </c>
      <c r="L9" s="98">
        <f>+SUM(Capital!$J$9:K9)*TasaDepreciación!$D$10</f>
        <v>61.900000000000006</v>
      </c>
      <c r="M9" s="98">
        <f>+SUM(Capital!$J$9:L9)*TasaDepreciación!$D$10</f>
        <v>65.42998</v>
      </c>
      <c r="N9" s="98">
        <f>+SUM(Capital!$J$9:M9)*TasaDepreciación!$D$10</f>
        <v>65.40957999999999</v>
      </c>
    </row>
    <row r="10" spans="2:14" s="103" customFormat="1" ht="12.75">
      <c r="B10" s="107" t="s">
        <v>32</v>
      </c>
      <c r="C10" s="108"/>
      <c r="D10" s="108"/>
      <c r="E10" s="108"/>
      <c r="F10" s="108"/>
      <c r="G10" s="108"/>
      <c r="I10" s="107" t="s">
        <v>32</v>
      </c>
      <c r="J10" s="108"/>
      <c r="K10" s="98">
        <f>+SUM(Capital!$J$10:J10)*TasaDepreciación!$D$11</f>
        <v>103.60000000000001</v>
      </c>
      <c r="L10" s="98">
        <f>+SUM(Capital!$J$10:K10)*TasaDepreciación!$D$11</f>
        <v>162.60000000000002</v>
      </c>
      <c r="M10" s="98">
        <f>+SUM(Capital!$J$10:L10)*TasaDepreciación!$D$11</f>
        <v>174.344282</v>
      </c>
      <c r="N10" s="98">
        <f>+SUM(Capital!$J$10:M10)*TasaDepreciación!$D$11</f>
        <v>191.576098</v>
      </c>
    </row>
    <row r="11" spans="2:14" s="103" customFormat="1" ht="12.75">
      <c r="B11" s="107" t="s">
        <v>33</v>
      </c>
      <c r="C11" s="108"/>
      <c r="D11" s="108"/>
      <c r="E11" s="108"/>
      <c r="F11" s="108"/>
      <c r="G11" s="108"/>
      <c r="I11" s="107" t="s">
        <v>33</v>
      </c>
      <c r="J11" s="108"/>
      <c r="K11" s="98">
        <f>+SUM(Capital!$J$11:J11)*TasaDepreciación!$D$12</f>
        <v>62.56021562767882</v>
      </c>
      <c r="L11" s="98">
        <f>+SUM(Capital!$J$11:K11)*TasaDepreciación!$D$12</f>
        <v>93.10378</v>
      </c>
      <c r="M11" s="98">
        <f>+SUM(Capital!$J$11:L11)*TasaDepreciación!$D$12</f>
        <v>100.705</v>
      </c>
      <c r="N11" s="98">
        <f>+SUM(Capital!$J$11:M11)*TasaDepreciación!$D$12</f>
        <v>110.236175</v>
      </c>
    </row>
    <row r="12" spans="2:14" s="103" customFormat="1" ht="12.75">
      <c r="B12" s="109" t="s">
        <v>35</v>
      </c>
      <c r="C12" s="108"/>
      <c r="D12" s="108"/>
      <c r="E12" s="108"/>
      <c r="F12" s="108"/>
      <c r="G12" s="108"/>
      <c r="I12" s="109" t="s">
        <v>35</v>
      </c>
      <c r="J12" s="108"/>
      <c r="K12" s="98"/>
      <c r="L12" s="98"/>
      <c r="M12" s="98"/>
      <c r="N12" s="98"/>
    </row>
    <row r="13" spans="2:14" s="103" customFormat="1" ht="12.75">
      <c r="B13" s="107" t="s">
        <v>36</v>
      </c>
      <c r="C13" s="98"/>
      <c r="D13" s="98">
        <f>+SUM(Capital!$C$13:C13)*TasaDepreciación!$D$14</f>
        <v>1017.5983</v>
      </c>
      <c r="E13" s="98">
        <f>+SUM(Capital!$C$13:D13)*TasaDepreciación!$D$14</f>
        <v>1017.5983</v>
      </c>
      <c r="F13" s="98">
        <f>+SUM(Capital!$C$13:E13)*TasaDepreciación!$D$14</f>
        <v>1017.5983</v>
      </c>
      <c r="G13" s="98">
        <f>+SUM(Capital!$C$13:F13)*TasaDepreciación!$D$14</f>
        <v>1017.5983</v>
      </c>
      <c r="I13" s="107" t="s">
        <v>36</v>
      </c>
      <c r="J13" s="98"/>
      <c r="K13" s="98">
        <f>+SUM(Capital!$J$13:J13)*TasaDepreciación!$D$14</f>
        <v>102.50676705950579</v>
      </c>
      <c r="L13" s="98">
        <f>+SUM(Capital!$J$13:K13)*TasaDepreciación!$D$14</f>
        <v>100.5518750595058</v>
      </c>
      <c r="M13" s="98">
        <f>+SUM(Capital!$J$13:L13)*TasaDepreciación!$D$14</f>
        <v>100.5518750595058</v>
      </c>
      <c r="N13" s="98">
        <f>+SUM(Capital!$J$13:M13)*TasaDepreciación!$D$14</f>
        <v>99.67725072617246</v>
      </c>
    </row>
    <row r="14" spans="2:14" s="103" customFormat="1" ht="12.75">
      <c r="B14" s="107" t="s">
        <v>37</v>
      </c>
      <c r="C14" s="98"/>
      <c r="D14" s="98">
        <f>+SUM(Capital!$C$14:C14)*TasaDepreciación!$D$15</f>
        <v>2778.0819</v>
      </c>
      <c r="E14" s="98">
        <f>+SUM(Capital!$C$14:D14)*TasaDepreciación!$D$15</f>
        <v>2778.0819</v>
      </c>
      <c r="F14" s="98">
        <f>+SUM(Capital!$C$14:E14)*TasaDepreciación!$D$15</f>
        <v>2778.0819</v>
      </c>
      <c r="G14" s="98">
        <f>+SUM(Capital!$C$14:F14)*TasaDepreciación!$D$15</f>
        <v>2778.0819</v>
      </c>
      <c r="I14" s="107" t="s">
        <v>37</v>
      </c>
      <c r="J14" s="98"/>
      <c r="K14" s="98">
        <f>+SUM(Capital!$J$14:J14)*TasaDepreciación!$D$15</f>
        <v>0</v>
      </c>
      <c r="L14" s="98">
        <f>+SUM(Capital!$J$14:K14)*TasaDepreciación!$D$15</f>
        <v>0</v>
      </c>
      <c r="M14" s="98">
        <f>+SUM(Capital!$J$14:L14)*TasaDepreciación!$D$15</f>
        <v>1393.7275</v>
      </c>
      <c r="N14" s="98">
        <f>+SUM(Capital!$J$14:M14)*TasaDepreciación!$D$15</f>
        <v>2804.2747878644072</v>
      </c>
    </row>
    <row r="15" spans="2:14" s="103" customFormat="1" ht="13.5" thickBot="1">
      <c r="B15" s="110" t="s">
        <v>38</v>
      </c>
      <c r="C15" s="99"/>
      <c r="D15" s="99">
        <f>+SUM(Capital!$C$15:C15)*TasaDepreciación!$D$16</f>
        <v>0</v>
      </c>
      <c r="E15" s="99">
        <f>+SUM(Capital!$C$15:D15)*TasaDepreciación!$D$16</f>
        <v>0</v>
      </c>
      <c r="F15" s="99">
        <f>+SUM(Capital!$C$15:E15)*TasaDepreciación!$D$16</f>
        <v>0</v>
      </c>
      <c r="G15" s="99">
        <f>+SUM(Capital!$C$15:F15)*TasaDepreciación!$D$16</f>
        <v>0</v>
      </c>
      <c r="I15" s="110" t="s">
        <v>38</v>
      </c>
      <c r="J15" s="99"/>
      <c r="K15" s="99">
        <f>+SUM(Capital!$J$15:J15)*TasaDepreciación!$D$16</f>
        <v>11.761866000000001</v>
      </c>
      <c r="L15" s="99">
        <f>+SUM(Capital!$J$15:K15)*TasaDepreciación!$D$16</f>
        <v>27.961866</v>
      </c>
      <c r="M15" s="99">
        <f>+SUM(Capital!$J$15:L15)*TasaDepreciación!$D$16</f>
        <v>645.693112</v>
      </c>
      <c r="N15" s="99">
        <f>+SUM(Capital!$J$15:M15)*TasaDepreciación!$D$16</f>
        <v>656.1859720000001</v>
      </c>
    </row>
  </sheetData>
  <sheetProtection/>
  <printOptions/>
  <pageMargins left="0.7" right="0.7" top="0.75" bottom="0.75" header="0.3" footer="0.3"/>
  <pageSetup orientation="portrait" paperSize="9"/>
  <ignoredErrors>
    <ignoredError sqref="L6:L15 M6:N1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B4:T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03" customWidth="1"/>
    <col min="2" max="2" width="45.7109375" style="103" bestFit="1" customWidth="1"/>
    <col min="3" max="8" width="11.421875" style="103" customWidth="1"/>
    <col min="9" max="9" width="48.8515625" style="103" bestFit="1" customWidth="1"/>
    <col min="10" max="16384" width="11.421875" style="103" customWidth="1"/>
  </cols>
  <sheetData>
    <row r="3" s="103" customFormat="1" ht="13.5" thickBot="1"/>
    <row r="4" spans="2:14" s="103" customFormat="1" ht="13.5" thickBot="1">
      <c r="B4" s="104" t="s">
        <v>151</v>
      </c>
      <c r="C4" s="104">
        <v>2011</v>
      </c>
      <c r="D4" s="104">
        <v>2012</v>
      </c>
      <c r="E4" s="104">
        <v>2013</v>
      </c>
      <c r="F4" s="104">
        <v>2014</v>
      </c>
      <c r="G4" s="104">
        <v>2015</v>
      </c>
      <c r="I4" s="104" t="s">
        <v>152</v>
      </c>
      <c r="J4" s="104">
        <v>2011</v>
      </c>
      <c r="K4" s="104">
        <v>2012</v>
      </c>
      <c r="L4" s="104">
        <v>2013</v>
      </c>
      <c r="M4" s="104">
        <v>2014</v>
      </c>
      <c r="N4" s="104">
        <v>2015</v>
      </c>
    </row>
    <row r="5" spans="2:14" s="103" customFormat="1" ht="12.75">
      <c r="B5" s="105" t="s">
        <v>27</v>
      </c>
      <c r="C5" s="106"/>
      <c r="D5" s="106"/>
      <c r="E5" s="106"/>
      <c r="F5" s="106"/>
      <c r="G5" s="106"/>
      <c r="I5" s="105" t="s">
        <v>27</v>
      </c>
      <c r="J5" s="106"/>
      <c r="K5" s="106"/>
      <c r="L5" s="106"/>
      <c r="M5" s="106"/>
      <c r="N5" s="106"/>
    </row>
    <row r="6" spans="2:14" s="103" customFormat="1" ht="12.75">
      <c r="B6" s="107" t="s">
        <v>28</v>
      </c>
      <c r="C6" s="108"/>
      <c r="D6" s="108"/>
      <c r="E6" s="108"/>
      <c r="F6" s="108"/>
      <c r="G6" s="108"/>
      <c r="I6" s="107" t="s">
        <v>28</v>
      </c>
      <c r="J6" s="98">
        <f>+SUM(Capital!$J$6:J6)-SUM(Depreciación!$J$6:J6)</f>
        <v>0</v>
      </c>
      <c r="K6" s="98">
        <f>+SUM(Capital!$J$6:K6)-SUM(Depreciación!$J$6:K6)</f>
        <v>0</v>
      </c>
      <c r="L6" s="98">
        <f>+SUM(Capital!$J$6:L6)-SUM(Depreciación!$J$6:L6)</f>
        <v>0</v>
      </c>
      <c r="M6" s="98">
        <f>+SUM(Capital!$J$6:M6)-SUM(Depreciación!$J$6:M6)</f>
        <v>0</v>
      </c>
      <c r="N6" s="98">
        <f>+SUM(Capital!$J$6:N6)-SUM(Depreciación!$J$6:N6)</f>
        <v>0</v>
      </c>
    </row>
    <row r="7" spans="2:14" s="103" customFormat="1" ht="12.75">
      <c r="B7" s="107" t="s">
        <v>29</v>
      </c>
      <c r="C7" s="108"/>
      <c r="D7" s="108"/>
      <c r="E7" s="108"/>
      <c r="F7" s="108"/>
      <c r="G7" s="108"/>
      <c r="I7" s="107" t="s">
        <v>29</v>
      </c>
      <c r="J7" s="98">
        <f>+SUM(Capital!$J$7:J7)-SUM(Depreciación!$J$7:J7)</f>
        <v>0</v>
      </c>
      <c r="K7" s="98">
        <f>+SUM(Capital!$J$7:K7)-SUM(Depreciación!$J$7:K7)</f>
        <v>0</v>
      </c>
      <c r="L7" s="98">
        <f>+SUM(Capital!$J$7:L7)-SUM(Depreciación!$J$7:L7)</f>
        <v>0</v>
      </c>
      <c r="M7" s="98">
        <f>+SUM(Capital!$J$7:M7)-SUM(Depreciación!$J$7:M7)</f>
        <v>0</v>
      </c>
      <c r="N7" s="98">
        <f>+SUM(Capital!$J$7:N7)-SUM(Depreciación!$J$7:N7)</f>
        <v>0</v>
      </c>
    </row>
    <row r="8" spans="2:14" s="103" customFormat="1" ht="12.75">
      <c r="B8" s="107" t="s">
        <v>30</v>
      </c>
      <c r="C8" s="108"/>
      <c r="D8" s="108"/>
      <c r="E8" s="108"/>
      <c r="F8" s="108"/>
      <c r="G8" s="108"/>
      <c r="I8" s="107" t="s">
        <v>30</v>
      </c>
      <c r="J8" s="98">
        <f>+SUM(Capital!$J$8:J8)-SUM(Depreciación!$J$8:J8)</f>
        <v>1223.5972758825783</v>
      </c>
      <c r="K8" s="98">
        <f>+SUM(Capital!$J$8:K8)-SUM(Depreciación!$J$8:K8)</f>
        <v>955.0433446589105</v>
      </c>
      <c r="L8" s="98">
        <f>+SUM(Capital!$J$8:L8)-SUM(Depreciación!$J$8:L8)</f>
        <v>812.116204856399</v>
      </c>
      <c r="M8" s="98">
        <f>+SUM(Capital!$J$8:M8)-SUM(Depreciación!$J$8:M8)</f>
        <v>506.14839085639915</v>
      </c>
      <c r="N8" s="98">
        <f>+SUM(Capital!$J$8:N8)-SUM(Depreciación!$J$8:N8)</f>
        <v>256.1127808563991</v>
      </c>
    </row>
    <row r="9" spans="2:14" s="103" customFormat="1" ht="12.75">
      <c r="B9" s="107" t="s">
        <v>31</v>
      </c>
      <c r="C9" s="108"/>
      <c r="D9" s="108"/>
      <c r="E9" s="108"/>
      <c r="F9" s="108"/>
      <c r="G9" s="108"/>
      <c r="I9" s="107" t="s">
        <v>31</v>
      </c>
      <c r="J9" s="98">
        <f>+SUM(Capital!$J$9:J9)-SUM(Depreciación!$J$9:J9)</f>
        <v>486</v>
      </c>
      <c r="K9" s="98">
        <f>+SUM(Capital!$J$9:K9)-SUM(Depreciación!$J$9:K9)</f>
        <v>570.4</v>
      </c>
      <c r="L9" s="98">
        <f>+SUM(Capital!$J$9:L9)-SUM(Depreciación!$J$9:L9)</f>
        <v>543.7998</v>
      </c>
      <c r="M9" s="98">
        <f>+SUM(Capital!$J$9:M9)-SUM(Depreciación!$J$9:M9)</f>
        <v>478.16581999999994</v>
      </c>
      <c r="N9" s="98">
        <f>+SUM(Capital!$J$9:N9)-SUM(Depreciación!$J$9:N9)</f>
        <v>752.72222</v>
      </c>
    </row>
    <row r="10" spans="2:14" s="103" customFormat="1" ht="12.75">
      <c r="B10" s="107" t="s">
        <v>32</v>
      </c>
      <c r="C10" s="108"/>
      <c r="D10" s="108"/>
      <c r="E10" s="108"/>
      <c r="F10" s="108"/>
      <c r="G10" s="108"/>
      <c r="I10" s="107" t="s">
        <v>32</v>
      </c>
      <c r="J10" s="98">
        <f>+SUM(Capital!$J$10:J10)-SUM(Depreciación!$J$10:J10)</f>
        <v>1036</v>
      </c>
      <c r="K10" s="98">
        <f>+SUM(Capital!$J$10:K10)-SUM(Depreciación!$J$10:K10)</f>
        <v>1522.4</v>
      </c>
      <c r="L10" s="98">
        <f>+SUM(Capital!$J$10:L10)-SUM(Depreciación!$J$10:L10)</f>
        <v>1477.2428199999997</v>
      </c>
      <c r="M10" s="98">
        <f>+SUM(Capital!$J$10:M10)-SUM(Depreciación!$J$10:M10)</f>
        <v>1475.2166979999997</v>
      </c>
      <c r="N10" s="98">
        <f>+SUM(Capital!$J$10:N10)-SUM(Depreciación!$J$10:N10)</f>
        <v>1354.6575999999998</v>
      </c>
    </row>
    <row r="11" spans="2:14" s="103" customFormat="1" ht="12.75">
      <c r="B11" s="107" t="s">
        <v>33</v>
      </c>
      <c r="C11" s="108"/>
      <c r="D11" s="108"/>
      <c r="E11" s="108"/>
      <c r="F11" s="108"/>
      <c r="G11" s="108"/>
      <c r="I11" s="107" t="s">
        <v>33</v>
      </c>
      <c r="J11" s="98">
        <f>+SUM(Capital!$J$11:J11)-SUM(Depreciación!$J$11:J11)</f>
        <v>250.2408625107153</v>
      </c>
      <c r="K11" s="98">
        <f>+SUM(Capital!$J$11:K11)-SUM(Depreciación!$J$11:K11)</f>
        <v>309.8549043723212</v>
      </c>
      <c r="L11" s="98">
        <f>+SUM(Capital!$J$11:L11)-SUM(Depreciación!$J$11:L11)</f>
        <v>247.15600437232118</v>
      </c>
      <c r="M11" s="98">
        <f>+SUM(Capital!$J$11:M11)-SUM(Depreciación!$J$11:M11)</f>
        <v>184.57570437232118</v>
      </c>
      <c r="N11" s="98">
        <f>+SUM(Capital!$J$11:N11)-SUM(Depreciación!$J$11:N11)</f>
        <v>240.18221937232113</v>
      </c>
    </row>
    <row r="12" spans="2:14" s="103" customFormat="1" ht="12.75">
      <c r="B12" s="109" t="s">
        <v>35</v>
      </c>
      <c r="C12" s="108"/>
      <c r="D12" s="108"/>
      <c r="E12" s="108"/>
      <c r="F12" s="108"/>
      <c r="G12" s="108"/>
      <c r="I12" s="109" t="s">
        <v>35</v>
      </c>
      <c r="J12" s="98"/>
      <c r="K12" s="98"/>
      <c r="L12" s="98"/>
      <c r="M12" s="98"/>
      <c r="N12" s="98"/>
    </row>
    <row r="13" spans="2:14" s="103" customFormat="1" ht="12.75">
      <c r="B13" s="107" t="s">
        <v>36</v>
      </c>
      <c r="C13" s="98">
        <f>+SUM(Capital!$C$13:C13)-SUM(Depreciación!$C$13:C13)</f>
        <v>30527.949</v>
      </c>
      <c r="D13" s="98">
        <f>+SUM(Capital!$C$13:D13)-SUM(Depreciación!$C$13:D13)</f>
        <v>29510.3507</v>
      </c>
      <c r="E13" s="98">
        <f>+SUM(Capital!$C$13:E13)-SUM(Depreciación!$C$13:E13)</f>
        <v>28492.7524</v>
      </c>
      <c r="F13" s="98">
        <f>+SUM(Capital!$C$13:F13)-SUM(Depreciación!$C$13:F13)</f>
        <v>27475.1541</v>
      </c>
      <c r="G13" s="98">
        <f>+SUM(Capital!$C$13:G13)-SUM(Depreciación!$C$13:G13)</f>
        <v>26457.555800000002</v>
      </c>
      <c r="I13" s="107" t="s">
        <v>36</v>
      </c>
      <c r="J13" s="98">
        <f>+SUM(Capital!$J$13:J13)-SUM(Depreciación!$J$13:J13)</f>
        <v>3075.2030117851737</v>
      </c>
      <c r="K13" s="98">
        <f>+SUM(Capital!$J$13:K13)-SUM(Depreciación!$J$13:K13)</f>
        <v>2914.049484725668</v>
      </c>
      <c r="L13" s="98">
        <f>+SUM(Capital!$J$13:L13)-SUM(Depreciación!$J$13:L13)</f>
        <v>2813.4976096661626</v>
      </c>
      <c r="M13" s="98">
        <f>+SUM(Capital!$J$13:M13)-SUM(Depreciación!$J$13:M13)</f>
        <v>2686.7070046066565</v>
      </c>
      <c r="N13" s="98">
        <f>+SUM(Capital!$J$13:N13)-SUM(Depreciación!$J$13:N13)</f>
        <v>71410.37131288047</v>
      </c>
    </row>
    <row r="14" spans="2:14" s="103" customFormat="1" ht="12.75">
      <c r="B14" s="107" t="s">
        <v>37</v>
      </c>
      <c r="C14" s="98">
        <f>+SUM(Capital!$C$14:C14)-SUM(Depreciación!$C$14:C14)</f>
        <v>27780.819</v>
      </c>
      <c r="D14" s="98">
        <f>+SUM(Capital!$C$14:D14)-SUM(Depreciación!$C$14:D14)</f>
        <v>25002.7371</v>
      </c>
      <c r="E14" s="98">
        <f>+SUM(Capital!$C$14:E14)-SUM(Depreciación!$C$14:E14)</f>
        <v>22224.6552</v>
      </c>
      <c r="F14" s="98">
        <f>+SUM(Capital!$C$14:F14)-SUM(Depreciación!$C$14:F14)</f>
        <v>19446.5733</v>
      </c>
      <c r="G14" s="98">
        <f>+SUM(Capital!$C$14:G14)-SUM(Depreciación!$C$14:G14)</f>
        <v>16668.4914</v>
      </c>
      <c r="I14" s="107" t="s">
        <v>37</v>
      </c>
      <c r="J14" s="98">
        <f>+SUM(Capital!$J$14:J14)-SUM(Depreciación!$J$14:J14)</f>
        <v>0</v>
      </c>
      <c r="K14" s="98">
        <f>+SUM(Capital!$J$14:K14)-SUM(Depreciación!$J$14:K14)</f>
        <v>0</v>
      </c>
      <c r="L14" s="98">
        <f>+SUM(Capital!$J$14:L14)-SUM(Depreciación!$J$14:L14)</f>
        <v>13937.275</v>
      </c>
      <c r="M14" s="98">
        <f>+SUM(Capital!$J$14:M14)-SUM(Depreciación!$J$14:M14)</f>
        <v>26649.02037864407</v>
      </c>
      <c r="N14" s="98">
        <f>+SUM(Capital!$J$14:N14)-SUM(Depreciación!$J$14:N14)</f>
        <v>89936.95812467796</v>
      </c>
    </row>
    <row r="15" spans="2:14" s="103" customFormat="1" ht="13.5" thickBot="1">
      <c r="B15" s="110" t="s">
        <v>38</v>
      </c>
      <c r="C15" s="99">
        <f>+SUM(Capital!$C$15:C15)-SUM(Depreciación!$C$15:C15)</f>
        <v>0</v>
      </c>
      <c r="D15" s="99">
        <f>+SUM(Capital!$C$15:D15)-SUM(Depreciación!$C$15:D15)</f>
        <v>0</v>
      </c>
      <c r="E15" s="99">
        <f>+SUM(Capital!$C$15:E15)-SUM(Depreciación!$C$15:E15)</f>
        <v>0</v>
      </c>
      <c r="F15" s="99">
        <f>+SUM(Capital!$C$15:F15)-SUM(Depreciación!$C$15:F15)</f>
        <v>0</v>
      </c>
      <c r="G15" s="99">
        <f>+SUM(Capital!$C$15:G15)-SUM(Depreciación!$C$15:G15)</f>
        <v>0</v>
      </c>
      <c r="I15" s="110" t="s">
        <v>38</v>
      </c>
      <c r="J15" s="99">
        <f>+SUM(Capital!$J$15:J15)-SUM(Depreciación!$J$15:J15)</f>
        <v>58.80933</v>
      </c>
      <c r="K15" s="99">
        <f>+SUM(Capital!$J$15:K15)-SUM(Depreciación!$J$15:K15)</f>
        <v>128.047464</v>
      </c>
      <c r="L15" s="99">
        <f>+SUM(Capital!$J$15:L15)-SUM(Depreciación!$J$15:L15)</f>
        <v>3188.741828</v>
      </c>
      <c r="M15" s="99">
        <f>+SUM(Capital!$J$15:M15)-SUM(Depreciación!$J$15:M15)</f>
        <v>2595.513016</v>
      </c>
      <c r="N15" s="99">
        <f>+SUM(Capital!$J$15:N15)-SUM(Depreciación!$J$15:N15)</f>
        <v>2430.568624</v>
      </c>
    </row>
    <row r="18" spans="16:20" s="103" customFormat="1" ht="12.75">
      <c r="P18" s="111"/>
      <c r="Q18" s="111"/>
      <c r="R18" s="111"/>
      <c r="S18" s="111"/>
      <c r="T18" s="111"/>
    </row>
    <row r="19" spans="16:20" s="103" customFormat="1" ht="12.75">
      <c r="P19" s="111"/>
      <c r="Q19" s="111"/>
      <c r="R19" s="111"/>
      <c r="S19" s="111"/>
      <c r="T19" s="111"/>
    </row>
    <row r="20" spans="16:20" s="103" customFormat="1" ht="12.75">
      <c r="P20" s="111"/>
      <c r="Q20" s="111"/>
      <c r="R20" s="111"/>
      <c r="S20" s="111"/>
      <c r="T20" s="111"/>
    </row>
    <row r="21" spans="16:20" s="103" customFormat="1" ht="12.75">
      <c r="P21" s="111"/>
      <c r="Q21" s="111"/>
      <c r="R21" s="111"/>
      <c r="S21" s="111"/>
      <c r="T21" s="111"/>
    </row>
    <row r="22" spans="3:20" s="103" customFormat="1" ht="12.75">
      <c r="C22" s="111"/>
      <c r="D22" s="111"/>
      <c r="E22" s="111"/>
      <c r="F22" s="111"/>
      <c r="G22" s="111"/>
      <c r="P22" s="111"/>
      <c r="Q22" s="111"/>
      <c r="R22" s="111"/>
      <c r="S22" s="111"/>
      <c r="T22" s="111"/>
    </row>
    <row r="23" spans="3:20" s="103" customFormat="1" ht="12.75">
      <c r="C23" s="111"/>
      <c r="D23" s="111"/>
      <c r="E23" s="111"/>
      <c r="F23" s="111"/>
      <c r="G23" s="111"/>
      <c r="P23" s="111"/>
      <c r="Q23" s="111"/>
      <c r="R23" s="111"/>
      <c r="S23" s="111"/>
      <c r="T23" s="111"/>
    </row>
    <row r="24" spans="3:20" s="103" customFormat="1" ht="12.75">
      <c r="C24" s="111"/>
      <c r="D24" s="111"/>
      <c r="E24" s="111"/>
      <c r="F24" s="111"/>
      <c r="G24" s="111"/>
      <c r="P24" s="111"/>
      <c r="Q24" s="111"/>
      <c r="R24" s="111"/>
      <c r="S24" s="111"/>
      <c r="T24" s="111"/>
    </row>
    <row r="25" spans="16:20" s="103" customFormat="1" ht="12.75">
      <c r="P25" s="111"/>
      <c r="Q25" s="111"/>
      <c r="R25" s="111"/>
      <c r="S25" s="111"/>
      <c r="T25" s="111"/>
    </row>
    <row r="26" spans="16:20" s="103" customFormat="1" ht="12.75">
      <c r="P26" s="111"/>
      <c r="Q26" s="111"/>
      <c r="R26" s="111"/>
      <c r="S26" s="111"/>
      <c r="T26" s="111"/>
    </row>
    <row r="27" spans="16:20" s="103" customFormat="1" ht="12.75">
      <c r="P27" s="111"/>
      <c r="Q27" s="111"/>
      <c r="R27" s="111"/>
      <c r="S27" s="111"/>
      <c r="T27" s="111"/>
    </row>
    <row r="28" spans="16:20" s="103" customFormat="1" ht="12.75">
      <c r="P28" s="111"/>
      <c r="Q28" s="111"/>
      <c r="R28" s="111"/>
      <c r="S28" s="111"/>
      <c r="T28" s="111"/>
    </row>
    <row r="29" spans="16:20" s="103" customFormat="1" ht="12.75">
      <c r="P29" s="111"/>
      <c r="Q29" s="111"/>
      <c r="R29" s="111"/>
      <c r="S29" s="111"/>
      <c r="T29" s="111"/>
    </row>
    <row r="30" spans="16:20" s="103" customFormat="1" ht="12.75">
      <c r="P30" s="111"/>
      <c r="Q30" s="111"/>
      <c r="R30" s="111"/>
      <c r="S30" s="111"/>
      <c r="T30" s="111"/>
    </row>
  </sheetData>
  <sheetProtection/>
  <printOptions/>
  <pageMargins left="0.7" right="0.7" top="0.75" bottom="0.75" header="0.3" footer="0.3"/>
  <pageSetup orientation="portrait" paperSize="9"/>
  <ignoredErrors>
    <ignoredError sqref="K6:M1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B4:J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03" customWidth="1"/>
    <col min="2" max="2" width="45.7109375" style="103" bestFit="1" customWidth="1"/>
    <col min="3" max="16384" width="11.421875" style="103" customWidth="1"/>
  </cols>
  <sheetData>
    <row r="3" s="103" customFormat="1" ht="13.5" thickBot="1"/>
    <row r="4" spans="2:7" s="103" customFormat="1" ht="13.5" thickBot="1">
      <c r="B4" s="104" t="s">
        <v>153</v>
      </c>
      <c r="C4" s="104">
        <v>2011</v>
      </c>
      <c r="D4" s="104">
        <v>2012</v>
      </c>
      <c r="E4" s="104">
        <v>2013</v>
      </c>
      <c r="F4" s="104">
        <v>2014</v>
      </c>
      <c r="G4" s="104">
        <v>2015</v>
      </c>
    </row>
    <row r="5" spans="2:7" s="103" customFormat="1" ht="12.75">
      <c r="B5" s="105" t="s">
        <v>27</v>
      </c>
      <c r="C5" s="106"/>
      <c r="D5" s="106"/>
      <c r="E5" s="106"/>
      <c r="F5" s="106"/>
      <c r="G5" s="106"/>
    </row>
    <row r="6" spans="2:7" s="103" customFormat="1" ht="12.75">
      <c r="B6" s="107" t="s">
        <v>28</v>
      </c>
      <c r="C6" s="108">
        <f>+'StockNetoCapital (1)'!C6+'StockNetoCapital (1)'!J6</f>
        <v>0</v>
      </c>
      <c r="D6" s="108">
        <f>+'StockNetoCapital (1)'!D6+'StockNetoCapital (1)'!K6</f>
        <v>0</v>
      </c>
      <c r="E6" s="108">
        <f>+'StockNetoCapital (1)'!E6+'StockNetoCapital (1)'!L6</f>
        <v>0</v>
      </c>
      <c r="F6" s="108">
        <f>+'StockNetoCapital (1)'!F6+'StockNetoCapital (1)'!M6</f>
        <v>0</v>
      </c>
      <c r="G6" s="108">
        <f>+'StockNetoCapital (1)'!G6+'StockNetoCapital (1)'!N6</f>
        <v>0</v>
      </c>
    </row>
    <row r="7" spans="2:7" s="103" customFormat="1" ht="12.75">
      <c r="B7" s="107" t="s">
        <v>29</v>
      </c>
      <c r="C7" s="108">
        <f>+'StockNetoCapital (1)'!C7+'StockNetoCapital (1)'!J7</f>
        <v>0</v>
      </c>
      <c r="D7" s="108">
        <f>+'StockNetoCapital (1)'!D7+'StockNetoCapital (1)'!K7</f>
        <v>0</v>
      </c>
      <c r="E7" s="108">
        <f>+'StockNetoCapital (1)'!E7+'StockNetoCapital (1)'!L7</f>
        <v>0</v>
      </c>
      <c r="F7" s="108">
        <f>+'StockNetoCapital (1)'!F7+'StockNetoCapital (1)'!M7</f>
        <v>0</v>
      </c>
      <c r="G7" s="108">
        <f>+'StockNetoCapital (1)'!G7+'StockNetoCapital (1)'!N7</f>
        <v>0</v>
      </c>
    </row>
    <row r="8" spans="2:7" s="103" customFormat="1" ht="12.75">
      <c r="B8" s="107" t="s">
        <v>30</v>
      </c>
      <c r="C8" s="108">
        <f>+'StockNetoCapital (1)'!C8+'StockNetoCapital (1)'!J8</f>
        <v>1223.5972758825783</v>
      </c>
      <c r="D8" s="108">
        <f>+'StockNetoCapital (1)'!D8+'StockNetoCapital (1)'!K8</f>
        <v>955.0433446589105</v>
      </c>
      <c r="E8" s="108">
        <f>+'StockNetoCapital (1)'!E8+'StockNetoCapital (1)'!L8</f>
        <v>812.116204856399</v>
      </c>
      <c r="F8" s="108">
        <f>+'StockNetoCapital (1)'!F8+'StockNetoCapital (1)'!M8</f>
        <v>506.14839085639915</v>
      </c>
      <c r="G8" s="108">
        <f>+'StockNetoCapital (1)'!G8+'StockNetoCapital (1)'!N8</f>
        <v>256.1127808563991</v>
      </c>
    </row>
    <row r="9" spans="2:7" s="103" customFormat="1" ht="12.75">
      <c r="B9" s="107" t="s">
        <v>31</v>
      </c>
      <c r="C9" s="108">
        <f>+'StockNetoCapital (1)'!C9+'StockNetoCapital (1)'!J9</f>
        <v>486</v>
      </c>
      <c r="D9" s="108">
        <f>+'StockNetoCapital (1)'!D9+'StockNetoCapital (1)'!K9</f>
        <v>570.4</v>
      </c>
      <c r="E9" s="108">
        <f>+'StockNetoCapital (1)'!E9+'StockNetoCapital (1)'!L9</f>
        <v>543.7998</v>
      </c>
      <c r="F9" s="108">
        <f>+'StockNetoCapital (1)'!F9+'StockNetoCapital (1)'!M9</f>
        <v>478.16581999999994</v>
      </c>
      <c r="G9" s="108">
        <f>+'StockNetoCapital (1)'!G9+'StockNetoCapital (1)'!N9</f>
        <v>752.72222</v>
      </c>
    </row>
    <row r="10" spans="2:7" s="103" customFormat="1" ht="12.75">
      <c r="B10" s="107" t="s">
        <v>32</v>
      </c>
      <c r="C10" s="108">
        <f>+'StockNetoCapital (1)'!C10+'StockNetoCapital (1)'!J10</f>
        <v>1036</v>
      </c>
      <c r="D10" s="108">
        <f>+'StockNetoCapital (1)'!D10+'StockNetoCapital (1)'!K10</f>
        <v>1522.4</v>
      </c>
      <c r="E10" s="108">
        <f>+'StockNetoCapital (1)'!E10+'StockNetoCapital (1)'!L10</f>
        <v>1477.2428199999997</v>
      </c>
      <c r="F10" s="108">
        <f>+'StockNetoCapital (1)'!F10+'StockNetoCapital (1)'!M10</f>
        <v>1475.2166979999997</v>
      </c>
      <c r="G10" s="108">
        <f>+'StockNetoCapital (1)'!G10+'StockNetoCapital (1)'!N10</f>
        <v>1354.6575999999998</v>
      </c>
    </row>
    <row r="11" spans="2:7" s="103" customFormat="1" ht="12.75">
      <c r="B11" s="107" t="s">
        <v>33</v>
      </c>
      <c r="C11" s="108">
        <f>+'StockNetoCapital (1)'!C11+'StockNetoCapital (1)'!J11</f>
        <v>250.2408625107153</v>
      </c>
      <c r="D11" s="108">
        <f>+'StockNetoCapital (1)'!D11+'StockNetoCapital (1)'!K11</f>
        <v>309.8549043723212</v>
      </c>
      <c r="E11" s="108">
        <f>+'StockNetoCapital (1)'!E11+'StockNetoCapital (1)'!L11</f>
        <v>247.15600437232118</v>
      </c>
      <c r="F11" s="108">
        <f>+'StockNetoCapital (1)'!F11+'StockNetoCapital (1)'!M11</f>
        <v>184.57570437232118</v>
      </c>
      <c r="G11" s="108">
        <f>+'StockNetoCapital (1)'!G11+'StockNetoCapital (1)'!N11</f>
        <v>240.18221937232113</v>
      </c>
    </row>
    <row r="12" spans="2:7" s="103" customFormat="1" ht="12.75">
      <c r="B12" s="109" t="s">
        <v>35</v>
      </c>
      <c r="C12" s="108"/>
      <c r="D12" s="108"/>
      <c r="E12" s="108"/>
      <c r="F12" s="108"/>
      <c r="G12" s="108"/>
    </row>
    <row r="13" spans="2:7" s="103" customFormat="1" ht="12.75">
      <c r="B13" s="107" t="s">
        <v>36</v>
      </c>
      <c r="C13" s="108">
        <f>+'StockNetoCapital (1)'!C13+'StockNetoCapital (1)'!J13</f>
        <v>33603.152011785176</v>
      </c>
      <c r="D13" s="108">
        <f>+'StockNetoCapital (1)'!D13+'StockNetoCapital (1)'!K13</f>
        <v>32424.400184725666</v>
      </c>
      <c r="E13" s="108">
        <f>+'StockNetoCapital (1)'!E13+'StockNetoCapital (1)'!L13</f>
        <v>31306.250009666164</v>
      </c>
      <c r="F13" s="108">
        <f>+'StockNetoCapital (1)'!F13+'StockNetoCapital (1)'!M13</f>
        <v>30161.861104606658</v>
      </c>
      <c r="G13" s="108">
        <f>+'StockNetoCapital (1)'!G13+'StockNetoCapital (1)'!N13</f>
        <v>97867.92711288047</v>
      </c>
    </row>
    <row r="14" spans="2:7" s="103" customFormat="1" ht="12.75">
      <c r="B14" s="107" t="s">
        <v>37</v>
      </c>
      <c r="C14" s="108">
        <f>+'StockNetoCapital (1)'!C14+'StockNetoCapital (1)'!J14</f>
        <v>27780.819</v>
      </c>
      <c r="D14" s="108">
        <f>+'StockNetoCapital (1)'!D14+'StockNetoCapital (1)'!K14</f>
        <v>25002.7371</v>
      </c>
      <c r="E14" s="108">
        <f>+'StockNetoCapital (1)'!E14+'StockNetoCapital (1)'!L14</f>
        <v>36161.9302</v>
      </c>
      <c r="F14" s="108">
        <f>+'StockNetoCapital (1)'!F14+'StockNetoCapital (1)'!M14</f>
        <v>46095.59367864407</v>
      </c>
      <c r="G14" s="108">
        <f>+'StockNetoCapital (1)'!G14+'StockNetoCapital (1)'!N14</f>
        <v>106605.44952467796</v>
      </c>
    </row>
    <row r="15" spans="2:7" s="103" customFormat="1" ht="13.5" thickBot="1">
      <c r="B15" s="110" t="s">
        <v>38</v>
      </c>
      <c r="C15" s="100">
        <f>+'StockNetoCapital (1)'!C15+'StockNetoCapital (1)'!J15</f>
        <v>58.80933</v>
      </c>
      <c r="D15" s="100">
        <f>+'StockNetoCapital (1)'!D15+'StockNetoCapital (1)'!K15</f>
        <v>128.047464</v>
      </c>
      <c r="E15" s="100">
        <f>+'StockNetoCapital (1)'!E15+'StockNetoCapital (1)'!L15</f>
        <v>3188.741828</v>
      </c>
      <c r="F15" s="100">
        <f>+'StockNetoCapital (1)'!F15+'StockNetoCapital (1)'!M15</f>
        <v>2595.513016</v>
      </c>
      <c r="G15" s="100">
        <f>+'StockNetoCapital (1)'!G15+'StockNetoCapital (1)'!N15</f>
        <v>2430.568624</v>
      </c>
    </row>
    <row r="18" spans="9:10" s="103" customFormat="1" ht="12.75">
      <c r="I18" s="111"/>
      <c r="J18" s="111"/>
    </row>
    <row r="19" spans="9:10" s="103" customFormat="1" ht="12.75">
      <c r="I19" s="111"/>
      <c r="J19" s="111"/>
    </row>
    <row r="20" spans="9:10" s="103" customFormat="1" ht="12.75">
      <c r="I20" s="111"/>
      <c r="J20" s="111"/>
    </row>
    <row r="21" spans="9:10" s="103" customFormat="1" ht="12.75">
      <c r="I21" s="111"/>
      <c r="J21" s="111"/>
    </row>
    <row r="22" spans="3:10" s="103" customFormat="1" ht="12.75">
      <c r="C22" s="111"/>
      <c r="D22" s="111"/>
      <c r="E22" s="111"/>
      <c r="F22" s="111"/>
      <c r="G22" s="111"/>
      <c r="I22" s="111"/>
      <c r="J22" s="111"/>
    </row>
    <row r="23" spans="3:10" s="103" customFormat="1" ht="12.75">
      <c r="C23" s="111"/>
      <c r="D23" s="111"/>
      <c r="E23" s="111"/>
      <c r="F23" s="111"/>
      <c r="G23" s="111"/>
      <c r="I23" s="111"/>
      <c r="J23" s="111"/>
    </row>
    <row r="24" spans="3:10" s="103" customFormat="1" ht="12.75">
      <c r="C24" s="111"/>
      <c r="D24" s="111"/>
      <c r="E24" s="111"/>
      <c r="F24" s="111"/>
      <c r="G24" s="111"/>
      <c r="I24" s="111"/>
      <c r="J24" s="111"/>
    </row>
    <row r="25" spans="9:10" s="103" customFormat="1" ht="12.75">
      <c r="I25" s="111"/>
      <c r="J25" s="111"/>
    </row>
    <row r="26" spans="9:10" s="103" customFormat="1" ht="12.75">
      <c r="I26" s="111"/>
      <c r="J26" s="111"/>
    </row>
    <row r="27" spans="9:10" s="103" customFormat="1" ht="12.75">
      <c r="I27" s="111"/>
      <c r="J27" s="111"/>
    </row>
    <row r="28" spans="9:10" s="103" customFormat="1" ht="12.75">
      <c r="I28" s="111"/>
      <c r="J28" s="111"/>
    </row>
    <row r="29" spans="9:10" s="103" customFormat="1" ht="12.75">
      <c r="I29" s="111"/>
      <c r="J29" s="111"/>
    </row>
    <row r="30" spans="9:10" s="103" customFormat="1" ht="12.75">
      <c r="I30" s="111"/>
      <c r="J30" s="111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B4:K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03" customWidth="1"/>
    <col min="2" max="2" width="45.7109375" style="103" bestFit="1" customWidth="1"/>
    <col min="3" max="3" width="11.421875" style="103" customWidth="1"/>
    <col min="4" max="16384" width="11.421875" style="103" customWidth="1"/>
  </cols>
  <sheetData>
    <row r="3" s="103" customFormat="1" ht="13.5" thickBot="1"/>
    <row r="4" spans="2:8" s="103" customFormat="1" ht="13.5" thickBot="1">
      <c r="B4" s="104" t="s">
        <v>154</v>
      </c>
      <c r="C4" s="104">
        <v>2010</v>
      </c>
      <c r="D4" s="104">
        <v>2011</v>
      </c>
      <c r="E4" s="104">
        <v>2012</v>
      </c>
      <c r="F4" s="104">
        <v>2013</v>
      </c>
      <c r="G4" s="104">
        <v>2014</v>
      </c>
      <c r="H4" s="104">
        <v>2015</v>
      </c>
    </row>
    <row r="5" spans="2:8" s="103" customFormat="1" ht="12.75">
      <c r="B5" s="105" t="s">
        <v>27</v>
      </c>
      <c r="C5" s="105"/>
      <c r="D5" s="106"/>
      <c r="E5" s="106"/>
      <c r="F5" s="106"/>
      <c r="G5" s="106"/>
      <c r="H5" s="106"/>
    </row>
    <row r="6" spans="2:8" s="103" customFormat="1" ht="12.75">
      <c r="B6" s="107" t="s">
        <v>28</v>
      </c>
      <c r="C6" s="107"/>
      <c r="D6" s="108">
        <f>+'StockNetoCapital (2)'!C6/DatosGenerales!$E$14</f>
        <v>0</v>
      </c>
      <c r="E6" s="108">
        <f>+'StockNetoCapital (2)'!D6/DatosGenerales!$F$14</f>
        <v>0</v>
      </c>
      <c r="F6" s="108">
        <f>+'StockNetoCapital (2)'!E6/DatosGenerales!$G$14</f>
        <v>0</v>
      </c>
      <c r="G6" s="108">
        <f>+'StockNetoCapital (2)'!F6/DatosGenerales!$H$14</f>
        <v>0</v>
      </c>
      <c r="H6" s="108">
        <f>+'StockNetoCapital (2)'!G6/DatosGenerales!$I$14</f>
        <v>0</v>
      </c>
    </row>
    <row r="7" spans="2:8" s="103" customFormat="1" ht="12.75">
      <c r="B7" s="107" t="s">
        <v>29</v>
      </c>
      <c r="C7" s="107"/>
      <c r="D7" s="108">
        <f>+'StockNetoCapital (2)'!C7/DatosGenerales!$E$14</f>
        <v>0</v>
      </c>
      <c r="E7" s="108">
        <f>+'StockNetoCapital (2)'!D7/DatosGenerales!$F$14</f>
        <v>0</v>
      </c>
      <c r="F7" s="108">
        <f>+'StockNetoCapital (2)'!E7/DatosGenerales!$G$14</f>
        <v>0</v>
      </c>
      <c r="G7" s="108">
        <f>+'StockNetoCapital (2)'!F7/DatosGenerales!$H$14</f>
        <v>0</v>
      </c>
      <c r="H7" s="108">
        <f>+'StockNetoCapital (2)'!G7/DatosGenerales!$I$14</f>
        <v>0</v>
      </c>
    </row>
    <row r="8" spans="2:8" s="103" customFormat="1" ht="12.75">
      <c r="B8" s="107" t="s">
        <v>30</v>
      </c>
      <c r="C8" s="107"/>
      <c r="D8" s="108">
        <f>+'StockNetoCapital (2)'!C8/DatosGenerales!$E$14</f>
        <v>12.235972758825783</v>
      </c>
      <c r="E8" s="108">
        <f>+'StockNetoCapital (2)'!D8/DatosGenerales!$F$14</f>
        <v>8.987337531819442</v>
      </c>
      <c r="F8" s="108">
        <f>+'StockNetoCapital (2)'!E8/DatosGenerales!$G$14</f>
        <v>7.799741279107354</v>
      </c>
      <c r="G8" s="108">
        <f>+'StockNetoCapital (2)'!F8/DatosGenerales!$H$14</f>
        <v>5.014962814380476</v>
      </c>
      <c r="H8" s="108">
        <f>+'StockNetoCapital (2)'!G8/DatosGenerales!$I$14</f>
        <v>2.795772538625953</v>
      </c>
    </row>
    <row r="9" spans="2:8" s="103" customFormat="1" ht="12.75">
      <c r="B9" s="107" t="s">
        <v>31</v>
      </c>
      <c r="C9" s="107"/>
      <c r="D9" s="108">
        <f>+'StockNetoCapital (2)'!C9/DatosGenerales!$E$14</f>
        <v>4.86</v>
      </c>
      <c r="E9" s="108">
        <f>+'StockNetoCapital (2)'!D9/DatosGenerales!$F$14</f>
        <v>5.3676907512304295</v>
      </c>
      <c r="F9" s="108">
        <f>+'StockNetoCapital (2)'!E9/DatosGenerales!$G$14</f>
        <v>5.2227719657192635</v>
      </c>
      <c r="G9" s="108">
        <f>+'StockNetoCapital (2)'!F9/DatosGenerales!$H$14</f>
        <v>4.73770903894484</v>
      </c>
      <c r="H9" s="108">
        <f>+'StockNetoCapital (2)'!G9/DatosGenerales!$I$14</f>
        <v>8.21684925232025</v>
      </c>
    </row>
    <row r="10" spans="2:8" s="103" customFormat="1" ht="12.75">
      <c r="B10" s="107" t="s">
        <v>32</v>
      </c>
      <c r="C10" s="107"/>
      <c r="D10" s="108">
        <f>+'StockNetoCapital (2)'!C10/DatosGenerales!$E$14</f>
        <v>10.36</v>
      </c>
      <c r="E10" s="108">
        <f>+'StockNetoCapital (2)'!D10/DatosGenerales!$F$14</f>
        <v>14.32638919998809</v>
      </c>
      <c r="F10" s="108">
        <f>+'StockNetoCapital (2)'!E10/DatosGenerales!$G$14</f>
        <v>14.187762457536886</v>
      </c>
      <c r="G10" s="108">
        <f>+'StockNetoCapital (2)'!F10/DatosGenerales!$H$14</f>
        <v>14.61657691157632</v>
      </c>
      <c r="H10" s="108">
        <f>+'StockNetoCapital (2)'!G10/DatosGenerales!$I$14</f>
        <v>14.787682616450386</v>
      </c>
    </row>
    <row r="11" spans="2:8" s="103" customFormat="1" ht="12.75">
      <c r="B11" s="107" t="s">
        <v>33</v>
      </c>
      <c r="C11" s="107"/>
      <c r="D11" s="108">
        <f>+'StockNetoCapital (2)'!C11/DatosGenerales!$E$14</f>
        <v>2.5024086251071527</v>
      </c>
      <c r="E11" s="108">
        <f>+'StockNetoCapital (2)'!D11/DatosGenerales!$F$14</f>
        <v>2.9158578268280113</v>
      </c>
      <c r="F11" s="108">
        <f>+'StockNetoCapital (2)'!E11/DatosGenerales!$G$14</f>
        <v>2.373740208795492</v>
      </c>
      <c r="G11" s="108">
        <f>+'StockNetoCapital (2)'!F11/DatosGenerales!$H$14</f>
        <v>1.8287923276790397</v>
      </c>
      <c r="H11" s="108">
        <f>+'StockNetoCapital (2)'!G11/DatosGenerales!$I$14</f>
        <v>2.6218717041062973</v>
      </c>
    </row>
    <row r="12" spans="2:8" s="103" customFormat="1" ht="12.75">
      <c r="B12" s="109" t="s">
        <v>35</v>
      </c>
      <c r="C12" s="109"/>
      <c r="D12" s="108"/>
      <c r="E12" s="108"/>
      <c r="F12" s="108"/>
      <c r="G12" s="108"/>
      <c r="H12" s="108"/>
    </row>
    <row r="13" spans="2:8" s="103" customFormat="1" ht="12.75">
      <c r="B13" s="107" t="s">
        <v>36</v>
      </c>
      <c r="C13" s="107"/>
      <c r="D13" s="108">
        <f>+'StockNetoCapital (2)'!C13/DatosGenerales!$E$14</f>
        <v>336.03152011785176</v>
      </c>
      <c r="E13" s="108">
        <f>+'StockNetoCapital (2)'!D13/DatosGenerales!$F$14</f>
        <v>305.1264954168061</v>
      </c>
      <c r="F13" s="108">
        <f>+'StockNetoCapital (2)'!E13/DatosGenerales!$G$14</f>
        <v>300.67205780929464</v>
      </c>
      <c r="G13" s="108">
        <f>+'StockNetoCapital (2)'!F13/DatosGenerales!$H$14</f>
        <v>298.8463750643945</v>
      </c>
      <c r="H13" s="108">
        <f>+'StockNetoCapital (2)'!G13/DatosGenerales!$I$14</f>
        <v>1068.3436496980316</v>
      </c>
    </row>
    <row r="14" spans="2:8" s="103" customFormat="1" ht="12.75">
      <c r="B14" s="107" t="s">
        <v>37</v>
      </c>
      <c r="C14" s="107"/>
      <c r="D14" s="108">
        <f>+'StockNetoCapital (2)'!C14/DatosGenerales!$E$14</f>
        <v>277.80818999999997</v>
      </c>
      <c r="E14" s="108">
        <f>+'StockNetoCapital (2)'!D14/DatosGenerales!$F$14</f>
        <v>235.28569545427055</v>
      </c>
      <c r="F14" s="108">
        <f>+'StockNetoCapital (2)'!E14/DatosGenerales!$G$14</f>
        <v>347.30707012922187</v>
      </c>
      <c r="G14" s="108">
        <f>+'StockNetoCapital (2)'!F14/DatosGenerales!$H$14</f>
        <v>456.71920010267706</v>
      </c>
      <c r="H14" s="108">
        <f>+'StockNetoCapital (2)'!G14/DatosGenerales!$I$14</f>
        <v>1163.723993985609</v>
      </c>
    </row>
    <row r="15" spans="2:8" s="103" customFormat="1" ht="13.5" thickBot="1">
      <c r="B15" s="110" t="s">
        <v>38</v>
      </c>
      <c r="C15" s="110"/>
      <c r="D15" s="100">
        <f>+'StockNetoCapital (2)'!C15/DatosGenerales!$E$14</f>
        <v>0.5880933</v>
      </c>
      <c r="E15" s="100">
        <f>+'StockNetoCapital (2)'!D15/DatosGenerales!$F$14</f>
        <v>1.2049775389749497</v>
      </c>
      <c r="F15" s="100">
        <f>+'StockNetoCapital (2)'!E15/DatosGenerales!$G$14</f>
        <v>30.62537247199208</v>
      </c>
      <c r="G15" s="100">
        <f>+'StockNetoCapital (2)'!F15/DatosGenerales!$H$14</f>
        <v>25.71657145339703</v>
      </c>
      <c r="H15" s="100">
        <f>+'StockNetoCapital (2)'!G15/DatosGenerales!$I$14</f>
        <v>26.532518172278028</v>
      </c>
    </row>
    <row r="17" s="103" customFormat="1" ht="13.5" thickBot="1"/>
    <row r="18" spans="2:11" s="103" customFormat="1" ht="13.5" thickBot="1">
      <c r="B18" s="104" t="s">
        <v>155</v>
      </c>
      <c r="C18" s="104"/>
      <c r="D18" s="104">
        <v>2011</v>
      </c>
      <c r="E18" s="104">
        <v>2012</v>
      </c>
      <c r="F18" s="104">
        <v>2013</v>
      </c>
      <c r="G18" s="104">
        <v>2014</v>
      </c>
      <c r="H18" s="104">
        <v>2015</v>
      </c>
      <c r="J18" s="111"/>
      <c r="K18" s="111"/>
    </row>
    <row r="19" spans="2:11" s="103" customFormat="1" ht="12.75">
      <c r="B19" s="105" t="s">
        <v>27</v>
      </c>
      <c r="C19" s="105"/>
      <c r="D19" s="106"/>
      <c r="E19" s="106"/>
      <c r="F19" s="106"/>
      <c r="G19" s="106"/>
      <c r="H19" s="106"/>
      <c r="J19" s="111"/>
      <c r="K19" s="111"/>
    </row>
    <row r="20" spans="2:11" s="103" customFormat="1" ht="12.75">
      <c r="B20" s="107" t="s">
        <v>28</v>
      </c>
      <c r="C20" s="107"/>
      <c r="D20" s="108">
        <f>+AVERAGE(C6:D6)</f>
        <v>0</v>
      </c>
      <c r="E20" s="108">
        <f>+AVERAGE(D6:E6)</f>
        <v>0</v>
      </c>
      <c r="F20" s="108">
        <f>+AVERAGE(E6:F6)</f>
        <v>0</v>
      </c>
      <c r="G20" s="108">
        <f>+AVERAGE(F6:G6)</f>
        <v>0</v>
      </c>
      <c r="H20" s="108">
        <f>+AVERAGE(G6:H6)</f>
        <v>0</v>
      </c>
      <c r="J20" s="111"/>
      <c r="K20" s="111"/>
    </row>
    <row r="21" spans="2:11" s="103" customFormat="1" ht="12.75">
      <c r="B21" s="107" t="s">
        <v>29</v>
      </c>
      <c r="C21" s="107"/>
      <c r="D21" s="108">
        <f aca="true" t="shared" si="0" ref="D21:H29">+AVERAGE(C7:D7)</f>
        <v>0</v>
      </c>
      <c r="E21" s="108">
        <f t="shared" si="0"/>
        <v>0</v>
      </c>
      <c r="F21" s="108">
        <f t="shared" si="0"/>
        <v>0</v>
      </c>
      <c r="G21" s="108">
        <f t="shared" si="0"/>
        <v>0</v>
      </c>
      <c r="H21" s="108">
        <f t="shared" si="0"/>
        <v>0</v>
      </c>
      <c r="J21" s="111"/>
      <c r="K21" s="111"/>
    </row>
    <row r="22" spans="2:11" s="103" customFormat="1" ht="12.75">
      <c r="B22" s="107" t="s">
        <v>30</v>
      </c>
      <c r="C22" s="107"/>
      <c r="D22" s="108">
        <f t="shared" si="0"/>
        <v>12.235972758825783</v>
      </c>
      <c r="E22" s="108">
        <f t="shared" si="0"/>
        <v>10.611655145322612</v>
      </c>
      <c r="F22" s="108">
        <f t="shared" si="0"/>
        <v>8.393539405463398</v>
      </c>
      <c r="G22" s="108">
        <f t="shared" si="0"/>
        <v>6.407352046743915</v>
      </c>
      <c r="H22" s="108">
        <f t="shared" si="0"/>
        <v>3.9053676765032144</v>
      </c>
      <c r="J22" s="111"/>
      <c r="K22" s="111"/>
    </row>
    <row r="23" spans="2:11" s="103" customFormat="1" ht="12.75">
      <c r="B23" s="107" t="s">
        <v>31</v>
      </c>
      <c r="C23" s="107"/>
      <c r="D23" s="108">
        <f t="shared" si="0"/>
        <v>4.86</v>
      </c>
      <c r="E23" s="108">
        <f t="shared" si="0"/>
        <v>5.113845375615215</v>
      </c>
      <c r="F23" s="108">
        <f t="shared" si="0"/>
        <v>5.2952313584748465</v>
      </c>
      <c r="G23" s="108">
        <f t="shared" si="0"/>
        <v>4.980240502332052</v>
      </c>
      <c r="H23" s="108">
        <f t="shared" si="0"/>
        <v>6.477279145632545</v>
      </c>
      <c r="J23" s="111"/>
      <c r="K23" s="111"/>
    </row>
    <row r="24" spans="2:11" s="103" customFormat="1" ht="12.75">
      <c r="B24" s="107" t="s">
        <v>32</v>
      </c>
      <c r="C24" s="107"/>
      <c r="D24" s="108">
        <f t="shared" si="0"/>
        <v>10.36</v>
      </c>
      <c r="E24" s="108">
        <f t="shared" si="0"/>
        <v>12.343194599994046</v>
      </c>
      <c r="F24" s="108">
        <f t="shared" si="0"/>
        <v>14.257075828762488</v>
      </c>
      <c r="G24" s="108">
        <f t="shared" si="0"/>
        <v>14.402169684556604</v>
      </c>
      <c r="H24" s="108">
        <f t="shared" si="0"/>
        <v>14.702129764013353</v>
      </c>
      <c r="J24" s="111"/>
      <c r="K24" s="111"/>
    </row>
    <row r="25" spans="2:11" s="103" customFormat="1" ht="12.75">
      <c r="B25" s="107" t="s">
        <v>33</v>
      </c>
      <c r="C25" s="107"/>
      <c r="D25" s="108">
        <f t="shared" si="0"/>
        <v>2.5024086251071527</v>
      </c>
      <c r="E25" s="108">
        <f t="shared" si="0"/>
        <v>2.709133225967582</v>
      </c>
      <c r="F25" s="108">
        <f t="shared" si="0"/>
        <v>2.644799017811752</v>
      </c>
      <c r="G25" s="108">
        <f t="shared" si="0"/>
        <v>2.101266268237266</v>
      </c>
      <c r="H25" s="108">
        <f t="shared" si="0"/>
        <v>2.2253320158926684</v>
      </c>
      <c r="J25" s="111"/>
      <c r="K25" s="111"/>
    </row>
    <row r="26" spans="2:11" s="103" customFormat="1" ht="12.75">
      <c r="B26" s="109" t="s">
        <v>35</v>
      </c>
      <c r="C26" s="109"/>
      <c r="D26" s="108"/>
      <c r="E26" s="108"/>
      <c r="F26" s="108"/>
      <c r="G26" s="108"/>
      <c r="H26" s="108"/>
      <c r="J26" s="111"/>
      <c r="K26" s="111"/>
    </row>
    <row r="27" spans="2:11" s="103" customFormat="1" ht="12.75">
      <c r="B27" s="107" t="s">
        <v>36</v>
      </c>
      <c r="C27" s="107"/>
      <c r="D27" s="108">
        <f t="shared" si="0"/>
        <v>336.03152011785176</v>
      </c>
      <c r="E27" s="108">
        <f t="shared" si="0"/>
        <v>320.5790077673289</v>
      </c>
      <c r="F27" s="108">
        <f t="shared" si="0"/>
        <v>302.89927661305035</v>
      </c>
      <c r="G27" s="108">
        <f t="shared" si="0"/>
        <v>299.75921643684455</v>
      </c>
      <c r="H27" s="108">
        <f t="shared" si="0"/>
        <v>683.5950123812131</v>
      </c>
      <c r="J27" s="111"/>
      <c r="K27" s="111"/>
    </row>
    <row r="28" spans="2:11" s="103" customFormat="1" ht="12.75">
      <c r="B28" s="107" t="s">
        <v>37</v>
      </c>
      <c r="C28" s="107"/>
      <c r="D28" s="108">
        <f t="shared" si="0"/>
        <v>277.80818999999997</v>
      </c>
      <c r="E28" s="108">
        <f t="shared" si="0"/>
        <v>256.5469427271353</v>
      </c>
      <c r="F28" s="108">
        <f t="shared" si="0"/>
        <v>291.2963827917462</v>
      </c>
      <c r="G28" s="108">
        <f t="shared" si="0"/>
        <v>402.01313511594947</v>
      </c>
      <c r="H28" s="108">
        <f t="shared" si="0"/>
        <v>810.221597044143</v>
      </c>
      <c r="J28" s="111"/>
      <c r="K28" s="111"/>
    </row>
    <row r="29" spans="2:11" s="103" customFormat="1" ht="13.5" thickBot="1">
      <c r="B29" s="110" t="s">
        <v>38</v>
      </c>
      <c r="C29" s="110"/>
      <c r="D29" s="100">
        <f t="shared" si="0"/>
        <v>0.5880933</v>
      </c>
      <c r="E29" s="100">
        <f t="shared" si="0"/>
        <v>0.8965354194874748</v>
      </c>
      <c r="F29" s="100">
        <f t="shared" si="0"/>
        <v>15.915175005483515</v>
      </c>
      <c r="G29" s="100">
        <f t="shared" si="0"/>
        <v>28.170971962694555</v>
      </c>
      <c r="H29" s="100">
        <f t="shared" si="0"/>
        <v>26.124544812837527</v>
      </c>
      <c r="J29" s="111"/>
      <c r="K29" s="111"/>
    </row>
    <row r="30" spans="10:11" s="103" customFormat="1" ht="12.75">
      <c r="J30" s="111"/>
      <c r="K30" s="111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B4:L2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5.7109375" style="1" bestFit="1" customWidth="1"/>
    <col min="3" max="16384" width="11.421875" style="1" customWidth="1"/>
  </cols>
  <sheetData>
    <row r="3" ht="13.5" thickBot="1"/>
    <row r="4" spans="2:7" ht="13.5" thickBot="1">
      <c r="B4" s="55" t="s">
        <v>156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</row>
    <row r="5" spans="2:7" ht="12.75">
      <c r="B5" s="68" t="s">
        <v>27</v>
      </c>
      <c r="C5" s="41"/>
      <c r="D5" s="41"/>
      <c r="E5" s="41"/>
      <c r="F5" s="41"/>
      <c r="G5" s="41"/>
    </row>
    <row r="6" spans="2:7" ht="12.75">
      <c r="B6" s="26" t="s">
        <v>28</v>
      </c>
      <c r="C6" s="70">
        <f>+(DatosGenerales!$E$14*TasaDepreciación!D7+DatosGenerales!$D$14*WACC!$D$16-(DatosGenerales!$E$14-DatosGenerales!$D$14))/(1-'Tasa impuestos'!$C$5)</f>
        <v>6.383061339209364</v>
      </c>
      <c r="D6" s="70">
        <f>+(DatosGenerales!$F$14*TasaDepreciación!D7+DatosGenerales!$E$14*WACC!$E$16-(DatosGenerales!$F$14-DatosGenerales!$E$14))/(1-'Tasa impuestos'!$D$5)</f>
        <v>10.329040520913676</v>
      </c>
      <c r="E6" s="70">
        <f>+(DatosGenerales!$G$14*TasaDepreciación!D7+DatosGenerales!$F$14*WACC!$F$16-(DatosGenerales!$G$14-DatosGenerales!$F$14))/(1-'Tasa impuestos'!$E$5)</f>
        <v>19.58628087798279</v>
      </c>
      <c r="F6" s="70">
        <f>+(DatosGenerales!$H$14*TasaDepreciación!D7+DatosGenerales!$G$14*WACC!$G$16-(DatosGenerales!$H$14-DatosGenerales!$G$14))/(1-'Tasa impuestos'!$F$5)</f>
        <v>19.91305557589099</v>
      </c>
      <c r="G6" s="70">
        <f>+(DatosGenerales!$I$14*TasaDepreciación!D7+DatosGenerales!$H$14*WACC!$H$16-(DatosGenerales!$I$14-DatosGenerales!$H$14))/(1-'Tasa impuestos'!$G$5)</f>
        <v>27.92045082604861</v>
      </c>
    </row>
    <row r="7" spans="2:7" ht="12.75">
      <c r="B7" s="26" t="s">
        <v>29</v>
      </c>
      <c r="C7" s="70">
        <f>+(DatosGenerales!$E$14*TasaDepreciación!D8+DatosGenerales!$D$14*WACC!$D$16-(DatosGenerales!$E$14-DatosGenerales!$D$14))/(1-'Tasa impuestos'!$C$5)</f>
        <v>16.339771295919324</v>
      </c>
      <c r="D7" s="70">
        <f>+(DatosGenerales!$F$14*TasaDepreciación!D8+DatosGenerales!$E$14*WACC!$E$16-(DatosGenerales!$F$14-DatosGenerales!$E$14))/(1-'Tasa impuestos'!$D$5)</f>
        <v>20.909581804901578</v>
      </c>
      <c r="E7" s="70">
        <f>+(DatosGenerales!$G$14*TasaDepreciación!D8+DatosGenerales!$F$14*WACC!$F$16-(DatosGenerales!$G$14-DatosGenerales!$F$14))/(1-'Tasa impuestos'!$E$5)</f>
        <v>29.953298466833658</v>
      </c>
      <c r="F7" s="70">
        <f>+(DatosGenerales!$H$14*TasaDepreciación!D8+DatosGenerales!$G$14*WACC!$G$16-(DatosGenerales!$H$14-DatosGenerales!$G$14))/(1-'Tasa impuestos'!$F$5)</f>
        <v>29.962128538828196</v>
      </c>
      <c r="G7" s="70">
        <f>+(DatosGenerales!$I$14*TasaDepreciación!D8+DatosGenerales!$H$14*WACC!$H$16-(DatosGenerales!$I$14-DatosGenerales!$H$14))/(1-'Tasa impuestos'!$G$5)</f>
        <v>37.04150999650194</v>
      </c>
    </row>
    <row r="8" spans="2:7" ht="12.75">
      <c r="B8" s="26" t="s">
        <v>30</v>
      </c>
      <c r="C8" s="70">
        <f>+(DatosGenerales!$E$14*TasaDepreciación!D9+DatosGenerales!$D$14*WACC!$D$16-(DatosGenerales!$E$14-DatosGenerales!$D$14))/(1-'Tasa impuestos'!$C$5)</f>
        <v>30.625485581633612</v>
      </c>
      <c r="D8" s="70">
        <f>+(DatosGenerales!$F$14*TasaDepreciación!D9+DatosGenerales!$E$14*WACC!$E$16-(DatosGenerales!$F$14-DatosGenerales!$E$14))/(1-'Tasa impuestos'!$D$5)</f>
        <v>36.090358429753785</v>
      </c>
      <c r="E8" s="70">
        <f>+(DatosGenerales!$G$14*TasaDepreciación!D9+DatosGenerales!$F$14*WACC!$F$16-(DatosGenerales!$G$14-DatosGenerales!$F$14))/(1-'Tasa impuestos'!$E$5)</f>
        <v>44.827715007358826</v>
      </c>
      <c r="F8" s="70">
        <f>+(DatosGenerales!$H$14*TasaDepreciación!D9+DatosGenerales!$G$14*WACC!$G$16-(DatosGenerales!$H$14-DatosGenerales!$G$14))/(1-'Tasa impuestos'!$F$5)</f>
        <v>44.38036365956419</v>
      </c>
      <c r="G8" s="70">
        <f>+(DatosGenerales!$I$14*TasaDepreciación!D9+DatosGenerales!$H$14*WACC!$H$16-(DatosGenerales!$I$14-DatosGenerales!$H$14))/(1-'Tasa impuestos'!$G$5)</f>
        <v>50.12824706715238</v>
      </c>
    </row>
    <row r="9" spans="2:7" ht="12.75">
      <c r="B9" s="26" t="s">
        <v>31</v>
      </c>
      <c r="C9" s="70">
        <f>+(DatosGenerales!$E$14*TasaDepreciación!D10+DatosGenerales!$D$14*WACC!$D$16-(DatosGenerales!$E$14-DatosGenerales!$D$14))/(1-'Tasa impuestos'!$C$5)</f>
        <v>16.339771295919324</v>
      </c>
      <c r="D9" s="70">
        <f>+(DatosGenerales!$F$14*TasaDepreciación!D10+DatosGenerales!$E$14*WACC!$E$16-(DatosGenerales!$F$14-DatosGenerales!$E$14))/(1-'Tasa impuestos'!$D$5)</f>
        <v>20.909581804901578</v>
      </c>
      <c r="E9" s="70">
        <f>+(DatosGenerales!$G$14*TasaDepreciación!D10+DatosGenerales!$F$14*WACC!$F$16-(DatosGenerales!$G$14-DatosGenerales!$F$14))/(1-'Tasa impuestos'!$E$5)</f>
        <v>29.953298466833658</v>
      </c>
      <c r="F9" s="70">
        <f>+(DatosGenerales!$H$14*TasaDepreciación!D10+DatosGenerales!$G$14*WACC!$G$16-(DatosGenerales!$H$14-DatosGenerales!$G$14))/(1-'Tasa impuestos'!$F$5)</f>
        <v>29.962128538828196</v>
      </c>
      <c r="G9" s="70">
        <f>+(DatosGenerales!$I$14*TasaDepreciación!D10+DatosGenerales!$H$14*WACC!$H$16-(DatosGenerales!$I$14-DatosGenerales!$H$14))/(1-'Tasa impuestos'!$G$5)</f>
        <v>37.04150999650194</v>
      </c>
    </row>
    <row r="10" spans="2:7" ht="12.75">
      <c r="B10" s="26" t="s">
        <v>32</v>
      </c>
      <c r="C10" s="70">
        <f>+(DatosGenerales!$E$14*TasaDepreciación!D11+DatosGenerales!$D$14*WACC!$D$16-(DatosGenerales!$E$14-DatosGenerales!$D$14))/(1-'Tasa impuestos'!$C$5)</f>
        <v>16.339771295919324</v>
      </c>
      <c r="D10" s="70">
        <f>+(DatosGenerales!$F$14*TasaDepreciación!D11+DatosGenerales!$E$14*WACC!$E$16-(DatosGenerales!$F$14-DatosGenerales!$E$14))/(1-'Tasa impuestos'!$D$5)</f>
        <v>20.909581804901578</v>
      </c>
      <c r="E10" s="70">
        <f>+(DatosGenerales!$G$14*TasaDepreciación!D11+DatosGenerales!$F$14*WACC!$F$16-(DatosGenerales!$G$14-DatosGenerales!$F$14))/(1-'Tasa impuestos'!$E$5)</f>
        <v>29.953298466833658</v>
      </c>
      <c r="F10" s="70">
        <f>+(DatosGenerales!$H$14*TasaDepreciación!D11+DatosGenerales!$G$14*WACC!$G$16-(DatosGenerales!$H$14-DatosGenerales!$G$14))/(1-'Tasa impuestos'!$F$5)</f>
        <v>29.962128538828196</v>
      </c>
      <c r="G10" s="70">
        <f>+(DatosGenerales!$I$14*TasaDepreciación!D11+DatosGenerales!$H$14*WACC!$H$16-(DatosGenerales!$I$14-DatosGenerales!$H$14))/(1-'Tasa impuestos'!$G$5)</f>
        <v>37.04150999650194</v>
      </c>
    </row>
    <row r="11" spans="2:7" ht="12.75">
      <c r="B11" s="26" t="s">
        <v>33</v>
      </c>
      <c r="C11" s="70">
        <f>+(DatosGenerales!$E$14*TasaDepreciación!D12+DatosGenerales!$D$14*WACC!$D$16-(DatosGenerales!$E$14-DatosGenerales!$D$14))/(1-'Tasa impuestos'!$C$5)</f>
        <v>37.76834272449076</v>
      </c>
      <c r="D11" s="70">
        <f>+(DatosGenerales!$F$14*TasaDepreciación!D12+DatosGenerales!$E$14*WACC!$E$16-(DatosGenerales!$F$14-DatosGenerales!$E$14))/(1-'Tasa impuestos'!$D$5)</f>
        <v>43.680746742179885</v>
      </c>
      <c r="E11" s="70">
        <f>+(DatosGenerales!$G$14*TasaDepreciación!D12+DatosGenerales!$F$14*WACC!$F$16-(DatosGenerales!$G$14-DatosGenerales!$F$14))/(1-'Tasa impuestos'!$E$5)</f>
        <v>52.2649232776214</v>
      </c>
      <c r="F11" s="70">
        <f>+(DatosGenerales!$H$14*TasaDepreciación!D12+DatosGenerales!$G$14*WACC!$G$16-(DatosGenerales!$H$14-DatosGenerales!$G$14))/(1-'Tasa impuestos'!$F$5)</f>
        <v>51.58948121993219</v>
      </c>
      <c r="G11" s="70">
        <f>+(DatosGenerales!$I$14*TasaDepreciación!D12+DatosGenerales!$H$14*WACC!$H$16-(DatosGenerales!$I$14-DatosGenerales!$H$14))/(1-'Tasa impuestos'!$G$5)</f>
        <v>56.671615602477594</v>
      </c>
    </row>
    <row r="12" spans="2:7" ht="12.75">
      <c r="B12" s="69" t="s">
        <v>35</v>
      </c>
      <c r="C12" s="70"/>
      <c r="D12" s="70"/>
      <c r="E12" s="70"/>
      <c r="F12" s="70"/>
      <c r="G12" s="70"/>
    </row>
    <row r="13" spans="2:8" ht="12.75">
      <c r="B13" s="26" t="s">
        <v>36</v>
      </c>
      <c r="C13" s="70">
        <f>+(DatosGenerales!$E$14*TasaDepreciación!D14+DatosGenerales!$D$14*WACC!$D$16-(DatosGenerales!$E$14-DatosGenerales!$D$14))/(1-'Tasa impuestos'!$C$5)</f>
        <v>6.815961772109799</v>
      </c>
      <c r="D13" s="70">
        <f>+(DatosGenerales!$F$14*TasaDepreciación!D14+DatosGenerales!$E$14*WACC!$E$16-(DatosGenerales!$F$14-DatosGenerales!$E$14))/(1-'Tasa impuestos'!$D$5)</f>
        <v>10.789064055000104</v>
      </c>
      <c r="E13" s="70">
        <f>+(DatosGenerales!$G$14*TasaDepreciación!D14+DatosGenerales!$F$14*WACC!$F$16-(DatosGenerales!$G$14-DatosGenerales!$F$14))/(1-'Tasa impuestos'!$E$5)</f>
        <v>20.03702077315022</v>
      </c>
      <c r="F13" s="70">
        <f>+(DatosGenerales!$H$14*TasaDepreciación!D14+DatosGenerales!$G$14*WACC!$G$16-(DatosGenerales!$H$14-DatosGenerales!$G$14))/(1-'Tasa impuestos'!$F$5)</f>
        <v>20.349971791670868</v>
      </c>
      <c r="G13" s="70">
        <f>+(DatosGenerales!$I$14*TasaDepreciación!D14+DatosGenerales!$H$14*WACC!$H$16-(DatosGenerales!$I$14-DatosGenerales!$H$14))/(1-'Tasa impuestos'!$G$5)</f>
        <v>28.31701861606832</v>
      </c>
      <c r="H13" s="10"/>
    </row>
    <row r="14" spans="2:8" ht="12.75">
      <c r="B14" s="26" t="s">
        <v>37</v>
      </c>
      <c r="C14" s="70">
        <f>+(DatosGenerales!$E$14*TasaDepreciación!D15+DatosGenerales!$D$14*WACC!$D$16-(DatosGenerales!$E$14-DatosGenerales!$D$14))/(1-'Tasa impuestos'!$C$5)</f>
        <v>16.339771295919324</v>
      </c>
      <c r="D14" s="70">
        <f>+(DatosGenerales!$F$14*TasaDepreciación!D15+DatosGenerales!$E$14*WACC!$E$16-(DatosGenerales!$F$14-DatosGenerales!$E$14))/(1-'Tasa impuestos'!$D$5)</f>
        <v>20.909581804901578</v>
      </c>
      <c r="E14" s="70">
        <f>+(DatosGenerales!$G$14*TasaDepreciación!D15+DatosGenerales!$F$14*WACC!$F$16-(DatosGenerales!$G$14-DatosGenerales!$F$14))/(1-'Tasa impuestos'!$E$5)</f>
        <v>29.953298466833658</v>
      </c>
      <c r="F14" s="70">
        <f>+(DatosGenerales!$H$14*TasaDepreciación!D15+DatosGenerales!$G$14*WACC!$G$16-(DatosGenerales!$H$14-DatosGenerales!$G$14))/(1-'Tasa impuestos'!$F$5)</f>
        <v>29.962128538828196</v>
      </c>
      <c r="G14" s="70">
        <f>+(DatosGenerales!$I$14*TasaDepreciación!D15+DatosGenerales!$H$14*WACC!$H$16-(DatosGenerales!$I$14-DatosGenerales!$H$14))/(1-'Tasa impuestos'!$G$5)</f>
        <v>37.04150999650194</v>
      </c>
      <c r="H14" s="21"/>
    </row>
    <row r="15" spans="2:8" ht="13.5" thickBot="1">
      <c r="B15" s="31" t="s">
        <v>38</v>
      </c>
      <c r="C15" s="71">
        <f>+(DatosGenerales!$E$14*TasaDepreciación!D16+DatosGenerales!$D$14*WACC!$D$16-(DatosGenerales!$E$14-DatosGenerales!$D$14))/(1-'Tasa impuestos'!$C$5)</f>
        <v>30.625485581633612</v>
      </c>
      <c r="D15" s="71">
        <f>+(DatosGenerales!$F$14*TasaDepreciación!D16+DatosGenerales!$E$14*WACC!$E$16-(DatosGenerales!$F$14-DatosGenerales!$E$14))/(1-'Tasa impuestos'!$D$5)</f>
        <v>36.090358429753785</v>
      </c>
      <c r="E15" s="71">
        <f>+(DatosGenerales!$G$14*TasaDepreciación!D16+DatosGenerales!$F$14*WACC!$F$16-(DatosGenerales!$G$14-DatosGenerales!$F$14))/(1-'Tasa impuestos'!$E$5)</f>
        <v>44.827715007358826</v>
      </c>
      <c r="F15" s="71">
        <f>+(DatosGenerales!$H$14*TasaDepreciación!D16+DatosGenerales!$G$14*WACC!$G$16-(DatosGenerales!$H$14-DatosGenerales!$G$14))/(1-'Tasa impuestos'!$F$5)</f>
        <v>44.38036365956419</v>
      </c>
      <c r="G15" s="71">
        <f>+(DatosGenerales!$I$14*TasaDepreciación!D16+DatosGenerales!$H$14*WACC!$H$16-(DatosGenerales!$I$14-DatosGenerales!$H$14))/(1-'Tasa impuestos'!$G$5)</f>
        <v>50.12824706715238</v>
      </c>
      <c r="H15" s="21"/>
    </row>
    <row r="18" spans="8:12" ht="12.75">
      <c r="H18" s="19"/>
      <c r="I18" s="19"/>
      <c r="J18" s="19"/>
      <c r="K18" s="19"/>
      <c r="L18" s="19"/>
    </row>
    <row r="19" spans="8:12" ht="12.75">
      <c r="H19" s="19"/>
      <c r="I19" s="19"/>
      <c r="J19" s="19"/>
      <c r="K19" s="19"/>
      <c r="L19" s="19"/>
    </row>
    <row r="20" spans="8:12" ht="12.75">
      <c r="H20" s="19"/>
      <c r="I20" s="19"/>
      <c r="J20" s="19"/>
      <c r="K20" s="19"/>
      <c r="L20" s="19"/>
    </row>
    <row r="21" spans="8:12" ht="12.75">
      <c r="H21" s="19"/>
      <c r="I21" s="19"/>
      <c r="J21" s="19"/>
      <c r="K21" s="19"/>
      <c r="L21" s="19"/>
    </row>
    <row r="22" spans="8:12" ht="12.75">
      <c r="H22" s="19"/>
      <c r="I22" s="19"/>
      <c r="J22" s="19"/>
      <c r="K22" s="19"/>
      <c r="L22" s="19"/>
    </row>
    <row r="23" spans="8:12" ht="12.75">
      <c r="H23" s="19"/>
      <c r="I23" s="19"/>
      <c r="J23" s="19"/>
      <c r="K23" s="19"/>
      <c r="L23" s="19"/>
    </row>
    <row r="24" spans="8:12" ht="12.75">
      <c r="H24" s="19"/>
      <c r="I24" s="19"/>
      <c r="J24" s="19"/>
      <c r="K24" s="19"/>
      <c r="L24" s="19"/>
    </row>
    <row r="25" spans="8:12" ht="12.75">
      <c r="H25" s="19"/>
      <c r="I25" s="19"/>
      <c r="J25" s="19"/>
      <c r="K25" s="19"/>
      <c r="L25" s="19"/>
    </row>
    <row r="26" spans="8:12" ht="12.75">
      <c r="H26" s="19"/>
      <c r="I26" s="19"/>
      <c r="J26" s="19"/>
      <c r="K26" s="19"/>
      <c r="L26" s="19"/>
    </row>
    <row r="27" spans="8:12" ht="12.75">
      <c r="H27" s="19"/>
      <c r="I27" s="19"/>
      <c r="J27" s="19"/>
      <c r="K27" s="19"/>
      <c r="L27" s="19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C5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6.8515625" style="1" bestFit="1" customWidth="1"/>
    <col min="4" max="16384" width="11.421875" style="1" customWidth="1"/>
  </cols>
  <sheetData>
    <row r="4" ht="13.5" thickBot="1"/>
    <row r="5" spans="3:7" ht="13.5" thickBot="1">
      <c r="C5" s="30" t="s">
        <v>43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50">
        <f>+D7/D8</f>
        <v>0.9406968592163706</v>
      </c>
      <c r="E6" s="50">
        <f>+E7/E8</f>
        <v>1.1068560049276472</v>
      </c>
      <c r="F6" s="50">
        <f>+F7/F8</f>
        <v>1.2215958494270112</v>
      </c>
      <c r="G6" s="50">
        <f>+G7/G8</f>
        <v>1.976985780422886</v>
      </c>
    </row>
    <row r="7" spans="3:7" ht="12.75">
      <c r="C7" s="48" t="s">
        <v>6</v>
      </c>
      <c r="D7" s="46">
        <f>+SUMPRODUCT(PrecioCapital!C6:C15,CantidadesCapital!E20:E29)</f>
        <v>7116.980069794816</v>
      </c>
      <c r="E7" s="46">
        <f>+SUMPRODUCT(PrecioCapital!D6:D15,CantidadesCapital!F20:F29)</f>
        <v>10760.552821792038</v>
      </c>
      <c r="F7" s="46">
        <f>+SUMPRODUCT(PrecioCapital!E6:E15,CantidadesCapital!G20:G29)</f>
        <v>20288.35796216082</v>
      </c>
      <c r="G7" s="46">
        <f>+SUMPRODUCT(PrecioCapital!F6:F15,CantidadesCapital!H20:H29)</f>
        <v>40269.22518776692</v>
      </c>
    </row>
    <row r="8" spans="3:7" ht="12.75">
      <c r="C8" s="48" t="s">
        <v>7</v>
      </c>
      <c r="D8" s="46">
        <f>+SUMPRODUCT(PrecioCapital!C6:C15,CantidadesCapital!D20:D29)</f>
        <v>7565.64667997667</v>
      </c>
      <c r="E8" s="46">
        <f>+SUMPRODUCT(PrecioCapital!D6:D15,CantidadesCapital!E20:E29)</f>
        <v>9721.727825378182</v>
      </c>
      <c r="F8" s="46">
        <f>+SUMPRODUCT(PrecioCapital!E6:E15,CantidadesCapital!F20:F29)</f>
        <v>16608.07702619247</v>
      </c>
      <c r="G8" s="46">
        <f>+SUMPRODUCT(PrecioCapital!F6:F15,CantidadesCapital!G20:G29)</f>
        <v>20369.000923796808</v>
      </c>
    </row>
    <row r="9" spans="3:7" ht="12.75">
      <c r="C9" s="2" t="s">
        <v>9</v>
      </c>
      <c r="D9" s="49">
        <f>+D10/D11</f>
        <v>0.9415995422832392</v>
      </c>
      <c r="E9" s="49">
        <f>+E10/E11</f>
        <v>1.086329514485396</v>
      </c>
      <c r="F9" s="49">
        <f>+F10/F11</f>
        <v>1.220215516751355</v>
      </c>
      <c r="G9" s="49">
        <f>+G10/G11</f>
        <v>1.995587115467344</v>
      </c>
    </row>
    <row r="10" spans="3:7" ht="12.75">
      <c r="C10" s="48" t="s">
        <v>6</v>
      </c>
      <c r="D10" s="52">
        <f>+SUMPRODUCT(PrecioCapital!D6:D15,CantidadesCapital!E20:E29)</f>
        <v>9721.727825378182</v>
      </c>
      <c r="E10" s="52">
        <f>+SUMPRODUCT(PrecioCapital!E6:E15,CantidadesCapital!F20:F29)</f>
        <v>16608.07702619247</v>
      </c>
      <c r="F10" s="52">
        <f>+SUMPRODUCT(PrecioCapital!F6:F15,CantidadesCapital!G20:G29)</f>
        <v>20369.000923796808</v>
      </c>
      <c r="G10" s="52">
        <f>+SUMPRODUCT(PrecioCapital!G6:G15,CantidadesCapital!H20:H29)</f>
        <v>51785.181397852495</v>
      </c>
    </row>
    <row r="11" spans="3:7" ht="12.75">
      <c r="C11" s="48" t="s">
        <v>7</v>
      </c>
      <c r="D11" s="52">
        <f>+SUMPRODUCT(PrecioCapital!D6:D15,CantidadesCapital!D20:D29)</f>
        <v>10324.694722986414</v>
      </c>
      <c r="E11" s="52">
        <f>+SUMPRODUCT(PrecioCapital!E6:E15,CantidadesCapital!E20:E29)</f>
        <v>15288.249840160024</v>
      </c>
      <c r="F11" s="52">
        <f>+SUMPRODUCT(PrecioCapital!F6:F15,CantidadesCapital!F20:F29)</f>
        <v>16692.953534983957</v>
      </c>
      <c r="G11" s="52">
        <f>+SUMPRODUCT(PrecioCapital!G6:G15,CantidadesCapital!G20:G29)</f>
        <v>25949.84753934182</v>
      </c>
    </row>
    <row r="12" spans="3:7" ht="13.5" thickBot="1">
      <c r="C12" s="2" t="s">
        <v>10</v>
      </c>
      <c r="D12" s="49">
        <f>+SQRT(D6*D9)</f>
        <v>0.9411480925260463</v>
      </c>
      <c r="E12" s="49">
        <f>+SQRT(E6*E9)</f>
        <v>1.0965447307056362</v>
      </c>
      <c r="F12" s="49">
        <f>+SQRT(F6*F9)</f>
        <v>1.2209054880169437</v>
      </c>
      <c r="G12" s="49">
        <f>+SQRT(G6*G9)</f>
        <v>1.9862646729159896</v>
      </c>
    </row>
    <row r="13" spans="3:7" ht="13.5" thickBot="1">
      <c r="C13" s="24" t="s">
        <v>11</v>
      </c>
      <c r="D13" s="34">
        <f>+LN(D12)</f>
        <v>-0.060654773962082076</v>
      </c>
      <c r="E13" s="34">
        <f>+LN(E12)</f>
        <v>0.09216408212093767</v>
      </c>
      <c r="F13" s="34">
        <f>+LN(F12)</f>
        <v>0.19959278674108716</v>
      </c>
      <c r="G13" s="34">
        <f>+LN(G12)</f>
        <v>0.6862558260868095</v>
      </c>
    </row>
    <row r="14" ht="13.5" thickBot="1"/>
    <row r="15" spans="6:7" ht="13.5" thickBot="1">
      <c r="F15" s="34" t="s">
        <v>64</v>
      </c>
      <c r="G15" s="34">
        <f>+IF('Factor X'!$K$3=1,AVERAGE(D13:F13),AVERAGE(D13:G13))</f>
        <v>0.22933948024668804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5:I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3.28125" style="1" customWidth="1"/>
    <col min="4" max="16384" width="11.421875" style="1" customWidth="1"/>
  </cols>
  <sheetData>
    <row r="4" ht="13.5" thickBot="1"/>
    <row r="5" spans="3:9" ht="13.5" thickBot="1">
      <c r="C5" s="25" t="s">
        <v>117</v>
      </c>
      <c r="D5" s="25">
        <v>2010</v>
      </c>
      <c r="E5" s="25">
        <v>2011</v>
      </c>
      <c r="F5" s="25">
        <v>2012</v>
      </c>
      <c r="G5" s="25">
        <v>2013</v>
      </c>
      <c r="H5" s="25">
        <v>2014</v>
      </c>
      <c r="I5" s="25">
        <v>2015</v>
      </c>
    </row>
    <row r="6" spans="3:9" ht="12.75">
      <c r="C6" s="26" t="s">
        <v>104</v>
      </c>
      <c r="D6" s="27">
        <v>100.401203</v>
      </c>
      <c r="E6" s="27">
        <v>102.582562</v>
      </c>
      <c r="F6" s="27">
        <v>106.917049</v>
      </c>
      <c r="G6" s="27">
        <v>109.987788</v>
      </c>
      <c r="H6" s="27">
        <v>113.360708</v>
      </c>
      <c r="I6" s="27">
        <v>116.844581</v>
      </c>
    </row>
    <row r="7" spans="3:9" ht="12.75">
      <c r="C7" s="26" t="s">
        <v>105</v>
      </c>
      <c r="D7" s="27">
        <v>100.725005</v>
      </c>
      <c r="E7" s="27">
        <v>102.974757</v>
      </c>
      <c r="F7" s="27">
        <v>107.264432</v>
      </c>
      <c r="G7" s="27">
        <v>109.891941</v>
      </c>
      <c r="H7" s="27">
        <v>114.041823</v>
      </c>
      <c r="I7" s="27">
        <v>117.199168</v>
      </c>
    </row>
    <row r="8" spans="3:9" ht="12.75">
      <c r="C8" s="26" t="s">
        <v>106</v>
      </c>
      <c r="D8" s="27">
        <v>101.007853</v>
      </c>
      <c r="E8" s="27">
        <v>103.698122</v>
      </c>
      <c r="F8" s="27">
        <v>108.086095</v>
      </c>
      <c r="G8" s="27">
        <v>110.887497</v>
      </c>
      <c r="H8" s="27">
        <v>114.633197</v>
      </c>
      <c r="I8" s="27">
        <v>118.095348</v>
      </c>
    </row>
    <row r="9" spans="3:9" ht="12.75">
      <c r="C9" s="26" t="s">
        <v>107</v>
      </c>
      <c r="D9" s="27">
        <v>101.033466</v>
      </c>
      <c r="E9" s="27">
        <v>104.404216</v>
      </c>
      <c r="F9" s="27">
        <v>108.660616</v>
      </c>
      <c r="G9" s="27">
        <v>111.167362</v>
      </c>
      <c r="H9" s="27">
        <v>115.08396</v>
      </c>
      <c r="I9" s="27">
        <v>118.556518</v>
      </c>
    </row>
    <row r="10" spans="3:9" ht="12.75">
      <c r="C10" s="26" t="s">
        <v>108</v>
      </c>
      <c r="D10" s="27">
        <v>101.273784</v>
      </c>
      <c r="E10" s="27">
        <v>104.379466</v>
      </c>
      <c r="F10" s="27">
        <v>108.703277</v>
      </c>
      <c r="G10" s="27">
        <v>111.382566</v>
      </c>
      <c r="H10" s="27">
        <v>115.342934</v>
      </c>
      <c r="I10" s="27">
        <v>119.22561</v>
      </c>
    </row>
    <row r="11" spans="3:9" ht="12.75">
      <c r="C11" s="26" t="s">
        <v>109</v>
      </c>
      <c r="D11" s="27">
        <v>101.527828</v>
      </c>
      <c r="E11" s="27">
        <v>104.482951</v>
      </c>
      <c r="F11" s="27">
        <v>108.663388</v>
      </c>
      <c r="G11" s="27">
        <v>111.674163</v>
      </c>
      <c r="H11" s="27">
        <v>115.527</v>
      </c>
      <c r="I11" s="27">
        <v>119.621846</v>
      </c>
    </row>
    <row r="12" spans="3:9" ht="12.75">
      <c r="C12" s="26" t="s">
        <v>110</v>
      </c>
      <c r="D12" s="27">
        <v>101.897344</v>
      </c>
      <c r="E12" s="27">
        <v>105.311451</v>
      </c>
      <c r="F12" s="27">
        <v>108.761575</v>
      </c>
      <c r="G12" s="27">
        <v>112.286672</v>
      </c>
      <c r="H12" s="27">
        <v>116.027</v>
      </c>
      <c r="I12" s="27">
        <v>120.161085</v>
      </c>
    </row>
    <row r="13" spans="3:9" ht="12.75">
      <c r="C13" s="26" t="s">
        <v>111</v>
      </c>
      <c r="D13" s="27">
        <v>102.170954</v>
      </c>
      <c r="E13" s="27">
        <v>105.591388</v>
      </c>
      <c r="F13" s="27">
        <v>109.31452</v>
      </c>
      <c r="G13" s="27">
        <v>112.896282</v>
      </c>
      <c r="H13" s="27">
        <v>115.928</v>
      </c>
      <c r="I13" s="27">
        <v>120.614364</v>
      </c>
    </row>
    <row r="14" spans="3:9" ht="12.75">
      <c r="C14" s="26" t="s">
        <v>112</v>
      </c>
      <c r="D14" s="27">
        <v>102.138251</v>
      </c>
      <c r="E14" s="27">
        <v>105.944258</v>
      </c>
      <c r="F14" s="27">
        <v>109.907777</v>
      </c>
      <c r="G14" s="27">
        <v>113.019091</v>
      </c>
      <c r="H14" s="27">
        <v>116.114</v>
      </c>
      <c r="I14" s="27">
        <v>120.647579</v>
      </c>
    </row>
    <row r="15" spans="3:9" ht="12.75">
      <c r="C15" s="26" t="s">
        <v>113</v>
      </c>
      <c r="D15" s="27">
        <v>101.993499</v>
      </c>
      <c r="E15" s="27">
        <v>106.277824</v>
      </c>
      <c r="F15" s="27">
        <v>109.728272</v>
      </c>
      <c r="G15" s="27">
        <v>113.062346</v>
      </c>
      <c r="H15" s="27">
        <v>116.554</v>
      </c>
      <c r="I15" s="27">
        <v>120.819863</v>
      </c>
    </row>
    <row r="16" spans="3:9" ht="12.75">
      <c r="C16" s="26" t="s">
        <v>114</v>
      </c>
      <c r="D16" s="27">
        <v>102.001562</v>
      </c>
      <c r="E16" s="27">
        <v>106.736331</v>
      </c>
      <c r="F16" s="27">
        <v>109.57743</v>
      </c>
      <c r="G16" s="27">
        <v>112.815595</v>
      </c>
      <c r="H16" s="27">
        <v>116.38</v>
      </c>
      <c r="I16" s="27">
        <v>121.23557</v>
      </c>
    </row>
    <row r="17" spans="3:9" ht="13.5" thickBot="1">
      <c r="C17" s="26" t="s">
        <v>115</v>
      </c>
      <c r="D17" s="27">
        <v>102.1836</v>
      </c>
      <c r="E17" s="27">
        <v>107.025489</v>
      </c>
      <c r="F17" s="27">
        <v>109.860989</v>
      </c>
      <c r="G17" s="27">
        <v>113.002663</v>
      </c>
      <c r="H17" s="27">
        <v>116.646</v>
      </c>
      <c r="I17" s="27">
        <v>121.775943</v>
      </c>
    </row>
    <row r="18" spans="3:9" ht="13.5" thickBot="1">
      <c r="C18" s="24" t="s">
        <v>64</v>
      </c>
      <c r="D18" s="28">
        <f>+AVERAGE(D6:D17)</f>
        <v>101.52952908333333</v>
      </c>
      <c r="E18" s="28">
        <f>+AVERAGE(E6:E17)</f>
        <v>104.95073458333336</v>
      </c>
      <c r="F18" s="28">
        <f>+AVERAGE(F6:F17)</f>
        <v>108.78711833333335</v>
      </c>
      <c r="G18" s="28">
        <f>+AVERAGE(G6:G17)</f>
        <v>111.83949716666666</v>
      </c>
      <c r="H18" s="28">
        <f>+AVERAGE(H6:H17)</f>
        <v>115.46988516666669</v>
      </c>
      <c r="I18" s="28">
        <f>+AVERAGE(I6:I17)</f>
        <v>119.56645625</v>
      </c>
    </row>
    <row r="19" ht="12.75">
      <c r="C19" s="23" t="s">
        <v>116</v>
      </c>
    </row>
  </sheetData>
  <sheetProtection/>
  <printOptions/>
  <pageMargins left="0.7" right="0.7" top="0.75" bottom="0.75" header="0.3" footer="0.3"/>
  <pageSetup orientation="portrait" paperSize="9"/>
  <ignoredErrors>
    <ignoredError sqref="D18:I18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C5:G3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8.421875" style="1" bestFit="1" customWidth="1"/>
    <col min="4" max="7" width="12.7109375" style="1" customWidth="1"/>
    <col min="8" max="16384" width="11.421875" style="1" customWidth="1"/>
  </cols>
  <sheetData>
    <row r="4" ht="13.5" thickBot="1"/>
    <row r="5" spans="3:7" ht="13.5" thickBot="1">
      <c r="C5" s="30" t="s">
        <v>44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50">
        <f>+D7/D8</f>
        <v>1.3646810589651077</v>
      </c>
      <c r="E6" s="50">
        <f>+E7/E8</f>
        <v>1.5725856673595262</v>
      </c>
      <c r="F6" s="50">
        <f>+F7/F8</f>
        <v>1.0051105560660412</v>
      </c>
      <c r="G6" s="50">
        <f>+G7/G8</f>
        <v>1.2739872532984664</v>
      </c>
    </row>
    <row r="7" spans="3:7" ht="12.75">
      <c r="C7" s="48" t="s">
        <v>6</v>
      </c>
      <c r="D7" s="46">
        <f>+SUMPRODUCT(PrecioCapital!D6:D15,CantidadesCapital!D20:D29)</f>
        <v>10324.694722986414</v>
      </c>
      <c r="E7" s="46">
        <f>+SUMPRODUCT(PrecioCapital!E6:E15,CantidadesCapital!E20:E29)</f>
        <v>15288.249840160024</v>
      </c>
      <c r="F7" s="46">
        <f>+SUMPRODUCT(PrecioCapital!F6:F15,CantidadesCapital!F20:F29)</f>
        <v>16692.953534983957</v>
      </c>
      <c r="G7" s="46">
        <f>+SUMPRODUCT(PrecioCapital!G6:G15,CantidadesCapital!G20:G29)</f>
        <v>25949.84753934182</v>
      </c>
    </row>
    <row r="8" spans="3:7" ht="12.75">
      <c r="C8" s="48" t="s">
        <v>7</v>
      </c>
      <c r="D8" s="46">
        <f>+SUMPRODUCT(PrecioCapital!C6:C15,CantidadesCapital!D20:D29)</f>
        <v>7565.64667997667</v>
      </c>
      <c r="E8" s="46">
        <f>+SUMPRODUCT(PrecioCapital!D6:D15,CantidadesCapital!E20:E29)</f>
        <v>9721.727825378182</v>
      </c>
      <c r="F8" s="46">
        <f>+SUMPRODUCT(PrecioCapital!E6:E15,CantidadesCapital!F20:F29)</f>
        <v>16608.07702619247</v>
      </c>
      <c r="G8" s="46">
        <f>+SUMPRODUCT(PrecioCapital!F6:F15,CantidadesCapital!G20:G29)</f>
        <v>20369.000923796808</v>
      </c>
    </row>
    <row r="9" spans="3:7" ht="12.75">
      <c r="C9" s="2" t="s">
        <v>9</v>
      </c>
      <c r="D9" s="49">
        <f>+D10/D11</f>
        <v>1.3659905929255274</v>
      </c>
      <c r="E9" s="49">
        <f>+E10/E11</f>
        <v>1.5434222851969235</v>
      </c>
      <c r="F9" s="49">
        <f>+F10/F11</f>
        <v>1.0039748392544332</v>
      </c>
      <c r="G9" s="49">
        <f>+G10/G11</f>
        <v>1.2859741193526595</v>
      </c>
    </row>
    <row r="10" spans="3:7" ht="12.75">
      <c r="C10" s="48" t="s">
        <v>6</v>
      </c>
      <c r="D10" s="52">
        <f>+SUMPRODUCT(PrecioCapital!D6:D15,CantidadesCapital!E20:E29)</f>
        <v>9721.727825378182</v>
      </c>
      <c r="E10" s="52">
        <f>+SUMPRODUCT(PrecioCapital!E6:E15,CantidadesCapital!F20:F29)</f>
        <v>16608.07702619247</v>
      </c>
      <c r="F10" s="52">
        <f>+SUMPRODUCT(PrecioCapital!F6:F15,CantidadesCapital!G20:G29)</f>
        <v>20369.000923796808</v>
      </c>
      <c r="G10" s="52">
        <f>+SUMPRODUCT(PrecioCapital!G6:G15,CantidadesCapital!H20:H29)</f>
        <v>51785.181397852495</v>
      </c>
    </row>
    <row r="11" spans="3:7" ht="12.75">
      <c r="C11" s="48" t="s">
        <v>7</v>
      </c>
      <c r="D11" s="52">
        <f>+SUMPRODUCT(PrecioCapital!C6:C15,CantidadesCapital!E20:E29)</f>
        <v>7116.980069794816</v>
      </c>
      <c r="E11" s="52">
        <f>+SUMPRODUCT(PrecioCapital!D6:D15,CantidadesCapital!F20:F29)</f>
        <v>10760.552821792038</v>
      </c>
      <c r="F11" s="52">
        <f>+SUMPRODUCT(PrecioCapital!E6:E15,CantidadesCapital!G20:G29)</f>
        <v>20288.35796216082</v>
      </c>
      <c r="G11" s="52">
        <f>+SUMPRODUCT(PrecioCapital!F6:F15,CantidadesCapital!H20:H29)</f>
        <v>40269.22518776692</v>
      </c>
    </row>
    <row r="12" spans="3:7" ht="13.5" thickBot="1">
      <c r="C12" s="2" t="s">
        <v>10</v>
      </c>
      <c r="D12" s="49">
        <f>+SQRT(D6*D9)</f>
        <v>1.365335668943716</v>
      </c>
      <c r="E12" s="49">
        <f>+SQRT(E6*E9)</f>
        <v>1.5579357382074426</v>
      </c>
      <c r="F12" s="49">
        <f>+SQRT(F6*F9)</f>
        <v>1.004542537157754</v>
      </c>
      <c r="G12" s="49">
        <f>+SQRT(G6*G9)</f>
        <v>1.279966654302763</v>
      </c>
    </row>
    <row r="13" spans="3:7" ht="13.5" thickBot="1">
      <c r="C13" s="24" t="s">
        <v>11</v>
      </c>
      <c r="D13" s="34">
        <f>+LN(D12)</f>
        <v>0.3114003097197695</v>
      </c>
      <c r="E13" s="34">
        <f>+LN(E12)</f>
        <v>0.4433617002612166</v>
      </c>
      <c r="F13" s="34">
        <f>+LN(F12)</f>
        <v>0.004532250974322999</v>
      </c>
      <c r="G13" s="34">
        <f>+LN(G12)</f>
        <v>0.24683402626621773</v>
      </c>
    </row>
    <row r="14" ht="13.5" thickBot="1"/>
    <row r="15" spans="6:7" ht="13.5" thickBot="1">
      <c r="F15" s="34" t="s">
        <v>64</v>
      </c>
      <c r="G15" s="34">
        <f>+IF('Factor X'!$K$3=1,AVERAGE(D13:F13),AVERAGE(D13:G13))</f>
        <v>0.2515320718053817</v>
      </c>
    </row>
    <row r="17" spans="4:7" ht="12.75">
      <c r="D17" s="21"/>
      <c r="E17" s="21"/>
      <c r="F17" s="21"/>
      <c r="G17" s="21"/>
    </row>
    <row r="19" spans="4:7" ht="12.75">
      <c r="D19" s="21"/>
      <c r="E19" s="21"/>
      <c r="F19" s="21"/>
      <c r="G19" s="21"/>
    </row>
    <row r="20" spans="4:7" ht="12.75">
      <c r="D20" s="21"/>
      <c r="E20" s="21"/>
      <c r="F20" s="21"/>
      <c r="G20" s="21"/>
    </row>
    <row r="21" spans="4:7" ht="12.75">
      <c r="D21" s="21"/>
      <c r="E21" s="21"/>
      <c r="F21" s="21"/>
      <c r="G21" s="21"/>
    </row>
    <row r="22" spans="4:7" ht="12.75">
      <c r="D22" s="21"/>
      <c r="E22" s="21"/>
      <c r="F22" s="21"/>
      <c r="G22" s="21"/>
    </row>
    <row r="24" spans="3:7" ht="12.75">
      <c r="C24" s="21"/>
      <c r="D24" s="21"/>
      <c r="E24" s="21"/>
      <c r="F24" s="21"/>
      <c r="G24" s="21"/>
    </row>
    <row r="25" spans="3:7" ht="12.75">
      <c r="C25" s="20"/>
      <c r="D25" s="20"/>
      <c r="E25" s="20"/>
      <c r="F25" s="20"/>
      <c r="G25" s="20"/>
    </row>
    <row r="26" spans="3:7" ht="12.75">
      <c r="C26" s="20"/>
      <c r="D26" s="20"/>
      <c r="E26" s="20"/>
      <c r="F26" s="20"/>
      <c r="G26" s="20"/>
    </row>
    <row r="27" spans="3:7" ht="12.75">
      <c r="C27" s="20"/>
      <c r="D27" s="20"/>
      <c r="E27" s="20"/>
      <c r="F27" s="20"/>
      <c r="G27" s="20"/>
    </row>
    <row r="28" spans="3:7" ht="12.75">
      <c r="C28" s="20"/>
      <c r="D28" s="20"/>
      <c r="E28" s="20"/>
      <c r="F28" s="20"/>
      <c r="G28" s="20"/>
    </row>
    <row r="29" spans="3:7" ht="12.75">
      <c r="C29" s="20"/>
      <c r="D29" s="20"/>
      <c r="E29" s="20"/>
      <c r="F29" s="20"/>
      <c r="G29" s="20"/>
    </row>
    <row r="30" spans="3:7" ht="12.75">
      <c r="C30" s="20"/>
      <c r="D30" s="20"/>
      <c r="E30" s="20"/>
      <c r="F30" s="20"/>
      <c r="G30" s="20"/>
    </row>
    <row r="31" spans="3:7" ht="12.75">
      <c r="C31" s="20"/>
      <c r="D31" s="20"/>
      <c r="E31" s="20"/>
      <c r="F31" s="20"/>
      <c r="G31" s="20"/>
    </row>
    <row r="32" spans="3:7" ht="12.75">
      <c r="C32" s="20"/>
      <c r="D32" s="20"/>
      <c r="E32" s="20"/>
      <c r="F32" s="20"/>
      <c r="G32" s="20"/>
    </row>
    <row r="33" spans="3:7" ht="12.75">
      <c r="C33" s="20"/>
      <c r="D33" s="20"/>
      <c r="E33" s="20"/>
      <c r="F33" s="20"/>
      <c r="G33" s="20"/>
    </row>
    <row r="34" spans="3:7" ht="12.75">
      <c r="C34" s="20"/>
      <c r="D34" s="20"/>
      <c r="E34" s="20"/>
      <c r="F34" s="20"/>
      <c r="G34" s="20"/>
    </row>
    <row r="35" spans="3:7" ht="12.75">
      <c r="C35" s="20"/>
      <c r="D35" s="20"/>
      <c r="E35" s="20"/>
      <c r="F35" s="20"/>
      <c r="G35" s="20"/>
    </row>
    <row r="36" spans="3:7" ht="12.75">
      <c r="C36" s="21"/>
      <c r="D36" s="21"/>
      <c r="E36" s="21"/>
      <c r="F36" s="21"/>
      <c r="G36" s="21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4:R44"/>
  <sheetViews>
    <sheetView zoomScalePageLayoutView="0" workbookViewId="0" topLeftCell="A1">
      <selection activeCell="H28" sqref="H28"/>
    </sheetView>
  </sheetViews>
  <sheetFormatPr defaultColWidth="11.421875" defaultRowHeight="15"/>
  <cols>
    <col min="1" max="1" width="0.85546875" style="0" customWidth="1"/>
    <col min="2" max="2" width="40.28125" style="0" bestFit="1" customWidth="1"/>
    <col min="4" max="4" width="11.8515625" style="0" bestFit="1" customWidth="1"/>
    <col min="5" max="5" width="13.7109375" style="0" customWidth="1"/>
    <col min="6" max="6" width="13.8515625" style="0" bestFit="1" customWidth="1"/>
    <col min="7" max="8" width="13.00390625" style="0" customWidth="1"/>
    <col min="9" max="9" width="13.8515625" style="0" bestFit="1" customWidth="1"/>
    <col min="13" max="13" width="13.8515625" style="0" bestFit="1" customWidth="1"/>
  </cols>
  <sheetData>
    <row r="4" spans="2:18" ht="15">
      <c r="B4" s="12"/>
      <c r="C4" s="96">
        <v>2011</v>
      </c>
      <c r="D4" s="96"/>
      <c r="E4" s="96">
        <v>2012</v>
      </c>
      <c r="F4" s="96"/>
      <c r="G4" s="96"/>
      <c r="H4" s="96">
        <v>2013</v>
      </c>
      <c r="I4" s="96"/>
      <c r="J4" s="96"/>
      <c r="K4" s="96">
        <v>2014</v>
      </c>
      <c r="L4" s="96"/>
      <c r="M4" s="96"/>
      <c r="N4" s="96"/>
      <c r="O4" s="96">
        <v>2015</v>
      </c>
      <c r="P4" s="96"/>
      <c r="Q4" s="96"/>
      <c r="R4" s="96"/>
    </row>
    <row r="5" spans="2:18" ht="15">
      <c r="B5" s="12" t="s">
        <v>74</v>
      </c>
      <c r="C5" s="13" t="s">
        <v>70</v>
      </c>
      <c r="D5" s="13" t="s">
        <v>76</v>
      </c>
      <c r="E5" s="13" t="s">
        <v>70</v>
      </c>
      <c r="F5" s="13" t="s">
        <v>71</v>
      </c>
      <c r="G5" s="13" t="s">
        <v>76</v>
      </c>
      <c r="H5" s="13" t="s">
        <v>70</v>
      </c>
      <c r="I5" s="13" t="s">
        <v>71</v>
      </c>
      <c r="J5" s="13" t="s">
        <v>76</v>
      </c>
      <c r="K5" s="13" t="s">
        <v>70</v>
      </c>
      <c r="L5" s="13" t="s">
        <v>77</v>
      </c>
      <c r="M5" s="13" t="s">
        <v>71</v>
      </c>
      <c r="N5" s="13" t="s">
        <v>76</v>
      </c>
      <c r="O5" s="13" t="s">
        <v>70</v>
      </c>
      <c r="P5" s="13" t="s">
        <v>77</v>
      </c>
      <c r="Q5" s="13" t="s">
        <v>71</v>
      </c>
      <c r="R5" s="13" t="s">
        <v>76</v>
      </c>
    </row>
    <row r="6" spans="2:18" ht="15">
      <c r="B6" t="s">
        <v>28</v>
      </c>
      <c r="C6">
        <v>464</v>
      </c>
      <c r="D6">
        <f>+C6</f>
        <v>464</v>
      </c>
      <c r="E6">
        <v>4500</v>
      </c>
      <c r="F6">
        <v>0</v>
      </c>
      <c r="G6">
        <f>+D6+E6+F6</f>
        <v>4964</v>
      </c>
      <c r="H6">
        <v>1113</v>
      </c>
      <c r="I6">
        <v>0</v>
      </c>
      <c r="J6">
        <f>+G6+H6+I6</f>
        <v>6077</v>
      </c>
      <c r="K6">
        <v>79</v>
      </c>
      <c r="L6">
        <v>0</v>
      </c>
      <c r="M6">
        <v>144</v>
      </c>
      <c r="N6">
        <f>+J6+K6+M6+L6</f>
        <v>6300</v>
      </c>
      <c r="O6">
        <v>14</v>
      </c>
      <c r="P6">
        <v>0</v>
      </c>
      <c r="Q6">
        <v>731</v>
      </c>
      <c r="R6">
        <f>+N6+O6+Q6+P6</f>
        <v>7045</v>
      </c>
    </row>
    <row r="7" spans="2:18" ht="15">
      <c r="B7" t="s">
        <v>30</v>
      </c>
      <c r="C7">
        <v>1243</v>
      </c>
      <c r="D7">
        <f aca="true" t="shared" si="0" ref="D7:D12">+C7</f>
        <v>1243</v>
      </c>
      <c r="E7">
        <v>82</v>
      </c>
      <c r="F7">
        <v>-106</v>
      </c>
      <c r="G7">
        <f aca="true" t="shared" si="1" ref="G7:G12">+D7+E7+F7</f>
        <v>1219</v>
      </c>
      <c r="H7">
        <v>765</v>
      </c>
      <c r="I7">
        <v>1</v>
      </c>
      <c r="J7">
        <f aca="true" t="shared" si="2" ref="J7:J18">+G7+H7+I7</f>
        <v>1985</v>
      </c>
      <c r="K7">
        <v>0</v>
      </c>
      <c r="L7">
        <v>-47</v>
      </c>
      <c r="M7">
        <v>0</v>
      </c>
      <c r="N7">
        <f aca="true" t="shared" si="3" ref="N7:N12">+J7+K7+M7+L7</f>
        <v>1938</v>
      </c>
      <c r="O7">
        <v>0</v>
      </c>
      <c r="P7">
        <v>0</v>
      </c>
      <c r="Q7">
        <v>-3</v>
      </c>
      <c r="R7">
        <f aca="true" t="shared" si="4" ref="R7:R12">+N7+O7+Q7+P7</f>
        <v>1935</v>
      </c>
    </row>
    <row r="8" spans="2:18" ht="15">
      <c r="B8" t="s">
        <v>31</v>
      </c>
      <c r="C8">
        <v>486</v>
      </c>
      <c r="D8">
        <f t="shared" si="0"/>
        <v>486</v>
      </c>
      <c r="E8">
        <v>133</v>
      </c>
      <c r="F8">
        <v>0</v>
      </c>
      <c r="G8">
        <f t="shared" si="1"/>
        <v>619</v>
      </c>
      <c r="H8">
        <v>33</v>
      </c>
      <c r="I8">
        <v>2</v>
      </c>
      <c r="J8">
        <f t="shared" si="2"/>
        <v>654</v>
      </c>
      <c r="K8">
        <v>5</v>
      </c>
      <c r="L8">
        <v>-5</v>
      </c>
      <c r="M8">
        <v>0</v>
      </c>
      <c r="N8">
        <f t="shared" si="3"/>
        <v>654</v>
      </c>
      <c r="O8">
        <v>339</v>
      </c>
      <c r="P8">
        <v>-18</v>
      </c>
      <c r="Q8">
        <v>19</v>
      </c>
      <c r="R8">
        <f t="shared" si="4"/>
        <v>994</v>
      </c>
    </row>
    <row r="9" spans="2:18" ht="15">
      <c r="B9" t="s">
        <v>32</v>
      </c>
      <c r="C9">
        <v>1036</v>
      </c>
      <c r="D9">
        <f t="shared" si="0"/>
        <v>1036</v>
      </c>
      <c r="E9">
        <v>590</v>
      </c>
      <c r="F9">
        <v>0</v>
      </c>
      <c r="G9">
        <f t="shared" si="1"/>
        <v>1626</v>
      </c>
      <c r="H9">
        <v>115</v>
      </c>
      <c r="I9">
        <v>2</v>
      </c>
      <c r="J9">
        <f t="shared" si="2"/>
        <v>1743</v>
      </c>
      <c r="K9">
        <v>164</v>
      </c>
      <c r="L9">
        <v>-219</v>
      </c>
      <c r="M9">
        <v>227</v>
      </c>
      <c r="N9">
        <f t="shared" si="3"/>
        <v>1915</v>
      </c>
      <c r="O9">
        <v>10</v>
      </c>
      <c r="P9">
        <v>-41</v>
      </c>
      <c r="Q9">
        <v>102</v>
      </c>
      <c r="R9">
        <f t="shared" si="4"/>
        <v>1986</v>
      </c>
    </row>
    <row r="10" spans="2:18" ht="15">
      <c r="B10" t="s">
        <v>33</v>
      </c>
      <c r="C10">
        <v>250</v>
      </c>
      <c r="D10">
        <f t="shared" si="0"/>
        <v>250</v>
      </c>
      <c r="E10">
        <v>125</v>
      </c>
      <c r="F10">
        <v>-3</v>
      </c>
      <c r="G10">
        <f t="shared" si="1"/>
        <v>372</v>
      </c>
      <c r="H10">
        <v>30</v>
      </c>
      <c r="I10">
        <v>0</v>
      </c>
      <c r="J10">
        <f t="shared" si="2"/>
        <v>402</v>
      </c>
      <c r="K10">
        <v>38</v>
      </c>
      <c r="L10">
        <v>0</v>
      </c>
      <c r="M10">
        <v>0</v>
      </c>
      <c r="N10">
        <f t="shared" si="3"/>
        <v>440</v>
      </c>
      <c r="O10">
        <v>161</v>
      </c>
      <c r="P10">
        <v>0</v>
      </c>
      <c r="Q10">
        <v>5</v>
      </c>
      <c r="R10">
        <f t="shared" si="4"/>
        <v>606</v>
      </c>
    </row>
    <row r="11" spans="2:18" ht="15">
      <c r="B11" t="s">
        <v>75</v>
      </c>
      <c r="C11">
        <v>33</v>
      </c>
      <c r="D11">
        <f t="shared" si="0"/>
        <v>33</v>
      </c>
      <c r="E11">
        <v>313</v>
      </c>
      <c r="F11">
        <v>0</v>
      </c>
      <c r="G11">
        <f t="shared" si="1"/>
        <v>346</v>
      </c>
      <c r="H11">
        <v>736</v>
      </c>
      <c r="I11">
        <v>611</v>
      </c>
      <c r="J11">
        <f t="shared" si="2"/>
        <v>1693</v>
      </c>
      <c r="K11">
        <v>131</v>
      </c>
      <c r="L11">
        <v>-88</v>
      </c>
      <c r="M11">
        <v>503</v>
      </c>
      <c r="N11">
        <f t="shared" si="3"/>
        <v>2239</v>
      </c>
      <c r="O11">
        <v>9</v>
      </c>
      <c r="P11">
        <v>0</v>
      </c>
      <c r="Q11">
        <v>47</v>
      </c>
      <c r="R11">
        <f t="shared" si="4"/>
        <v>2295</v>
      </c>
    </row>
    <row r="12" spans="2:18" ht="15">
      <c r="B12" t="s">
        <v>34</v>
      </c>
      <c r="C12">
        <v>394</v>
      </c>
      <c r="D12">
        <f t="shared" si="0"/>
        <v>394</v>
      </c>
      <c r="E12">
        <f>1186+30</f>
        <v>1216</v>
      </c>
      <c r="F12">
        <v>0</v>
      </c>
      <c r="G12">
        <f t="shared" si="1"/>
        <v>1610</v>
      </c>
      <c r="H12">
        <f>739+390</f>
        <v>1129</v>
      </c>
      <c r="I12">
        <f>-1550-30</f>
        <v>-1580</v>
      </c>
      <c r="J12">
        <f t="shared" si="2"/>
        <v>1159</v>
      </c>
      <c r="K12">
        <v>349</v>
      </c>
      <c r="L12">
        <v>0</v>
      </c>
      <c r="M12">
        <v>-1115</v>
      </c>
      <c r="N12">
        <f t="shared" si="3"/>
        <v>393</v>
      </c>
      <c r="O12">
        <v>1915</v>
      </c>
      <c r="P12">
        <v>-7</v>
      </c>
      <c r="Q12">
        <v>-901</v>
      </c>
      <c r="R12">
        <f t="shared" si="4"/>
        <v>1400</v>
      </c>
    </row>
    <row r="14" spans="2:18" ht="15">
      <c r="B14" s="12" t="s">
        <v>35</v>
      </c>
      <c r="C14" s="13" t="s">
        <v>70</v>
      </c>
      <c r="D14" s="13" t="s">
        <v>76</v>
      </c>
      <c r="E14" s="13" t="s">
        <v>70</v>
      </c>
      <c r="F14" s="13" t="s">
        <v>71</v>
      </c>
      <c r="G14" s="13" t="s">
        <v>76</v>
      </c>
      <c r="H14" s="13" t="s">
        <v>70</v>
      </c>
      <c r="I14" s="13" t="s">
        <v>71</v>
      </c>
      <c r="J14" s="13" t="s">
        <v>76</v>
      </c>
      <c r="K14" s="13" t="s">
        <v>70</v>
      </c>
      <c r="L14" s="13" t="s">
        <v>77</v>
      </c>
      <c r="M14" s="13" t="s">
        <v>71</v>
      </c>
      <c r="N14" s="13" t="s">
        <v>76</v>
      </c>
      <c r="O14" s="13" t="s">
        <v>70</v>
      </c>
      <c r="P14" s="13" t="s">
        <v>77</v>
      </c>
      <c r="Q14" s="13" t="s">
        <v>71</v>
      </c>
      <c r="R14" s="13" t="s">
        <v>76</v>
      </c>
    </row>
    <row r="15" spans="2:18" ht="15">
      <c r="B15" t="s">
        <v>38</v>
      </c>
      <c r="C15">
        <v>59</v>
      </c>
      <c r="D15">
        <f>+C15</f>
        <v>59</v>
      </c>
      <c r="E15">
        <v>81</v>
      </c>
      <c r="F15">
        <v>0</v>
      </c>
      <c r="G15">
        <f>+D15+E15+F15</f>
        <v>140</v>
      </c>
      <c r="H15">
        <v>49</v>
      </c>
      <c r="I15">
        <v>3039</v>
      </c>
      <c r="J15">
        <f t="shared" si="2"/>
        <v>3228</v>
      </c>
      <c r="K15">
        <v>49</v>
      </c>
      <c r="L15">
        <v>0</v>
      </c>
      <c r="M15">
        <v>4</v>
      </c>
      <c r="N15">
        <f>+J15+K15+M15+L15</f>
        <v>3281</v>
      </c>
      <c r="O15">
        <v>333</v>
      </c>
      <c r="P15">
        <v>0</v>
      </c>
      <c r="Q15">
        <v>158</v>
      </c>
      <c r="R15">
        <f>+N15+O15+Q15+P15</f>
        <v>3772</v>
      </c>
    </row>
    <row r="16" spans="2:18" ht="15">
      <c r="B16" t="s">
        <v>36</v>
      </c>
      <c r="C16" s="15">
        <v>7805</v>
      </c>
      <c r="D16">
        <f>+C16</f>
        <v>7805</v>
      </c>
      <c r="E16" s="15">
        <f>15835-310</f>
        <v>15525</v>
      </c>
      <c r="F16">
        <v>-101</v>
      </c>
      <c r="G16">
        <f>+D16+E16+F16</f>
        <v>23229</v>
      </c>
      <c r="H16" s="15">
        <v>3022</v>
      </c>
      <c r="I16">
        <v>-4263</v>
      </c>
      <c r="J16">
        <f t="shared" si="2"/>
        <v>21988</v>
      </c>
      <c r="K16" s="15">
        <v>11844</v>
      </c>
      <c r="L16">
        <v>-26</v>
      </c>
      <c r="M16">
        <v>2205</v>
      </c>
      <c r="N16" s="16">
        <f>+J16+K16+M16+L16</f>
        <v>36011</v>
      </c>
      <c r="O16" s="15">
        <v>471</v>
      </c>
      <c r="P16">
        <v>-6</v>
      </c>
      <c r="Q16">
        <v>210570</v>
      </c>
      <c r="R16">
        <f>+N16+O16+Q16+P16</f>
        <v>247046</v>
      </c>
    </row>
    <row r="17" spans="2:18" ht="15">
      <c r="B17" t="s">
        <v>39</v>
      </c>
      <c r="C17">
        <v>3318</v>
      </c>
      <c r="D17">
        <f>+C17</f>
        <v>3318</v>
      </c>
      <c r="E17">
        <v>6036</v>
      </c>
      <c r="F17">
        <v>0</v>
      </c>
      <c r="G17">
        <f>+D17+E17+F17</f>
        <v>9354</v>
      </c>
      <c r="H17">
        <v>123783</v>
      </c>
      <c r="I17">
        <v>2188</v>
      </c>
      <c r="J17">
        <f t="shared" si="2"/>
        <v>135325</v>
      </c>
      <c r="K17">
        <v>115696</v>
      </c>
      <c r="L17">
        <v>0</v>
      </c>
      <c r="M17">
        <v>-507</v>
      </c>
      <c r="N17">
        <f>+J17+K17+M17+L17</f>
        <v>250514</v>
      </c>
      <c r="O17">
        <v>92568</v>
      </c>
      <c r="P17">
        <v>-46</v>
      </c>
      <c r="Q17">
        <v>-150505</v>
      </c>
      <c r="R17">
        <f>+N17+O17+Q17+P17</f>
        <v>192531</v>
      </c>
    </row>
    <row r="18" spans="2:18" ht="15">
      <c r="B18" t="s">
        <v>78</v>
      </c>
      <c r="G18">
        <v>0</v>
      </c>
      <c r="H18">
        <v>47013</v>
      </c>
      <c r="I18">
        <v>0</v>
      </c>
      <c r="J18">
        <f t="shared" si="2"/>
        <v>47013</v>
      </c>
      <c r="K18">
        <v>6050</v>
      </c>
      <c r="L18">
        <v>0</v>
      </c>
      <c r="M18">
        <v>-1462</v>
      </c>
      <c r="N18">
        <f>+J18+K18+M18+L18</f>
        <v>51601</v>
      </c>
      <c r="O18">
        <v>8647</v>
      </c>
      <c r="P18">
        <v>0</v>
      </c>
      <c r="Q18">
        <v>-60223</v>
      </c>
      <c r="R18">
        <f>+N18+O18+Q18+P18</f>
        <v>25</v>
      </c>
    </row>
    <row r="21" spans="3:7" ht="15">
      <c r="C21" s="18">
        <v>2011</v>
      </c>
      <c r="D21" s="18">
        <v>2012</v>
      </c>
      <c r="E21" s="18">
        <v>2013</v>
      </c>
      <c r="F21" s="18">
        <v>2014</v>
      </c>
      <c r="G21" s="18">
        <v>2015</v>
      </c>
    </row>
    <row r="22" spans="2:8" ht="15">
      <c r="B22" t="str">
        <f>+B5</f>
        <v>Instalaciones Maquinaria y Equipo</v>
      </c>
      <c r="C22" s="17">
        <f>+SUM(C6:C12)</f>
        <v>3906</v>
      </c>
      <c r="D22" s="17">
        <f>+SUM(G6:G12)</f>
        <v>10756</v>
      </c>
      <c r="E22" s="17">
        <f>+SUM(J6:J12)</f>
        <v>13713</v>
      </c>
      <c r="F22" s="17">
        <f>+SUM(N6:N12)</f>
        <v>13879</v>
      </c>
      <c r="G22" s="17">
        <f>+SUM(R6:R12)</f>
        <v>16261</v>
      </c>
      <c r="H22" s="17"/>
    </row>
    <row r="23" spans="2:8" ht="15">
      <c r="B23" t="str">
        <f>+B14</f>
        <v>Intangibles</v>
      </c>
      <c r="C23" s="17">
        <f>+SUM(C15:C17)</f>
        <v>11182</v>
      </c>
      <c r="D23" s="17">
        <f>+SUM(G15:G18)</f>
        <v>32723</v>
      </c>
      <c r="E23" s="17">
        <f>+SUM(J15:J18)</f>
        <v>207554</v>
      </c>
      <c r="F23" s="17">
        <f>+SUM(N15:N18)</f>
        <v>341407</v>
      </c>
      <c r="G23" s="17">
        <f>+SUM(R15:R18)</f>
        <v>443374</v>
      </c>
      <c r="H23" s="17"/>
    </row>
    <row r="24" ht="15">
      <c r="F24" s="11">
        <f>+F22+F23</f>
        <v>355286</v>
      </c>
    </row>
    <row r="27" spans="3:7" ht="15">
      <c r="C27" s="96" t="s">
        <v>79</v>
      </c>
      <c r="D27" s="96"/>
      <c r="E27" s="96"/>
      <c r="F27" s="96"/>
      <c r="G27" s="96"/>
    </row>
    <row r="28" spans="2:7" ht="15">
      <c r="B28" s="12" t="s">
        <v>74</v>
      </c>
      <c r="C28" s="12">
        <v>2011</v>
      </c>
      <c r="D28" s="12">
        <v>2012</v>
      </c>
      <c r="E28" s="12">
        <v>2013</v>
      </c>
      <c r="F28" s="12">
        <v>2014</v>
      </c>
      <c r="G28" s="12">
        <v>2015</v>
      </c>
    </row>
    <row r="29" spans="2:7" ht="15">
      <c r="B29" t="s">
        <v>28</v>
      </c>
      <c r="C29">
        <f>+C6</f>
        <v>464</v>
      </c>
      <c r="D29">
        <f>+E6+F6</f>
        <v>4500</v>
      </c>
      <c r="E29">
        <f aca="true" t="shared" si="5" ref="E29:E35">+H6+I6</f>
        <v>1113</v>
      </c>
      <c r="F29">
        <f>+K6+L6+M6</f>
        <v>223</v>
      </c>
      <c r="G29">
        <f>+O6+P6+Q6</f>
        <v>745</v>
      </c>
    </row>
    <row r="30" spans="2:7" ht="15">
      <c r="B30" t="s">
        <v>30</v>
      </c>
      <c r="C30">
        <f aca="true" t="shared" si="6" ref="C30:C41">+C7</f>
        <v>1243</v>
      </c>
      <c r="D30">
        <f aca="true" t="shared" si="7" ref="D30:D41">+E7+F7</f>
        <v>-24</v>
      </c>
      <c r="E30">
        <f t="shared" si="5"/>
        <v>766</v>
      </c>
      <c r="F30">
        <f aca="true" t="shared" si="8" ref="F30:F41">+K7+L7+M7</f>
        <v>-47</v>
      </c>
      <c r="G30">
        <f aca="true" t="shared" si="9" ref="G30:G41">+O7+P7+Q7</f>
        <v>-3</v>
      </c>
    </row>
    <row r="31" spans="2:7" ht="15">
      <c r="B31" t="s">
        <v>31</v>
      </c>
      <c r="C31">
        <f t="shared" si="6"/>
        <v>486</v>
      </c>
      <c r="D31">
        <f t="shared" si="7"/>
        <v>133</v>
      </c>
      <c r="E31">
        <f t="shared" si="5"/>
        <v>35</v>
      </c>
      <c r="F31">
        <f t="shared" si="8"/>
        <v>0</v>
      </c>
      <c r="G31">
        <f t="shared" si="9"/>
        <v>340</v>
      </c>
    </row>
    <row r="32" spans="2:7" ht="15">
      <c r="B32" t="s">
        <v>32</v>
      </c>
      <c r="C32">
        <f t="shared" si="6"/>
        <v>1036</v>
      </c>
      <c r="D32">
        <f t="shared" si="7"/>
        <v>590</v>
      </c>
      <c r="E32">
        <f t="shared" si="5"/>
        <v>117</v>
      </c>
      <c r="F32">
        <f t="shared" si="8"/>
        <v>172</v>
      </c>
      <c r="G32">
        <f t="shared" si="9"/>
        <v>71</v>
      </c>
    </row>
    <row r="33" spans="2:7" ht="15">
      <c r="B33" t="s">
        <v>33</v>
      </c>
      <c r="C33">
        <f t="shared" si="6"/>
        <v>250</v>
      </c>
      <c r="D33">
        <f t="shared" si="7"/>
        <v>122</v>
      </c>
      <c r="E33">
        <f t="shared" si="5"/>
        <v>30</v>
      </c>
      <c r="F33">
        <f t="shared" si="8"/>
        <v>38</v>
      </c>
      <c r="G33">
        <f t="shared" si="9"/>
        <v>166</v>
      </c>
    </row>
    <row r="34" spans="2:7" ht="15">
      <c r="B34" t="s">
        <v>75</v>
      </c>
      <c r="C34">
        <f t="shared" si="6"/>
        <v>33</v>
      </c>
      <c r="D34">
        <f t="shared" si="7"/>
        <v>313</v>
      </c>
      <c r="E34">
        <f t="shared" si="5"/>
        <v>1347</v>
      </c>
      <c r="F34">
        <f t="shared" si="8"/>
        <v>546</v>
      </c>
      <c r="G34">
        <f t="shared" si="9"/>
        <v>56</v>
      </c>
    </row>
    <row r="35" spans="2:7" ht="15">
      <c r="B35" t="s">
        <v>34</v>
      </c>
      <c r="C35">
        <f t="shared" si="6"/>
        <v>394</v>
      </c>
      <c r="D35">
        <f t="shared" si="7"/>
        <v>1216</v>
      </c>
      <c r="E35">
        <f t="shared" si="5"/>
        <v>-451</v>
      </c>
      <c r="F35">
        <f t="shared" si="8"/>
        <v>-766</v>
      </c>
      <c r="G35">
        <f t="shared" si="9"/>
        <v>1007</v>
      </c>
    </row>
    <row r="37" ht="15">
      <c r="B37" s="12" t="s">
        <v>35</v>
      </c>
    </row>
    <row r="38" spans="2:7" ht="15">
      <c r="B38" t="s">
        <v>38</v>
      </c>
      <c r="C38">
        <f t="shared" si="6"/>
        <v>59</v>
      </c>
      <c r="D38">
        <f t="shared" si="7"/>
        <v>81</v>
      </c>
      <c r="E38">
        <f>+H15+I15</f>
        <v>3088</v>
      </c>
      <c r="F38">
        <f t="shared" si="8"/>
        <v>53</v>
      </c>
      <c r="G38">
        <f t="shared" si="9"/>
        <v>491</v>
      </c>
    </row>
    <row r="39" spans="2:7" ht="15">
      <c r="B39" t="s">
        <v>36</v>
      </c>
      <c r="C39">
        <f t="shared" si="6"/>
        <v>7805</v>
      </c>
      <c r="D39">
        <f t="shared" si="7"/>
        <v>15424</v>
      </c>
      <c r="E39">
        <f>+H16+I16</f>
        <v>-1241</v>
      </c>
      <c r="F39">
        <f t="shared" si="8"/>
        <v>14023</v>
      </c>
      <c r="G39">
        <f t="shared" si="9"/>
        <v>211035</v>
      </c>
    </row>
    <row r="40" spans="2:7" ht="15">
      <c r="B40" t="s">
        <v>39</v>
      </c>
      <c r="C40">
        <f t="shared" si="6"/>
        <v>3318</v>
      </c>
      <c r="D40">
        <f t="shared" si="7"/>
        <v>6036</v>
      </c>
      <c r="E40">
        <f>+H17+I17</f>
        <v>125971</v>
      </c>
      <c r="F40">
        <f t="shared" si="8"/>
        <v>115189</v>
      </c>
      <c r="G40">
        <f t="shared" si="9"/>
        <v>-57983</v>
      </c>
    </row>
    <row r="41" spans="2:7" ht="15">
      <c r="B41" t="s">
        <v>78</v>
      </c>
      <c r="C41">
        <f t="shared" si="6"/>
        <v>0</v>
      </c>
      <c r="D41">
        <f t="shared" si="7"/>
        <v>0</v>
      </c>
      <c r="E41">
        <f>+H18+I18</f>
        <v>47013</v>
      </c>
      <c r="F41">
        <f t="shared" si="8"/>
        <v>4588</v>
      </c>
      <c r="G41">
        <f t="shared" si="9"/>
        <v>-51576</v>
      </c>
    </row>
    <row r="44" spans="3:7" ht="15">
      <c r="C44" s="14"/>
      <c r="D44" s="14"/>
      <c r="E44" s="14"/>
      <c r="F44" s="14"/>
      <c r="G44" s="14"/>
    </row>
  </sheetData>
  <sheetProtection/>
  <mergeCells count="6">
    <mergeCell ref="O4:R4"/>
    <mergeCell ref="C27:G27"/>
    <mergeCell ref="C4:D4"/>
    <mergeCell ref="E4:G4"/>
    <mergeCell ref="H4:J4"/>
    <mergeCell ref="K4:N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C3:I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4.00390625" style="1" customWidth="1"/>
    <col min="4" max="16384" width="11.421875" style="1" customWidth="1"/>
  </cols>
  <sheetData>
    <row r="2" ht="13.5" thickBot="1"/>
    <row r="3" spans="3:7" ht="13.5" thickBot="1">
      <c r="C3" s="97" t="s">
        <v>45</v>
      </c>
      <c r="D3" s="97"/>
      <c r="E3" s="97"/>
      <c r="F3" s="97"/>
      <c r="G3" s="97"/>
    </row>
    <row r="4" spans="3:7" ht="13.5" thickBot="1">
      <c r="C4" s="55" t="s">
        <v>46</v>
      </c>
      <c r="D4" s="55">
        <v>2012</v>
      </c>
      <c r="E4" s="55">
        <v>2013</v>
      </c>
      <c r="F4" s="55">
        <v>2014</v>
      </c>
      <c r="G4" s="55">
        <v>2015</v>
      </c>
    </row>
    <row r="5" spans="3:7" ht="12.75">
      <c r="C5" s="81" t="s">
        <v>47</v>
      </c>
      <c r="D5" s="78">
        <f>+(ÍndiceCantidadesTrabajo!D7+ÍndiceCantidadesMateriales!D7+'ÍndiceCantidades Capital'!D7)/(ÍndiceCantidadesTrabajo!D8+ÍndiceCantidadesMateriales!D8+'ÍndiceCantidades Capital'!D8)</f>
        <v>0.9969629011508038</v>
      </c>
      <c r="E5" s="78">
        <f>+(ÍndiceCantidadesTrabajo!E7+ÍndiceCantidadesMateriales!E7+'ÍndiceCantidades Capital'!E7)/(ÍndiceCantidadesTrabajo!E8+ÍndiceCantidadesMateriales!E8+'ÍndiceCantidades Capital'!E8)</f>
        <v>1.109186621641112</v>
      </c>
      <c r="F5" s="78">
        <f>+(ÍndiceCantidadesTrabajo!F7+ÍndiceCantidadesMateriales!F7+'ÍndiceCantidades Capital'!F7)/(ÍndiceCantidadesTrabajo!F8+ÍndiceCantidadesMateriales!F8+'ÍndiceCantidades Capital'!F8)</f>
        <v>1.0582907801793695</v>
      </c>
      <c r="G5" s="78">
        <f>+(ÍndiceCantidadesTrabajo!G7+ÍndiceCantidadesMateriales!G7+'ÍndiceCantidades Capital'!G7)/(ÍndiceCantidadesTrabajo!G8+ÍndiceCantidadesMateriales!G8+'ÍndiceCantidades Capital'!G8)</f>
        <v>1.3080539868433627</v>
      </c>
    </row>
    <row r="6" spans="3:7" ht="12.75">
      <c r="C6" s="81" t="s">
        <v>48</v>
      </c>
      <c r="D6" s="78">
        <f>+(ÍndiceCantidadesTrabajo!D10+ÍndiceCantidadesMateriales!D10+'ÍndiceCantidades Capital'!D10)/(ÍndiceCantidadesTrabajo!D11+ÍndiceCantidadesMateriales!D11+'ÍndiceCantidades Capital'!D11)</f>
        <v>0.9947537479582752</v>
      </c>
      <c r="E6" s="78">
        <f>+(ÍndiceCantidadesTrabajo!E10+ÍndiceCantidadesMateriales!E10+'ÍndiceCantidades Capital'!E10)/(ÍndiceCantidadesTrabajo!E11+ÍndiceCantidadesMateriales!E11+'ÍndiceCantidades Capital'!E11)</f>
        <v>1.0982568836706303</v>
      </c>
      <c r="F6" s="78">
        <f>+(ÍndiceCantidadesTrabajo!F10+ÍndiceCantidadesMateriales!F10+'ÍndiceCantidades Capital'!F10)/(ÍndiceCantidadesTrabajo!F11+ÍndiceCantidadesMateriales!F11+'ÍndiceCantidades Capital'!F11)</f>
        <v>1.0325037672087063</v>
      </c>
      <c r="G6" s="78">
        <f>+(ÍndiceCantidadesTrabajo!G10+ÍndiceCantidadesMateriales!G10+'ÍndiceCantidades Capital'!G10)/(ÍndiceCantidadesTrabajo!G11+ÍndiceCantidadesMateriales!G11+'ÍndiceCantidades Capital'!G11)</f>
        <v>1.3717391087631592</v>
      </c>
    </row>
    <row r="7" spans="3:7" ht="13.5" thickBot="1">
      <c r="C7" s="81" t="s">
        <v>49</v>
      </c>
      <c r="D7" s="78">
        <f>+SQRT(D5*D6)</f>
        <v>0.9958577119725074</v>
      </c>
      <c r="E7" s="78">
        <f>+SQRT(E5*E6)</f>
        <v>1.1037082234416495</v>
      </c>
      <c r="F7" s="78">
        <f>+SQRT(F5*F6)</f>
        <v>1.0453177590271008</v>
      </c>
      <c r="G7" s="78">
        <f>+SQRT(G5*G6)</f>
        <v>1.3395181260910998</v>
      </c>
    </row>
    <row r="8" spans="3:7" ht="13.5" thickBot="1">
      <c r="C8" s="79" t="s">
        <v>50</v>
      </c>
      <c r="D8" s="80">
        <f>LN(D7)</f>
        <v>-0.0041508910682782375</v>
      </c>
      <c r="E8" s="80">
        <f>LN(E7)</f>
        <v>0.09867562256322673</v>
      </c>
      <c r="F8" s="80">
        <f>LN(F7)</f>
        <v>0.044320914819171324</v>
      </c>
      <c r="G8" s="80">
        <f>LN(G7)</f>
        <v>0.2923099418938738</v>
      </c>
    </row>
    <row r="9" spans="3:7" ht="13.5" thickBot="1">
      <c r="C9" s="75"/>
      <c r="D9" s="75"/>
      <c r="E9" s="75"/>
      <c r="F9" s="75"/>
      <c r="G9" s="75"/>
    </row>
    <row r="10" spans="3:9" ht="13.5" thickBot="1">
      <c r="C10" s="8"/>
      <c r="D10" s="75"/>
      <c r="E10" s="75"/>
      <c r="F10" s="82" t="s">
        <v>64</v>
      </c>
      <c r="G10" s="82">
        <f>+AVERAGE(D8:G8)</f>
        <v>0.10778889705199841</v>
      </c>
      <c r="H10" s="10"/>
      <c r="I10" s="10"/>
    </row>
    <row r="11" spans="4:7" ht="13.5" thickBot="1">
      <c r="D11" s="8"/>
      <c r="E11" s="8"/>
      <c r="F11" s="8"/>
      <c r="G11" s="8"/>
    </row>
    <row r="12" spans="3:7" ht="13.5" thickBot="1">
      <c r="C12" s="97" t="s">
        <v>51</v>
      </c>
      <c r="D12" s="97"/>
      <c r="E12" s="97"/>
      <c r="F12" s="97"/>
      <c r="G12" s="97"/>
    </row>
    <row r="13" spans="3:7" ht="13.5" thickBot="1">
      <c r="C13" s="55" t="s">
        <v>46</v>
      </c>
      <c r="D13" s="55">
        <v>2012</v>
      </c>
      <c r="E13" s="55">
        <v>2013</v>
      </c>
      <c r="F13" s="55">
        <v>2014</v>
      </c>
      <c r="G13" s="55">
        <v>2015</v>
      </c>
    </row>
    <row r="14" spans="3:7" ht="12.75">
      <c r="C14" s="81" t="s">
        <v>52</v>
      </c>
      <c r="D14" s="78">
        <f>+ÍndiceCantidadesProducto!D12</f>
        <v>1.0095531616054445</v>
      </c>
      <c r="E14" s="78">
        <f>+ÍndiceCantidadesProducto!E12</f>
        <v>1.0882969339612987</v>
      </c>
      <c r="F14" s="78">
        <f>+ÍndiceCantidadesProducto!F12</f>
        <v>0.9233376167562279</v>
      </c>
      <c r="G14" s="78">
        <f>+ÍndiceCantidadesProducto!G12</f>
        <v>1.061595902700658</v>
      </c>
    </row>
    <row r="15" spans="3:7" ht="12.75">
      <c r="C15" s="81" t="s">
        <v>53</v>
      </c>
      <c r="D15" s="78">
        <f>+D7</f>
        <v>0.9958577119725074</v>
      </c>
      <c r="E15" s="78">
        <f>+E7</f>
        <v>1.1037082234416495</v>
      </c>
      <c r="F15" s="78">
        <f>+F7</f>
        <v>1.0453177590271008</v>
      </c>
      <c r="G15" s="78">
        <f>+G7</f>
        <v>1.3395181260910998</v>
      </c>
    </row>
    <row r="16" spans="3:7" ht="13.5" thickBot="1">
      <c r="C16" s="81" t="s">
        <v>61</v>
      </c>
      <c r="D16" s="78">
        <f>+D14/D15</f>
        <v>1.0137524161015035</v>
      </c>
      <c r="E16" s="78">
        <f>+E14/E15</f>
        <v>0.9860368083221357</v>
      </c>
      <c r="F16" s="78">
        <f>+F14/F15</f>
        <v>0.8833080742984771</v>
      </c>
      <c r="G16" s="78">
        <f>+G14/G15</f>
        <v>0.7925207446042873</v>
      </c>
    </row>
    <row r="17" spans="3:7" ht="13.5" thickBot="1">
      <c r="C17" s="79" t="s">
        <v>54</v>
      </c>
      <c r="D17" s="80">
        <f>LN(D16)</f>
        <v>0.013658709775351748</v>
      </c>
      <c r="E17" s="80">
        <f>LN(E16)</f>
        <v>-0.01406159412077154</v>
      </c>
      <c r="F17" s="80">
        <f>LN(F16)</f>
        <v>-0.12408124421262696</v>
      </c>
      <c r="G17" s="80">
        <f>LN(G16)</f>
        <v>-0.23253659741646154</v>
      </c>
    </row>
    <row r="18" spans="3:7" ht="13.5" thickBot="1">
      <c r="C18" s="77"/>
      <c r="D18" s="77"/>
      <c r="E18" s="83"/>
      <c r="F18" s="76"/>
      <c r="G18" s="76"/>
    </row>
    <row r="19" spans="3:8" ht="13.5" thickBot="1">
      <c r="C19" s="8"/>
      <c r="D19" s="8"/>
      <c r="E19" s="84"/>
      <c r="F19" s="82" t="s">
        <v>64</v>
      </c>
      <c r="G19" s="82">
        <f>+AVERAGE(D17:G17)</f>
        <v>-0.08925518149362707</v>
      </c>
      <c r="H19" s="10"/>
    </row>
    <row r="20" spans="4:7" ht="13.5" thickBot="1">
      <c r="D20" s="8"/>
      <c r="E20" s="8"/>
      <c r="F20" s="8"/>
      <c r="G20" s="8"/>
    </row>
    <row r="21" spans="3:7" ht="13.5" thickBot="1">
      <c r="C21" s="97" t="s">
        <v>55</v>
      </c>
      <c r="D21" s="97"/>
      <c r="E21" s="97"/>
      <c r="F21" s="97"/>
      <c r="G21" s="97"/>
    </row>
    <row r="22" spans="3:7" ht="13.5" thickBot="1">
      <c r="C22" s="55" t="s">
        <v>56</v>
      </c>
      <c r="D22" s="55">
        <v>2012</v>
      </c>
      <c r="E22" s="55">
        <v>2013</v>
      </c>
      <c r="F22" s="55">
        <v>2014</v>
      </c>
      <c r="G22" s="55">
        <v>2015</v>
      </c>
    </row>
    <row r="23" spans="3:7" ht="12.75">
      <c r="C23" s="81" t="s">
        <v>57</v>
      </c>
      <c r="D23" s="78">
        <f>+(ÍndicePreciosTrabajo!D7+ÍndicePreciosMateriales!D7+ÍndicePreciosCapital!D7)/(ÍndicePreciosTrabajo!D8+ÍndicePreciosMateriales!D8+ÍndicePreciosCapital!D8)</f>
        <v>1.0688628199951344</v>
      </c>
      <c r="E23" s="78">
        <f>+(ÍndicePreciosTrabajo!E7+ÍndicePreciosMateriales!E7+ÍndicePreciosCapital!E7)/(ÍndicePreciosTrabajo!E8+ÍndicePreciosMateriales!E8+ÍndicePreciosCapital!E8)</f>
        <v>1.04176522793573</v>
      </c>
      <c r="F23" s="78">
        <f>+(ÍndicePreciosTrabajo!F7+ÍndicePreciosMateriales!F7+ÍndicePreciosCapital!F7)/(ÍndicePreciosTrabajo!F8+ÍndicePreciosMateriales!F8+ÍndicePreciosCapital!F8)</f>
        <v>1.035780513635897</v>
      </c>
      <c r="G23" s="78">
        <f>+(ÍndicePreciosTrabajo!G7+ÍndicePreciosMateriales!G7+ÍndicePreciosCapital!G7)/(ÍndicePreciosTrabajo!G8+ÍndicePreciosMateriales!G8+ÍndicePreciosCapital!G8)</f>
        <v>1.0133071227422112</v>
      </c>
    </row>
    <row r="24" spans="3:7" ht="12.75">
      <c r="C24" s="81" t="s">
        <v>58</v>
      </c>
      <c r="D24" s="78">
        <f>+(ÍndicePreciosTrabajo!D10+ÍndicePreciosMateriales!D10+ÍndicePreciosCapital!D10)/(ÍndicePreciosTrabajo!D11+ÍndicePreciosMateriales!D11+ÍndicePreciosCapital!D11)</f>
        <v>1.0664943449912583</v>
      </c>
      <c r="E24" s="78">
        <f>+(ÍndicePreciosTrabajo!E10+ÍndicePreciosMateriales!E10+ÍndicePreciosCapital!E10)/(ÍndicePreciosTrabajo!E11+ÍndicePreciosMateriales!E11+ÍndicePreciosCapital!E11)</f>
        <v>1.0314998490121632</v>
      </c>
      <c r="F24" s="78">
        <f>+(ÍndicePreciosTrabajo!F10+ÍndicePreciosMateriales!F10+ÍndicePreciosCapital!F10)/(ÍndicePreciosTrabajo!F11+ÍndicePreciosMateriales!F11+ÍndicePreciosCapital!F11)</f>
        <v>1.0105420007052996</v>
      </c>
      <c r="G24" s="78">
        <f>+(ÍndicePreciosTrabajo!G10+ÍndicePreciosMateriales!G10+ÍndicePreciosCapital!G10)/(ÍndicePreciosTrabajo!G11+ÍndicePreciosMateriales!G11+ÍndicePreciosCapital!G11)</f>
        <v>1.0626419271945624</v>
      </c>
    </row>
    <row r="25" spans="3:7" ht="13.5" thickBot="1">
      <c r="C25" s="81" t="s">
        <v>59</v>
      </c>
      <c r="D25" s="78">
        <f>+SQRT(D23*D24)</f>
        <v>1.0676779257323905</v>
      </c>
      <c r="E25" s="78">
        <f>+SQRT(E23*E24)</f>
        <v>1.0366198316267285</v>
      </c>
      <c r="F25" s="78">
        <f>+SQRT(F23*F24)</f>
        <v>1.0230834338123076</v>
      </c>
      <c r="G25" s="78">
        <f>+SQRT(G23*G24)</f>
        <v>1.0376813739056707</v>
      </c>
    </row>
    <row r="26" spans="3:7" ht="13.5" thickBot="1">
      <c r="C26" s="79" t="s">
        <v>60</v>
      </c>
      <c r="D26" s="80">
        <f>LN(D25)</f>
        <v>0.0654861273910295</v>
      </c>
      <c r="E26" s="80">
        <f>LN(E25)</f>
        <v>0.03596525800733697</v>
      </c>
      <c r="F26" s="80">
        <f>LN(F25)</f>
        <v>0.022821041622613603</v>
      </c>
      <c r="G26" s="80">
        <f>LN(G25)</f>
        <v>0.03698877606612477</v>
      </c>
    </row>
    <row r="27" spans="3:7" ht="13.5" thickBot="1">
      <c r="C27" s="77"/>
      <c r="D27" s="77"/>
      <c r="E27" s="83"/>
      <c r="F27" s="76"/>
      <c r="G27" s="76"/>
    </row>
    <row r="28" spans="3:8" ht="13.5" thickBot="1">
      <c r="C28" s="8"/>
      <c r="D28" s="8"/>
      <c r="E28" s="84"/>
      <c r="F28" s="82" t="s">
        <v>64</v>
      </c>
      <c r="G28" s="82">
        <f>+AVERAGE(D26:G26)</f>
        <v>0.04031530077177621</v>
      </c>
      <c r="H28" s="10"/>
    </row>
  </sheetData>
  <sheetProtection/>
  <mergeCells count="3">
    <mergeCell ref="C3:G3"/>
    <mergeCell ref="C12:G12"/>
    <mergeCell ref="C21:G2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3:H4"/>
  <sheetViews>
    <sheetView zoomScalePageLayoutView="0" workbookViewId="0" topLeftCell="A1">
      <selection activeCell="N26" sqref="N26"/>
    </sheetView>
  </sheetViews>
  <sheetFormatPr defaultColWidth="11.421875" defaultRowHeight="15"/>
  <cols>
    <col min="2" max="2" width="30.7109375" style="0" bestFit="1" customWidth="1"/>
  </cols>
  <sheetData>
    <row r="3" spans="2:8" ht="15">
      <c r="B3" s="3" t="s">
        <v>26</v>
      </c>
      <c r="C3" s="3">
        <v>2011</v>
      </c>
      <c r="D3" s="3">
        <v>2012</v>
      </c>
      <c r="E3" s="4">
        <v>2013</v>
      </c>
      <c r="F3" s="3">
        <v>2014</v>
      </c>
      <c r="G3" s="9">
        <v>2015</v>
      </c>
      <c r="H3" s="3" t="s">
        <v>64</v>
      </c>
    </row>
    <row r="4" spans="2:8" ht="15">
      <c r="B4" s="7" t="s">
        <v>65</v>
      </c>
      <c r="C4" s="5"/>
      <c r="D4" s="5"/>
      <c r="E4" s="6"/>
      <c r="F4" s="5"/>
      <c r="G4" s="5"/>
      <c r="H4" s="5" t="e">
        <f>+AVERAGE(C4:G4)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B4:G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5.140625" style="1" bestFit="1" customWidth="1"/>
    <col min="3" max="16384" width="11.421875" style="1" customWidth="1"/>
  </cols>
  <sheetData>
    <row r="3" ht="13.5" thickBot="1"/>
    <row r="4" spans="2:7" ht="13.5" thickBot="1">
      <c r="B4" s="55" t="s">
        <v>26</v>
      </c>
      <c r="C4" s="55">
        <v>2011</v>
      </c>
      <c r="D4" s="55">
        <v>2012</v>
      </c>
      <c r="E4" s="55">
        <v>2013</v>
      </c>
      <c r="F4" s="55">
        <v>2014</v>
      </c>
      <c r="G4" s="55">
        <v>2015</v>
      </c>
    </row>
    <row r="5" spans="2:7" ht="13.5" thickBot="1">
      <c r="B5" s="85" t="s">
        <v>63</v>
      </c>
      <c r="C5" s="86">
        <v>0.0166261538382122</v>
      </c>
      <c r="D5" s="86">
        <v>0.012827313512417948</v>
      </c>
      <c r="E5" s="86">
        <v>0.006821092274470697</v>
      </c>
      <c r="F5" s="86">
        <v>-0.02514189028870817</v>
      </c>
      <c r="G5" s="86">
        <v>-0.0031143358633832774</v>
      </c>
    </row>
    <row r="6" ht="13.5" thickBot="1">
      <c r="B6" s="23" t="s">
        <v>80</v>
      </c>
    </row>
    <row r="7" spans="6:7" ht="13.5" thickBot="1">
      <c r="F7" s="87" t="s">
        <v>64</v>
      </c>
      <c r="G7" s="57">
        <f>+IF('Factor X'!K3=1,AVERAGE('PTF Economía'!C5:F5),AVERAGE('PTF Economía'!C5:G5))</f>
        <v>0.0016036666946018796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5:J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2.140625" style="1" customWidth="1"/>
    <col min="4" max="16384" width="11.421875" style="1" customWidth="1"/>
  </cols>
  <sheetData>
    <row r="4" ht="13.5" thickBot="1"/>
    <row r="5" spans="3:9" ht="13.5" thickBot="1">
      <c r="C5" s="30" t="s">
        <v>8</v>
      </c>
      <c r="D5" s="30">
        <v>2010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</row>
    <row r="6" spans="3:9" ht="12.75">
      <c r="C6" s="1" t="s">
        <v>118</v>
      </c>
      <c r="D6" s="29">
        <f>+IPM!D18</f>
        <v>91.25499948444302</v>
      </c>
      <c r="E6" s="29">
        <f>+IPM!E18</f>
        <v>97.03861441202177</v>
      </c>
      <c r="F6" s="29">
        <f>+IPM!F18</f>
        <v>98.75689102788353</v>
      </c>
      <c r="G6" s="29">
        <f>+IPM!G18</f>
        <v>99.13291982401479</v>
      </c>
      <c r="H6" s="29">
        <f>+IPM!H18</f>
        <v>100.94916666666667</v>
      </c>
      <c r="I6" s="29">
        <f>+IPM!I18</f>
        <v>102.73841633333332</v>
      </c>
    </row>
    <row r="7" spans="3:9" ht="12.75">
      <c r="C7" s="1" t="s">
        <v>119</v>
      </c>
      <c r="D7" s="29">
        <f>+IPC!D18</f>
        <v>101.52952908333333</v>
      </c>
      <c r="E7" s="29">
        <f>+IPC!E18</f>
        <v>104.95073458333336</v>
      </c>
      <c r="F7" s="29">
        <f>+IPC!F18</f>
        <v>108.78711833333335</v>
      </c>
      <c r="G7" s="29">
        <f>+IPC!G18</f>
        <v>111.83949716666666</v>
      </c>
      <c r="H7" s="29">
        <f>+IPC!H18</f>
        <v>115.46988516666669</v>
      </c>
      <c r="I7" s="29">
        <f>+IPC!I18</f>
        <v>119.56645625</v>
      </c>
    </row>
    <row r="8" spans="3:9" ht="13.5" thickBot="1">
      <c r="C8" s="31" t="s">
        <v>120</v>
      </c>
      <c r="D8" s="32">
        <v>2.82578548611317</v>
      </c>
      <c r="E8" s="32">
        <v>2.7547087220274</v>
      </c>
      <c r="F8" s="32">
        <v>2.63819247234247</v>
      </c>
      <c r="G8" s="32">
        <v>2.70278198811423</v>
      </c>
      <c r="H8" s="32">
        <v>2.83938113275613</v>
      </c>
      <c r="I8" s="32">
        <v>3.183717666666667</v>
      </c>
    </row>
    <row r="9" ht="12.75">
      <c r="C9" s="23" t="s">
        <v>121</v>
      </c>
    </row>
    <row r="12" ht="13.5" thickBot="1"/>
    <row r="13" spans="3:9" ht="13.5" thickBot="1">
      <c r="C13" s="30" t="s">
        <v>8</v>
      </c>
      <c r="D13" s="30">
        <v>2010</v>
      </c>
      <c r="E13" s="30">
        <v>2011</v>
      </c>
      <c r="F13" s="30">
        <v>2012</v>
      </c>
      <c r="G13" s="30">
        <v>2013</v>
      </c>
      <c r="H13" s="30">
        <v>2014</v>
      </c>
      <c r="I13" s="30">
        <v>2015</v>
      </c>
    </row>
    <row r="14" spans="3:9" ht="12.75">
      <c r="C14" s="1" t="s">
        <v>123</v>
      </c>
      <c r="D14" s="22">
        <f>+(D6/$E$6)/(D8/$E$8)*100</f>
        <v>91.67450511264666</v>
      </c>
      <c r="E14" s="22">
        <f>+(E6/$E$6)/(E8/$E$8)*100</f>
        <v>100</v>
      </c>
      <c r="F14" s="22">
        <f>+(F6/$E$6)/(F8/$E$8)*100</f>
        <v>106.26543637396544</v>
      </c>
      <c r="G14" s="22">
        <f>+(G6/$E$6)/(G8/$E$8)*100</f>
        <v>104.12091578367611</v>
      </c>
      <c r="H14" s="22">
        <f>+(H6/$E$6)/(H8/$E$8)*100</f>
        <v>100.92764584515194</v>
      </c>
      <c r="I14" s="22">
        <f>+(I6/$E$6)/(I8/$E$8)*100</f>
        <v>91.60715949455303</v>
      </c>
    </row>
    <row r="15" spans="3:9" ht="12.75">
      <c r="C15" s="1" t="s">
        <v>124</v>
      </c>
      <c r="D15" s="22">
        <f>+(D6/$E$6)*100</f>
        <v>94.03988302736705</v>
      </c>
      <c r="E15" s="22">
        <f>+(E6/$E$6)*100</f>
        <v>100</v>
      </c>
      <c r="F15" s="22">
        <f>+(F6/$E$6)*100</f>
        <v>101.77071429376147</v>
      </c>
      <c r="G15" s="22">
        <f>+(G6/$E$6)*100</f>
        <v>102.15821858616066</v>
      </c>
      <c r="H15" s="22">
        <f>+(H6/$E$6)*100</f>
        <v>104.02989292287384</v>
      </c>
      <c r="I15" s="22">
        <f>+(I6/$E$6)*100</f>
        <v>105.87374619459263</v>
      </c>
    </row>
    <row r="16" spans="3:10" ht="12.75">
      <c r="C16" s="1" t="s">
        <v>125</v>
      </c>
      <c r="D16" s="22">
        <f>+(D7/$E$7)/(D8/$E$8)*100</f>
        <v>94.30688129317731</v>
      </c>
      <c r="E16" s="22">
        <f>+(E7/$E$7)/(E8/$E$8)*100</f>
        <v>100</v>
      </c>
      <c r="F16" s="22">
        <f>+(F7/$E$7)/(F8/$E$8)*100</f>
        <v>108.23337409044775</v>
      </c>
      <c r="G16" s="22">
        <f>+(G7/$E$7)/(G8/$E$8)*100</f>
        <v>108.61114475827299</v>
      </c>
      <c r="H16" s="22">
        <f>+(H7/$E$7)/(H8/$E$8)*100</f>
        <v>106.74197721779346</v>
      </c>
      <c r="I16" s="22">
        <f>+(I7/$E$7)/(I8/$E$8)*100</f>
        <v>98.57459733390496</v>
      </c>
      <c r="J16" s="94"/>
    </row>
    <row r="17" spans="3:9" ht="13.5" thickBot="1">
      <c r="C17" s="31" t="s">
        <v>126</v>
      </c>
      <c r="D17" s="32">
        <f>+(D7/$E$7)*100</f>
        <v>96.74017955797774</v>
      </c>
      <c r="E17" s="32">
        <f>+(E7/$E$7)*100</f>
        <v>100</v>
      </c>
      <c r="F17" s="32">
        <f>+(F7/$E$7)*100</f>
        <v>103.65541390942225</v>
      </c>
      <c r="G17" s="32">
        <f>+(G7/$E$7)*100</f>
        <v>106.5638059711373</v>
      </c>
      <c r="H17" s="32">
        <f>+(H7/$E$7)*100</f>
        <v>110.02294135919637</v>
      </c>
      <c r="I17" s="32">
        <f>+(I7/$E$7)*100</f>
        <v>113.92626904870437</v>
      </c>
    </row>
    <row r="20" ht="13.5" thickBot="1"/>
    <row r="21" spans="3:9" ht="13.5" thickBot="1">
      <c r="C21" s="30" t="s">
        <v>8</v>
      </c>
      <c r="D21" s="30">
        <v>2010</v>
      </c>
      <c r="E21" s="30">
        <v>2011</v>
      </c>
      <c r="F21" s="30">
        <v>2012</v>
      </c>
      <c r="G21" s="30">
        <v>2013</v>
      </c>
      <c r="H21" s="30">
        <v>2014</v>
      </c>
      <c r="I21" s="30">
        <v>2015</v>
      </c>
    </row>
    <row r="22" spans="3:9" ht="13.5" thickBot="1">
      <c r="C22" s="1" t="s">
        <v>122</v>
      </c>
      <c r="E22" s="33">
        <f>+E17/D17-1</f>
        <v>0.03369665486374873</v>
      </c>
      <c r="F22" s="33">
        <f>+F17/E17-1</f>
        <v>0.03655413909422256</v>
      </c>
      <c r="G22" s="33">
        <f>+G17/F17-1</f>
        <v>0.028058274546629125</v>
      </c>
      <c r="H22" s="33">
        <f>+H17/G17-1</f>
        <v>0.03246069673033225</v>
      </c>
      <c r="I22" s="33">
        <f>+I17/H17-1</f>
        <v>0.03547739808886452</v>
      </c>
    </row>
    <row r="23" spans="3:9" ht="15" customHeight="1" thickBot="1">
      <c r="C23" s="36"/>
      <c r="D23" s="37"/>
      <c r="E23" s="37"/>
      <c r="F23" s="37"/>
      <c r="G23" s="37"/>
      <c r="H23" s="35" t="s">
        <v>64</v>
      </c>
      <c r="I23" s="34">
        <f>+AVERAGE(D22:I22)</f>
        <v>0.03324943266475944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C5:I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7.7109375" style="1" bestFit="1" customWidth="1"/>
    <col min="4" max="4" width="14.57421875" style="1" bestFit="1" customWidth="1"/>
    <col min="5" max="16384" width="11.421875" style="1" customWidth="1"/>
  </cols>
  <sheetData>
    <row r="4" ht="13.5" thickBot="1"/>
    <row r="5" spans="3:9" ht="13.5" thickBot="1">
      <c r="C5" s="30" t="s">
        <v>129</v>
      </c>
      <c r="D5" s="30" t="s">
        <v>128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</row>
    <row r="6" spans="3:9" ht="12.75">
      <c r="C6" s="38" t="s">
        <v>0</v>
      </c>
      <c r="D6" s="41" t="s">
        <v>67</v>
      </c>
      <c r="E6" s="44">
        <v>9955.886199999999</v>
      </c>
      <c r="F6" s="44">
        <v>9772.71022</v>
      </c>
      <c r="G6" s="44">
        <v>11466.464759999999</v>
      </c>
      <c r="H6" s="44">
        <v>9457.51408</v>
      </c>
      <c r="I6" s="44">
        <v>9965.689558800057</v>
      </c>
    </row>
    <row r="7" spans="3:9" ht="12.75">
      <c r="C7" s="38" t="s">
        <v>130</v>
      </c>
      <c r="D7" s="42" t="s">
        <v>66</v>
      </c>
      <c r="E7" s="44">
        <v>12141.1171</v>
      </c>
      <c r="F7" s="44">
        <v>13230.663440000091</v>
      </c>
      <c r="G7" s="44">
        <v>13855.647560000001</v>
      </c>
      <c r="H7" s="44">
        <v>14371.02439</v>
      </c>
      <c r="I7" s="44">
        <v>14614.876036191783</v>
      </c>
    </row>
    <row r="8" spans="3:9" ht="12.75">
      <c r="C8" s="38" t="s">
        <v>131</v>
      </c>
      <c r="D8" s="42" t="s">
        <v>66</v>
      </c>
      <c r="E8" s="44">
        <v>9508.803039999999</v>
      </c>
      <c r="F8" s="44">
        <v>13037.006840000035</v>
      </c>
      <c r="G8" s="44">
        <v>12373.864640000022</v>
      </c>
      <c r="H8" s="44">
        <v>10055.372529999995</v>
      </c>
      <c r="I8" s="44">
        <v>9977.681095707963</v>
      </c>
    </row>
    <row r="9" spans="3:9" ht="12.75">
      <c r="C9" s="38" t="s">
        <v>132</v>
      </c>
      <c r="D9" s="42" t="s">
        <v>66</v>
      </c>
      <c r="E9" s="44">
        <v>24333.71890000003</v>
      </c>
      <c r="F9" s="44">
        <v>22349.432880000015</v>
      </c>
      <c r="G9" s="44">
        <v>24488.20236999999</v>
      </c>
      <c r="H9" s="44">
        <v>21295.422440000013</v>
      </c>
      <c r="I9" s="44">
        <v>15853.047449999991</v>
      </c>
    </row>
    <row r="10" spans="3:9" ht="12.75">
      <c r="C10" s="38" t="s">
        <v>133</v>
      </c>
      <c r="D10" s="42" t="s">
        <v>66</v>
      </c>
      <c r="E10" s="44">
        <v>3055.5633400000024</v>
      </c>
      <c r="F10" s="44">
        <v>3196.1801400000036</v>
      </c>
      <c r="G10" s="44">
        <v>3689.66153</v>
      </c>
      <c r="H10" s="44">
        <v>3095.5815600000024</v>
      </c>
      <c r="I10" s="44">
        <v>3184.6033299999967</v>
      </c>
    </row>
    <row r="11" spans="3:9" ht="12.75">
      <c r="C11" s="38" t="s">
        <v>134</v>
      </c>
      <c r="D11" s="42" t="s">
        <v>68</v>
      </c>
      <c r="E11" s="44">
        <v>68.32</v>
      </c>
      <c r="F11" s="44">
        <v>148.6441</v>
      </c>
      <c r="G11" s="44">
        <v>223.96362000000002</v>
      </c>
      <c r="H11" s="44">
        <v>159.78939</v>
      </c>
      <c r="I11" s="44">
        <v>209.10612000000006</v>
      </c>
    </row>
    <row r="12" spans="3:9" ht="12.75">
      <c r="C12" s="38" t="s">
        <v>1</v>
      </c>
      <c r="D12" s="42" t="s">
        <v>66</v>
      </c>
      <c r="E12" s="44">
        <v>0</v>
      </c>
      <c r="F12" s="44">
        <v>0</v>
      </c>
      <c r="G12" s="44">
        <v>363.0844237337057</v>
      </c>
      <c r="H12" s="44">
        <v>324.8543210993352</v>
      </c>
      <c r="I12" s="44">
        <v>326.2020329539293</v>
      </c>
    </row>
    <row r="13" spans="3:9" ht="12.75">
      <c r="C13" s="38" t="s">
        <v>2</v>
      </c>
      <c r="D13" s="42" t="s">
        <v>66</v>
      </c>
      <c r="E13" s="44">
        <v>0</v>
      </c>
      <c r="F13" s="44">
        <v>0</v>
      </c>
      <c r="G13" s="44">
        <v>341.45281000000006</v>
      </c>
      <c r="H13" s="44">
        <v>598.6217900000001</v>
      </c>
      <c r="I13" s="44">
        <v>723.8918500000004</v>
      </c>
    </row>
    <row r="14" spans="3:9" ht="12.75">
      <c r="C14" s="38" t="s">
        <v>72</v>
      </c>
      <c r="D14" s="43" t="s">
        <v>73</v>
      </c>
      <c r="E14" s="44">
        <v>0</v>
      </c>
      <c r="F14" s="44">
        <v>0</v>
      </c>
      <c r="G14" s="44">
        <v>0</v>
      </c>
      <c r="H14" s="44">
        <v>405.6955700000032</v>
      </c>
      <c r="I14" s="44">
        <v>459.48364000000186</v>
      </c>
    </row>
    <row r="15" spans="3:9" ht="13.5" thickBot="1">
      <c r="C15" s="39" t="s">
        <v>3</v>
      </c>
      <c r="D15" s="40" t="s">
        <v>69</v>
      </c>
      <c r="E15" s="45">
        <v>504.5920999999999</v>
      </c>
      <c r="F15" s="45">
        <v>647.8016250000002</v>
      </c>
      <c r="G15" s="45">
        <v>573.1011499999987</v>
      </c>
      <c r="H15" s="45">
        <v>720.888480000001</v>
      </c>
      <c r="I15" s="45">
        <v>245.8928700000001</v>
      </c>
    </row>
    <row r="16" ht="12.75">
      <c r="C16" s="23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C2:I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7.7109375" style="1" bestFit="1" customWidth="1"/>
    <col min="4" max="4" width="14.57421875" style="1" bestFit="1" customWidth="1"/>
    <col min="5" max="16384" width="11.421875" style="1" customWidth="1"/>
  </cols>
  <sheetData>
    <row r="2" ht="12.75">
      <c r="D2" s="10"/>
    </row>
    <row r="3" ht="12.75">
      <c r="D3" s="10"/>
    </row>
    <row r="4" ht="13.5" thickBot="1">
      <c r="D4" s="10"/>
    </row>
    <row r="5" spans="3:9" ht="13.5" thickBot="1">
      <c r="C5" s="30" t="s">
        <v>129</v>
      </c>
      <c r="D5" s="30" t="s">
        <v>128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</row>
    <row r="6" spans="3:9" ht="12.75">
      <c r="C6" s="38" t="s">
        <v>0</v>
      </c>
      <c r="D6" s="41" t="s">
        <v>67</v>
      </c>
      <c r="E6" s="44">
        <v>9064.702875671503</v>
      </c>
      <c r="F6" s="44">
        <v>8940.06573027074</v>
      </c>
      <c r="G6" s="44">
        <v>10407.936354839607</v>
      </c>
      <c r="H6" s="44">
        <v>8693.078687977939</v>
      </c>
      <c r="I6" s="44">
        <v>9148.735628515982</v>
      </c>
    </row>
    <row r="7" spans="3:9" ht="12.75">
      <c r="C7" s="38" t="s">
        <v>130</v>
      </c>
      <c r="D7" s="42" t="s">
        <v>66</v>
      </c>
      <c r="E7" s="44">
        <v>11054.326744939535</v>
      </c>
      <c r="F7" s="44">
        <v>12103.397946520796</v>
      </c>
      <c r="G7" s="44">
        <v>12576.561388182274</v>
      </c>
      <c r="H7" s="44">
        <v>13209.437997381248</v>
      </c>
      <c r="I7" s="44">
        <v>13416.797333465362</v>
      </c>
    </row>
    <row r="8" spans="3:9" ht="12.75">
      <c r="C8" s="38" t="s">
        <v>131</v>
      </c>
      <c r="D8" s="42" t="s">
        <v>66</v>
      </c>
      <c r="E8" s="44">
        <v>8657.639564108507</v>
      </c>
      <c r="F8" s="44">
        <v>11926.241078658477</v>
      </c>
      <c r="G8" s="44">
        <v>11231.56947952985</v>
      </c>
      <c r="H8" s="44">
        <v>9242.613217470542</v>
      </c>
      <c r="I8" s="44">
        <v>9159.74413929717</v>
      </c>
    </row>
    <row r="9" spans="3:9" ht="12.75">
      <c r="C9" s="38" t="s">
        <v>132</v>
      </c>
      <c r="D9" s="42" t="s">
        <v>66</v>
      </c>
      <c r="E9" s="44">
        <v>22155.529629156692</v>
      </c>
      <c r="F9" s="44">
        <v>20445.23929222514</v>
      </c>
      <c r="G9" s="44">
        <v>22227.570314478722</v>
      </c>
      <c r="H9" s="44">
        <v>19574.148280268935</v>
      </c>
      <c r="I9" s="44">
        <v>14553.467592044148</v>
      </c>
    </row>
    <row r="10" spans="3:9" ht="12.75">
      <c r="C10" s="38" t="s">
        <v>133</v>
      </c>
      <c r="D10" s="42" t="s">
        <v>66</v>
      </c>
      <c r="E10" s="44">
        <v>2782.050059480837</v>
      </c>
      <c r="F10" s="44">
        <v>2923.8624592499136</v>
      </c>
      <c r="G10" s="44">
        <v>3349.049875346247</v>
      </c>
      <c r="H10" s="44">
        <v>2845.370766409001</v>
      </c>
      <c r="I10" s="44">
        <v>2923.540190165194</v>
      </c>
    </row>
    <row r="11" spans="3:9" ht="12.75">
      <c r="C11" s="38" t="s">
        <v>134</v>
      </c>
      <c r="D11" s="42" t="s">
        <v>68</v>
      </c>
      <c r="E11" s="44">
        <v>62.204457546519265</v>
      </c>
      <c r="F11" s="44">
        <v>135.97947698247998</v>
      </c>
      <c r="G11" s="44">
        <v>203.28838500345975</v>
      </c>
      <c r="H11" s="44">
        <v>146.87387499760348</v>
      </c>
      <c r="I11" s="44">
        <v>191.96429899779912</v>
      </c>
    </row>
    <row r="12" spans="3:9" ht="12.75">
      <c r="C12" s="38" t="s">
        <v>1</v>
      </c>
      <c r="D12" s="42" t="s">
        <v>66</v>
      </c>
      <c r="E12" s="44">
        <v>0</v>
      </c>
      <c r="F12" s="44">
        <v>0</v>
      </c>
      <c r="G12" s="44">
        <v>329.5662309831252</v>
      </c>
      <c r="H12" s="44">
        <v>298.5968777374712</v>
      </c>
      <c r="I12" s="44">
        <v>299.46108027664604</v>
      </c>
    </row>
    <row r="13" spans="3:9" ht="12.75">
      <c r="C13" s="38" t="s">
        <v>2</v>
      </c>
      <c r="D13" s="42" t="s">
        <v>66</v>
      </c>
      <c r="E13" s="44">
        <v>0</v>
      </c>
      <c r="F13" s="44">
        <v>0</v>
      </c>
      <c r="G13" s="44">
        <v>309.9315428987672</v>
      </c>
      <c r="H13" s="44">
        <v>550.2361699691179</v>
      </c>
      <c r="I13" s="44">
        <v>664.5496149776486</v>
      </c>
    </row>
    <row r="14" spans="3:9" ht="12.75">
      <c r="C14" s="38" t="s">
        <v>72</v>
      </c>
      <c r="D14" s="43" t="s">
        <v>73</v>
      </c>
      <c r="E14" s="44">
        <v>0</v>
      </c>
      <c r="F14" s="44">
        <v>0</v>
      </c>
      <c r="G14" s="44">
        <v>0</v>
      </c>
      <c r="H14" s="44">
        <v>372.9038607335692</v>
      </c>
      <c r="I14" s="44">
        <v>421.81670652947616</v>
      </c>
    </row>
    <row r="15" spans="3:9" ht="13.5" thickBot="1">
      <c r="C15" s="39" t="s">
        <v>3</v>
      </c>
      <c r="D15" s="40" t="s">
        <v>69</v>
      </c>
      <c r="E15" s="45">
        <v>459.42444178511414</v>
      </c>
      <c r="F15" s="45">
        <v>592.6082915897815</v>
      </c>
      <c r="G15" s="45">
        <v>520.1952318288356</v>
      </c>
      <c r="H15" s="45">
        <v>662.6202434262533</v>
      </c>
      <c r="I15" s="45">
        <v>225.7353941534899</v>
      </c>
    </row>
    <row r="16" ht="12.75">
      <c r="C16" s="23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C2:T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7.7109375" style="1" bestFit="1" customWidth="1"/>
    <col min="4" max="4" width="14.57421875" style="1" bestFit="1" customWidth="1"/>
    <col min="5" max="16384" width="11.421875" style="1" customWidth="1"/>
  </cols>
  <sheetData>
    <row r="2" ht="12.75">
      <c r="D2" s="10"/>
    </row>
    <row r="3" ht="12.75">
      <c r="D3" s="10"/>
    </row>
    <row r="4" ht="13.5" thickBot="1">
      <c r="D4" s="10"/>
    </row>
    <row r="5" spans="3:9" ht="13.5" thickBot="1">
      <c r="C5" s="30" t="s">
        <v>135</v>
      </c>
      <c r="D5" s="30" t="s">
        <v>128</v>
      </c>
      <c r="E5" s="30">
        <v>2011</v>
      </c>
      <c r="F5" s="30">
        <v>2012</v>
      </c>
      <c r="G5" s="30">
        <v>2013</v>
      </c>
      <c r="H5" s="30">
        <v>2014</v>
      </c>
      <c r="I5" s="30">
        <v>2015</v>
      </c>
    </row>
    <row r="6" spans="3:20" ht="12.75">
      <c r="C6" s="38" t="s">
        <v>0</v>
      </c>
      <c r="D6" s="41" t="s">
        <v>67</v>
      </c>
      <c r="E6" s="44">
        <v>13747.957463026929</v>
      </c>
      <c r="F6" s="44">
        <v>13557.54686813441</v>
      </c>
      <c r="G6" s="44">
        <v>15909.249198613321</v>
      </c>
      <c r="H6" s="44">
        <v>14099.390272180986</v>
      </c>
      <c r="I6" s="44">
        <v>13917.725139005524</v>
      </c>
      <c r="P6" s="19"/>
      <c r="Q6" s="19"/>
      <c r="R6" s="19"/>
      <c r="S6" s="19"/>
      <c r="T6" s="19"/>
    </row>
    <row r="7" spans="3:20" ht="12.75">
      <c r="C7" s="38" t="s">
        <v>130</v>
      </c>
      <c r="D7" s="42" t="s">
        <v>66</v>
      </c>
      <c r="E7" s="44">
        <v>1465.601212</v>
      </c>
      <c r="F7" s="44">
        <v>1797.5931399999988</v>
      </c>
      <c r="G7" s="44">
        <v>1804.9606480000014</v>
      </c>
      <c r="H7" s="44">
        <v>1824.5340829999998</v>
      </c>
      <c r="I7" s="44">
        <v>1903.4485029999998</v>
      </c>
      <c r="P7" s="19"/>
      <c r="Q7" s="19"/>
      <c r="R7" s="19"/>
      <c r="S7" s="19"/>
      <c r="T7" s="19"/>
    </row>
    <row r="8" spans="3:20" ht="12.75">
      <c r="C8" s="38" t="s">
        <v>131</v>
      </c>
      <c r="D8" s="42" t="s">
        <v>66</v>
      </c>
      <c r="E8" s="44">
        <v>362.21492440000003</v>
      </c>
      <c r="F8" s="44">
        <v>438.340109</v>
      </c>
      <c r="G8" s="44">
        <v>439.71523599999983</v>
      </c>
      <c r="H8" s="44">
        <v>344.775973</v>
      </c>
      <c r="I8" s="44">
        <v>330.281889</v>
      </c>
      <c r="P8" s="19"/>
      <c r="Q8" s="19"/>
      <c r="R8" s="19"/>
      <c r="S8" s="19"/>
      <c r="T8" s="19"/>
    </row>
    <row r="9" spans="3:20" ht="12.75">
      <c r="C9" s="38" t="s">
        <v>132</v>
      </c>
      <c r="D9" s="42" t="s">
        <v>66</v>
      </c>
      <c r="E9" s="44">
        <v>6075.23485</v>
      </c>
      <c r="F9" s="44">
        <v>6046.631909</v>
      </c>
      <c r="G9" s="44">
        <v>6322.716223000001</v>
      </c>
      <c r="H9" s="44">
        <v>5430.503354</v>
      </c>
      <c r="I9" s="44">
        <v>4142.005994999999</v>
      </c>
      <c r="P9" s="19"/>
      <c r="Q9" s="19"/>
      <c r="R9" s="19"/>
      <c r="S9" s="19"/>
      <c r="T9" s="19"/>
    </row>
    <row r="10" spans="3:20" ht="12.75">
      <c r="C10" s="38" t="s">
        <v>133</v>
      </c>
      <c r="D10" s="42" t="s">
        <v>66</v>
      </c>
      <c r="E10" s="44">
        <v>2472.3601840000006</v>
      </c>
      <c r="F10" s="44">
        <v>2702.0075930000003</v>
      </c>
      <c r="G10" s="44">
        <v>3206.4397750000003</v>
      </c>
      <c r="H10" s="44">
        <v>2819.3637940000003</v>
      </c>
      <c r="I10" s="44">
        <v>2715.162860000001</v>
      </c>
      <c r="P10" s="19"/>
      <c r="Q10" s="19"/>
      <c r="R10" s="19"/>
      <c r="S10" s="19"/>
      <c r="T10" s="19"/>
    </row>
    <row r="11" spans="3:20" ht="12.75">
      <c r="C11" s="38" t="s">
        <v>134</v>
      </c>
      <c r="D11" s="42" t="s">
        <v>68</v>
      </c>
      <c r="E11" s="44">
        <v>8.54</v>
      </c>
      <c r="F11" s="44">
        <v>20.893</v>
      </c>
      <c r="G11" s="44">
        <v>23.856</v>
      </c>
      <c r="H11" s="44">
        <v>24.544</v>
      </c>
      <c r="I11" s="44">
        <v>20.491999999999997</v>
      </c>
      <c r="P11" s="19"/>
      <c r="Q11" s="19"/>
      <c r="R11" s="19"/>
      <c r="S11" s="19"/>
      <c r="T11" s="19"/>
    </row>
    <row r="12" spans="3:20" ht="12.75">
      <c r="C12" s="38" t="s">
        <v>1</v>
      </c>
      <c r="D12" s="42" t="s">
        <v>66</v>
      </c>
      <c r="E12" s="44">
        <v>0</v>
      </c>
      <c r="F12" s="44">
        <v>0</v>
      </c>
      <c r="G12" s="44">
        <v>65.35149918063314</v>
      </c>
      <c r="H12" s="44">
        <v>93.15386997421278</v>
      </c>
      <c r="I12" s="44">
        <v>99.35773499999999</v>
      </c>
      <c r="P12" s="19"/>
      <c r="Q12" s="19"/>
      <c r="R12" s="19"/>
      <c r="S12" s="19"/>
      <c r="T12" s="19"/>
    </row>
    <row r="13" spans="3:20" ht="12.75">
      <c r="C13" s="38" t="s">
        <v>2</v>
      </c>
      <c r="D13" s="42" t="s">
        <v>66</v>
      </c>
      <c r="E13" s="44">
        <v>0</v>
      </c>
      <c r="F13" s="44">
        <v>0</v>
      </c>
      <c r="G13" s="44">
        <v>22.04091</v>
      </c>
      <c r="H13" s="44">
        <v>19.144270000000002</v>
      </c>
      <c r="I13" s="44">
        <v>40.32946166666668</v>
      </c>
      <c r="P13" s="19"/>
      <c r="Q13" s="19"/>
      <c r="R13" s="19"/>
      <c r="S13" s="19"/>
      <c r="T13" s="19"/>
    </row>
    <row r="14" spans="3:20" ht="12.75">
      <c r="C14" s="38" t="s">
        <v>72</v>
      </c>
      <c r="D14" s="43" t="s">
        <v>73</v>
      </c>
      <c r="E14" s="44">
        <v>0</v>
      </c>
      <c r="F14" s="44">
        <v>0</v>
      </c>
      <c r="G14" s="44">
        <v>0</v>
      </c>
      <c r="H14" s="44">
        <v>0.952</v>
      </c>
      <c r="I14" s="44">
        <v>1.071</v>
      </c>
      <c r="P14" s="19"/>
      <c r="Q14" s="19"/>
      <c r="R14" s="19"/>
      <c r="S14" s="19"/>
      <c r="T14" s="19"/>
    </row>
    <row r="15" spans="3:20" ht="13.5" thickBot="1">
      <c r="C15" s="39" t="s">
        <v>3</v>
      </c>
      <c r="D15" s="40" t="s">
        <v>69</v>
      </c>
      <c r="E15" s="45">
        <v>9.188488835702282</v>
      </c>
      <c r="F15" s="45">
        <v>5.576679603557038</v>
      </c>
      <c r="G15" s="45">
        <v>4.996068541210344</v>
      </c>
      <c r="H15" s="45">
        <v>6.565299704333508</v>
      </c>
      <c r="I15" s="45">
        <v>2.464167597805629</v>
      </c>
      <c r="P15" s="19"/>
      <c r="Q15" s="19"/>
      <c r="R15" s="19"/>
      <c r="S15" s="19"/>
      <c r="T15" s="19"/>
    </row>
    <row r="16" ht="12.75">
      <c r="C16" s="23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C5:S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47.7109375" style="1" bestFit="1" customWidth="1"/>
    <col min="4" max="16384" width="11.421875" style="1" customWidth="1"/>
  </cols>
  <sheetData>
    <row r="4" ht="13.5" thickBot="1"/>
    <row r="5" spans="3:8" ht="13.5" thickBot="1">
      <c r="C5" s="30" t="s">
        <v>127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</row>
    <row r="6" spans="3:19" ht="12.75">
      <c r="C6" s="38" t="s">
        <v>0</v>
      </c>
      <c r="D6" s="27">
        <f>+'Ingresos Netos'!E6/CantidadesProducto!E6</f>
        <v>0.6593490633099253</v>
      </c>
      <c r="E6" s="27">
        <f>+'Ingresos Netos'!F6/CantidadesProducto!F6</f>
        <v>0.659416177367856</v>
      </c>
      <c r="F6" s="27">
        <f>+'Ingresos Netos'!G6/CantidadesProducto!G6</f>
        <v>0.6542066331921422</v>
      </c>
      <c r="G6" s="27">
        <f>+'Ingresos Netos'!H6/CantidadesProducto!H6</f>
        <v>0.6165570652462857</v>
      </c>
      <c r="H6" s="27">
        <f>+'Ingresos Netos'!I6/CantidadesProducto!I6</f>
        <v>0.6573441806862479</v>
      </c>
      <c r="O6" s="19"/>
      <c r="P6" s="19"/>
      <c r="Q6" s="19"/>
      <c r="R6" s="19"/>
      <c r="S6" s="19"/>
    </row>
    <row r="7" spans="3:19" ht="12.75">
      <c r="C7" s="38" t="s">
        <v>130</v>
      </c>
      <c r="D7" s="27">
        <f>+'Ingresos Netos'!E7/CantidadesProducto!E7</f>
        <v>7.542520198829868</v>
      </c>
      <c r="E7" s="27">
        <f>+'Ingresos Netos'!F7/CantidadesProducto!F7</f>
        <v>6.733113115084987</v>
      </c>
      <c r="F7" s="27">
        <f>+'Ingresos Netos'!G7/CantidadesProducto!G7</f>
        <v>6.967775946870541</v>
      </c>
      <c r="G7" s="27">
        <f>+'Ingresos Netos'!H7/CantidadesProducto!H7</f>
        <v>7.2398965415113326</v>
      </c>
      <c r="H7" s="27">
        <f>+'Ingresos Netos'!I7/CantidadesProducto!I7</f>
        <v>7.048678917406657</v>
      </c>
      <c r="O7" s="19"/>
      <c r="P7" s="19"/>
      <c r="Q7" s="19"/>
      <c r="R7" s="19"/>
      <c r="S7" s="19"/>
    </row>
    <row r="8" spans="3:19" ht="12.75">
      <c r="C8" s="38" t="s">
        <v>131</v>
      </c>
      <c r="D8" s="27">
        <f>+'Ingresos Netos'!E8/CantidadesProducto!E8</f>
        <v>23.901940480364445</v>
      </c>
      <c r="E8" s="27">
        <f>+'Ingresos Netos'!F8/CantidadesProducto!F8</f>
        <v>27.20773398050708</v>
      </c>
      <c r="F8" s="27">
        <f>+'Ingresos Netos'!G8/CantidadesProducto!G8</f>
        <v>25.542825356021673</v>
      </c>
      <c r="G8" s="27">
        <f>+'Ingresos Netos'!H8/CantidadesProducto!H8</f>
        <v>26.807590845289386</v>
      </c>
      <c r="H8" s="27">
        <f>+'Ingresos Netos'!I8/CantidadesProducto!I8</f>
        <v>27.733110546964237</v>
      </c>
      <c r="O8" s="19"/>
      <c r="P8" s="19"/>
      <c r="Q8" s="19"/>
      <c r="R8" s="19"/>
      <c r="S8" s="19"/>
    </row>
    <row r="9" spans="3:19" ht="12.75">
      <c r="C9" s="38" t="s">
        <v>132</v>
      </c>
      <c r="D9" s="27">
        <f>+'Ingresos Netos'!E9/CantidadesProducto!E9</f>
        <v>3.646859780104911</v>
      </c>
      <c r="E9" s="27">
        <f>+'Ingresos Netos'!F9/CantidadesProducto!F9</f>
        <v>3.381260774579943</v>
      </c>
      <c r="F9" s="27">
        <f>+'Ingresos Netos'!G9/CantidadesProducto!G9</f>
        <v>3.515509716159962</v>
      </c>
      <c r="G9" s="27">
        <f>+'Ingresos Netos'!H9/CantidadesProducto!H9</f>
        <v>3.604481390449931</v>
      </c>
      <c r="H9" s="27">
        <f>+'Ingresos Netos'!I9/CantidadesProducto!I9</f>
        <v>3.5136278435164727</v>
      </c>
      <c r="O9" s="19"/>
      <c r="P9" s="19"/>
      <c r="Q9" s="19"/>
      <c r="R9" s="19"/>
      <c r="S9" s="19"/>
    </row>
    <row r="10" spans="3:19" ht="12.75">
      <c r="C10" s="38" t="s">
        <v>133</v>
      </c>
      <c r="D10" s="27">
        <f>+'Ingresos Netos'!E10/CantidadesProducto!E10</f>
        <v>1.1252608246504734</v>
      </c>
      <c r="E10" s="27">
        <f>+'Ingresos Netos'!F10/CantidadesProducto!F10</f>
        <v>1.082107417767687</v>
      </c>
      <c r="F10" s="27">
        <f>+'Ingresos Netos'!G10/CantidadesProducto!G10</f>
        <v>1.044476151231079</v>
      </c>
      <c r="G10" s="27">
        <f>+'Ingresos Netos'!H10/CantidadesProducto!H10</f>
        <v>1.0092244117145674</v>
      </c>
      <c r="H10" s="27">
        <f>+'Ingresos Netos'!I10/CantidadesProducto!I10</f>
        <v>1.076745794233939</v>
      </c>
      <c r="O10" s="19"/>
      <c r="P10" s="19"/>
      <c r="Q10" s="19"/>
      <c r="R10" s="19"/>
      <c r="S10" s="19"/>
    </row>
    <row r="11" spans="3:19" ht="12.75">
      <c r="C11" s="38" t="s">
        <v>134</v>
      </c>
      <c r="D11" s="27">
        <f>+'Ingresos Netos'!E11/CantidadesProducto!E11</f>
        <v>7.283894326290313</v>
      </c>
      <c r="E11" s="27">
        <f>+'Ingresos Netos'!F11/CantidadesProducto!F11</f>
        <v>6.508374909418464</v>
      </c>
      <c r="F11" s="27">
        <f>+'Ingresos Netos'!G11/CantidadesProducto!G11</f>
        <v>8.521478244611826</v>
      </c>
      <c r="G11" s="27">
        <f>+'Ingresos Netos'!H11/CantidadesProducto!H11</f>
        <v>5.98410507649949</v>
      </c>
      <c r="H11" s="27">
        <f>+'Ingresos Netos'!I11/CantidadesProducto!I11</f>
        <v>9.367767860521138</v>
      </c>
      <c r="O11" s="19"/>
      <c r="P11" s="19"/>
      <c r="Q11" s="19"/>
      <c r="R11" s="19"/>
      <c r="S11" s="19"/>
    </row>
    <row r="12" spans="3:19" ht="12.75">
      <c r="C12" s="38" t="s">
        <v>1</v>
      </c>
      <c r="D12" s="27"/>
      <c r="E12" s="27"/>
      <c r="F12" s="27">
        <f>+'Ingresos Netos'!G12/CantidadesProducto!G12</f>
        <v>5.0429788928360475</v>
      </c>
      <c r="G12" s="27">
        <f>+'Ingresos Netos'!H12/CantidadesProducto!H12</f>
        <v>3.205415704362362</v>
      </c>
      <c r="H12" s="27">
        <f>+'Ingresos Netos'!I12/CantidadesProducto!I12</f>
        <v>3.013968467343243</v>
      </c>
      <c r="O12" s="19"/>
      <c r="P12" s="19"/>
      <c r="Q12" s="19"/>
      <c r="R12" s="19"/>
      <c r="S12" s="19"/>
    </row>
    <row r="13" spans="3:19" ht="12.75">
      <c r="C13" s="38" t="s">
        <v>2</v>
      </c>
      <c r="D13" s="27"/>
      <c r="E13" s="27"/>
      <c r="F13" s="27">
        <f>+'Ingresos Netos'!G13/CantidadesProducto!G13</f>
        <v>14.061649128768602</v>
      </c>
      <c r="G13" s="27">
        <f>+'Ingresos Netos'!H13/CantidadesProducto!H13</f>
        <v>28.741559222112823</v>
      </c>
      <c r="H13" s="27">
        <f>+'Ingresos Netos'!I13/CantidadesProducto!I13</f>
        <v>16.478018488575948</v>
      </c>
      <c r="O13" s="19"/>
      <c r="P13" s="19"/>
      <c r="Q13" s="19"/>
      <c r="R13" s="19"/>
      <c r="S13" s="19"/>
    </row>
    <row r="14" spans="3:19" ht="12.75">
      <c r="C14" s="38" t="s">
        <v>72</v>
      </c>
      <c r="D14" s="27"/>
      <c r="E14" s="27"/>
      <c r="F14" s="27"/>
      <c r="G14" s="27">
        <f>+'Ingresos Netos'!H14/CantidadesProducto!H14</f>
        <v>391.70573606467354</v>
      </c>
      <c r="H14" s="27">
        <f>+'Ingresos Netos'!I14/CantidadesProducto!I14</f>
        <v>393.85313401445023</v>
      </c>
      <c r="O14" s="19"/>
      <c r="P14" s="19"/>
      <c r="Q14" s="19"/>
      <c r="R14" s="19"/>
      <c r="S14" s="19"/>
    </row>
    <row r="15" spans="3:19" ht="13.5" thickBot="1">
      <c r="C15" s="39" t="s">
        <v>3</v>
      </c>
      <c r="D15" s="32">
        <f>+DatosGenerales!E14</f>
        <v>100</v>
      </c>
      <c r="E15" s="32">
        <f>+DatosGenerales!F14</f>
        <v>106.26543637396544</v>
      </c>
      <c r="F15" s="32">
        <f>+DatosGenerales!G14</f>
        <v>104.12091578367611</v>
      </c>
      <c r="G15" s="32">
        <f>+DatosGenerales!H14</f>
        <v>100.92764584515194</v>
      </c>
      <c r="H15" s="32">
        <f>+DatosGenerales!I14</f>
        <v>91.60715949455303</v>
      </c>
      <c r="O15" s="19"/>
      <c r="P15" s="19"/>
      <c r="Q15" s="19"/>
      <c r="R15" s="19"/>
      <c r="S15" s="19"/>
    </row>
    <row r="16" ht="12.75">
      <c r="C16" s="23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C5:H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8.57421875" style="1" bestFit="1" customWidth="1"/>
    <col min="4" max="6" width="12.7109375" style="1" customWidth="1"/>
    <col min="7" max="7" width="14.28125" style="1" customWidth="1"/>
    <col min="8" max="16384" width="11.421875" style="1" customWidth="1"/>
  </cols>
  <sheetData>
    <row r="4" ht="13.5" thickBot="1"/>
    <row r="5" spans="3:7" ht="13.5" thickBot="1">
      <c r="C5" s="30" t="s">
        <v>4</v>
      </c>
      <c r="D5" s="30">
        <v>2012</v>
      </c>
      <c r="E5" s="30">
        <v>2013</v>
      </c>
      <c r="F5" s="30">
        <v>2014</v>
      </c>
      <c r="G5" s="30">
        <v>2015</v>
      </c>
    </row>
    <row r="6" spans="3:7" ht="12.75">
      <c r="C6" s="2" t="s">
        <v>5</v>
      </c>
      <c r="D6" s="49">
        <f>+D7/D8</f>
        <v>1.0099047383504964</v>
      </c>
      <c r="E6" s="49">
        <f>+E7/E8</f>
        <v>1.0719362647661317</v>
      </c>
      <c r="F6" s="49">
        <f>+F7/F8</f>
        <v>0.9232907149675145</v>
      </c>
      <c r="G6" s="49">
        <f>+G7/G8</f>
        <v>1.0533556855915218</v>
      </c>
    </row>
    <row r="7" spans="3:7" ht="12.75">
      <c r="C7" s="48" t="s">
        <v>6</v>
      </c>
      <c r="D7" s="46">
        <v>85571.33678845743</v>
      </c>
      <c r="E7" s="46">
        <v>90971.06406467431</v>
      </c>
      <c r="F7" s="46">
        <v>87733.57130260531</v>
      </c>
      <c r="G7" s="46">
        <v>97307.2745795868</v>
      </c>
    </row>
    <row r="8" spans="3:7" ht="12.75">
      <c r="C8" s="48" t="s">
        <v>7</v>
      </c>
      <c r="D8" s="46">
        <v>84732.08763058514</v>
      </c>
      <c r="E8" s="46">
        <v>84866.11289760012</v>
      </c>
      <c r="F8" s="46">
        <v>95022.6942395843</v>
      </c>
      <c r="G8" s="46">
        <v>92378.36365305512</v>
      </c>
    </row>
    <row r="9" spans="3:7" ht="12.75">
      <c r="C9" s="2" t="s">
        <v>9</v>
      </c>
      <c r="D9" s="50">
        <f>+D10/D11</f>
        <v>1.0092017072543205</v>
      </c>
      <c r="E9" s="50">
        <f>+E10/E11</f>
        <v>1.104907311562937</v>
      </c>
      <c r="F9" s="50">
        <f>+F10/F11</f>
        <v>0.9233845209274822</v>
      </c>
      <c r="G9" s="50">
        <f>+G10/G11</f>
        <v>1.0699005815855598</v>
      </c>
    </row>
    <row r="10" spans="3:7" ht="12.75">
      <c r="C10" s="48" t="s">
        <v>6</v>
      </c>
      <c r="D10" s="46">
        <v>84866.11289760012</v>
      </c>
      <c r="E10" s="46">
        <v>95022.6942395843</v>
      </c>
      <c r="F10" s="46">
        <v>92378.36365305512</v>
      </c>
      <c r="G10" s="46">
        <v>102257.062933248</v>
      </c>
    </row>
    <row r="11" spans="3:7" ht="12.75">
      <c r="C11" s="48" t="s">
        <v>7</v>
      </c>
      <c r="D11" s="46">
        <v>84092.31998674545</v>
      </c>
      <c r="E11" s="46">
        <v>86000.60226334349</v>
      </c>
      <c r="F11" s="46">
        <v>100043.22312038197</v>
      </c>
      <c r="G11" s="46">
        <v>95576.22894428768</v>
      </c>
    </row>
    <row r="12" spans="3:7" ht="13.5" thickBot="1">
      <c r="C12" s="2" t="s">
        <v>10</v>
      </c>
      <c r="D12" s="49">
        <f>+SQRT(D6*D9)</f>
        <v>1.0095531616054445</v>
      </c>
      <c r="E12" s="49">
        <f>+SQRT(E6*E9)</f>
        <v>1.0882969339612987</v>
      </c>
      <c r="F12" s="49">
        <f>+SQRT(F6*F9)</f>
        <v>0.9233376167562279</v>
      </c>
      <c r="G12" s="49">
        <f>+SQRT(G6*G9)</f>
        <v>1.061595902700658</v>
      </c>
    </row>
    <row r="13" spans="3:7" ht="13.5" thickBot="1">
      <c r="C13" s="24" t="s">
        <v>11</v>
      </c>
      <c r="D13" s="34">
        <f>+LN(D12)</f>
        <v>0.00950781870707352</v>
      </c>
      <c r="E13" s="34">
        <f>+LN(E12)</f>
        <v>0.08461402844245518</v>
      </c>
      <c r="F13" s="34">
        <f>+LN(F12)</f>
        <v>-0.07976032939345565</v>
      </c>
      <c r="G13" s="34">
        <f>+LN(G12)</f>
        <v>0.0597733444774123</v>
      </c>
    </row>
    <row r="14" ht="13.5" thickBot="1"/>
    <row r="15" spans="6:7" ht="13.5" thickBot="1">
      <c r="F15" s="34" t="s">
        <v>64</v>
      </c>
      <c r="G15" s="34">
        <f>+AVERAGE(D13:G13)</f>
        <v>0.01853371555837134</v>
      </c>
    </row>
    <row r="17" spans="4:7" ht="12.75">
      <c r="D17" s="19"/>
      <c r="E17" s="19"/>
      <c r="F17" s="19"/>
      <c r="G17" s="19"/>
    </row>
    <row r="18" spans="4:7" ht="12.75">
      <c r="D18" s="19"/>
      <c r="E18" s="19"/>
      <c r="F18" s="19"/>
      <c r="G18" s="19"/>
    </row>
    <row r="19" spans="4:8" ht="12.75">
      <c r="D19" s="20"/>
      <c r="E19" s="20"/>
      <c r="F19" s="20"/>
      <c r="G19" s="20"/>
      <c r="H19" s="10"/>
    </row>
    <row r="26" spans="4:7" ht="12.75">
      <c r="D26" s="20"/>
      <c r="E26" s="20"/>
      <c r="F26" s="20"/>
      <c r="G26" s="20"/>
    </row>
    <row r="27" spans="4:7" ht="12.75">
      <c r="D27" s="20"/>
      <c r="E27" s="20"/>
      <c r="F27" s="20"/>
      <c r="G27" s="20"/>
    </row>
    <row r="28" spans="4:7" ht="12.75">
      <c r="D28" s="20"/>
      <c r="E28" s="20"/>
      <c r="F28" s="20"/>
      <c r="G28" s="20"/>
    </row>
    <row r="29" spans="4:7" ht="12.75">
      <c r="D29" s="20"/>
      <c r="E29" s="20"/>
      <c r="F29" s="20"/>
      <c r="G29" s="20"/>
    </row>
    <row r="30" spans="4:7" ht="12.75">
      <c r="D30" s="20"/>
      <c r="E30" s="20"/>
      <c r="F30" s="20"/>
      <c r="G30" s="20"/>
    </row>
    <row r="31" spans="4:7" ht="12.75">
      <c r="D31" s="20"/>
      <c r="E31" s="20"/>
      <c r="F31" s="20"/>
      <c r="G31" s="20"/>
    </row>
    <row r="32" spans="4:7" ht="12.75">
      <c r="D32" s="20"/>
      <c r="E32" s="20"/>
      <c r="F32" s="20"/>
      <c r="G32" s="20"/>
    </row>
    <row r="33" spans="4:7" ht="12.75">
      <c r="D33" s="20"/>
      <c r="E33" s="20"/>
      <c r="F33" s="20"/>
      <c r="G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Josue Zavaleta</dc:creator>
  <cp:keywords/>
  <dc:description/>
  <cp:lastModifiedBy>Josue Zavaleta</cp:lastModifiedBy>
  <cp:lastPrinted>2016-02-25T16:18:49Z</cp:lastPrinted>
  <dcterms:created xsi:type="dcterms:W3CDTF">2015-11-11T16:00:05Z</dcterms:created>
  <dcterms:modified xsi:type="dcterms:W3CDTF">2016-06-07T17:57:49Z</dcterms:modified>
  <cp:category/>
  <cp:version/>
  <cp:contentType/>
  <cp:contentStatus/>
</cp:coreProperties>
</file>